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comments4.xml" ContentType="application/vnd.openxmlformats-officedocument.spreadsheetml.comments+xml"/>
  <Override PartName="/xl/threadedComments/threadedComment3.xml" ContentType="application/vnd.ms-excel.threadedcomments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walloniegov-my.sharepoint.com/personal/valerie_pevenage_spw_wallonie_be/Documents/AdB/AdB3/meoeuvre pratique/"/>
    </mc:Choice>
  </mc:AlternateContent>
  <xr:revisionPtr revIDLastSave="0" documentId="8_{1022776C-A04A-4FE1-84C7-33BE20E6A573}" xr6:coauthVersionLast="47" xr6:coauthVersionMax="47" xr10:uidLastSave="{00000000-0000-0000-0000-000000000000}"/>
  <bookViews>
    <workbookView xWindow="-108" yWindow="-108" windowWidth="23256" windowHeight="12456" tabRatio="725" activeTab="1" xr2:uid="{00000000-000D-0000-FFFF-FFFF00000000}"/>
  </bookViews>
  <sheets>
    <sheet name="Entête" sheetId="44" r:id="rId1"/>
    <sheet name="Paramètres" sheetId="17" r:id="rId2"/>
    <sheet name="2023" sheetId="83" r:id="rId3"/>
    <sheet name="2030" sheetId="105" r:id="rId4"/>
    <sheet name="Trajectoire" sheetId="84" r:id="rId5"/>
    <sheet name="PA" sheetId="79" r:id="rId6"/>
    <sheet name="AA0" sheetId="103" r:id="rId7"/>
    <sheet name="AA1" sheetId="81" r:id="rId8"/>
    <sheet name="AA2" sheetId="92" r:id="rId9"/>
    <sheet name="AA3" sheetId="96" r:id="rId10"/>
    <sheet name="AA4" sheetId="97" r:id="rId11"/>
    <sheet name="AA5" sheetId="98" r:id="rId12"/>
    <sheet name="AA6" sheetId="99" r:id="rId13"/>
    <sheet name="AA7" sheetId="101" r:id="rId14"/>
    <sheet name="AA8" sheetId="102" r:id="rId15"/>
    <sheet name="AA9" sheetId="104" r:id="rId16"/>
    <sheet name="G_Indices" sheetId="93" r:id="rId17"/>
    <sheet name="G_Emissions" sheetId="94" r:id="rId18"/>
    <sheet name="G_Consommations" sheetId="95" r:id="rId19"/>
  </sheets>
  <externalReferences>
    <externalReference r:id="rId20"/>
  </externalReferences>
  <definedNames>
    <definedName name="_xlnm._FilterDatabase" localSheetId="5" hidden="1">PA!$B$4:$L$14</definedName>
    <definedName name="_xlnm._FilterDatabase" localSheetId="4" hidden="1">Trajectoire!$B$13:$N$24</definedName>
    <definedName name="_Order1" hidden="1">255</definedName>
    <definedName name="_Order2" hidden="1">255</definedName>
    <definedName name="anscount" hidden="1">1</definedName>
    <definedName name="_xlnm.Database">#REF!</definedName>
    <definedName name="EE">#REF!</definedName>
    <definedName name="EFF">#REF!</definedName>
    <definedName name="Efficacité_énergétique">#REF!</definedName>
    <definedName name="ENR">#REF!</definedName>
    <definedName name="GJpFuelTotCO2" comment="GJp fuel to t CO2">0.0766</definedName>
    <definedName name="GJpGasoilTotCO2" comment="GJp gasoil vers t CO2">0.0733</definedName>
    <definedName name="GJpGazTotCO2" comment="GJp gaz naturel vers t CO2">55.8/1000</definedName>
    <definedName name="GJpLPGTotCO2" comment="GJp LPG vers t CO2">0.0624</definedName>
    <definedName name="GrondLambda">[1]Constantes0!$B$2</definedName>
    <definedName name="GrondwaterfactorGw">[1]Constantes0!$B$3</definedName>
    <definedName name="_xlnm.Print_Titles" localSheetId="5">PA!$A:$B,PA!$1:$3</definedName>
    <definedName name="_xlnm.Print_Titles">#REF!</definedName>
    <definedName name="ListeSecteur">#REF!</definedName>
    <definedName name="m3GasoilToGJp" comment="m3 gasoil vers GJp">36.54</definedName>
    <definedName name="m3GasoilTotCO2" comment="m³ gasoil vers t CO2">36.54*0.0733</definedName>
    <definedName name="m3LPGToGJp" comment="t LPG vers GJp">23.498</definedName>
    <definedName name="m3LPGTotCO2" comment="m³ LPG to t CO2">0.0624*25.54</definedName>
    <definedName name="MWhélecToGJp" comment="MWh final électricité vers GJp">3.6*2.5</definedName>
    <definedName name="MWhélecTotCO2" comment="MWh électicité finale vers t CO2">2.5*3.6*55.8/1000</definedName>
    <definedName name="MWhGazToGJp" comment="MWh pcs paz nat vers GJp">0.903*3.6</definedName>
    <definedName name="MWhGazTotCO2" comment="MWh pcs GN to t CO2">3.6*0.903*0.0558</definedName>
    <definedName name="Poste">Paramètres!$A$27:$A$29</definedName>
    <definedName name="SECT">#REF!</definedName>
    <definedName name="Secteur">#REF!,#REF!,#REF!</definedName>
    <definedName name="table">[1]Constantes!$A$8:$A$9</definedName>
    <definedName name="TCONSCh">#REF!</definedName>
    <definedName name="TCONSFd">#REF!</definedName>
    <definedName name="tFuelToGJp" comment="t fuel vers GJp">40.5</definedName>
    <definedName name="tFuelTotCO2" comment="t Fuel vers t CO2">40.5*0.0766</definedName>
    <definedName name="Touinon">[1]Constantes!$A$8:$B$9</definedName>
    <definedName name="WeerstandRse">[1]Constantes0!$B$5</definedName>
    <definedName name="WeerstandRsi">[1]Constantes0!$B$4</definedName>
    <definedName name="_xlnm.Print_Area" localSheetId="6">AA0!$B$1:$H$87</definedName>
    <definedName name="_xlnm.Print_Area" localSheetId="7">'AA1'!$B$1:$H$87</definedName>
    <definedName name="_xlnm.Print_Area" localSheetId="8">'AA2'!$B$1:$H$87</definedName>
    <definedName name="_xlnm.Print_Area" localSheetId="9">'AA3'!$B$1:$H$87</definedName>
    <definedName name="_xlnm.Print_Area" localSheetId="10">'AA4'!$B$1:$H$87</definedName>
    <definedName name="_xlnm.Print_Area" localSheetId="11">'AA5'!$B$1:$H$87</definedName>
    <definedName name="_xlnm.Print_Area" localSheetId="12">'AA6'!$B$1:$H$87</definedName>
    <definedName name="_xlnm.Print_Area" localSheetId="13">'AA7'!$B$1:$H$87</definedName>
    <definedName name="_xlnm.Print_Area" localSheetId="14">'AA8'!$B$1:$H$87</definedName>
    <definedName name="_xlnm.Print_Area" localSheetId="15">'AA9'!$B$1:$H$87</definedName>
    <definedName name="_xlnm.Print_Area" localSheetId="0">Entête!$A$1:$F$27</definedName>
    <definedName name="_xlnm.Print_Area" localSheetId="5">PA!$B$1:$L$14</definedName>
  </definedNames>
  <calcPr calcId="191028"/>
  <pivotCaches>
    <pivotCache cacheId="1" r:id="rId21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3" i="84" l="1"/>
  <c r="G38" i="105"/>
  <c r="G36" i="105"/>
  <c r="A33" i="105"/>
  <c r="F31" i="105"/>
  <c r="AN16" i="105" s="1"/>
  <c r="E31" i="105"/>
  <c r="E36" i="105" s="1"/>
  <c r="D31" i="105"/>
  <c r="AL15" i="105" s="1"/>
  <c r="C31" i="105"/>
  <c r="C36" i="105" s="1"/>
  <c r="E30" i="105"/>
  <c r="Y16" i="105" s="1"/>
  <c r="D30" i="105"/>
  <c r="X13" i="105" s="1"/>
  <c r="C30" i="105"/>
  <c r="W13" i="105" s="1"/>
  <c r="F28" i="105"/>
  <c r="E28" i="105"/>
  <c r="D28" i="105"/>
  <c r="C28" i="105"/>
  <c r="I25" i="105"/>
  <c r="F25" i="105"/>
  <c r="F38" i="105" s="1"/>
  <c r="E25" i="105"/>
  <c r="E38" i="105" s="1"/>
  <c r="D25" i="105"/>
  <c r="D38" i="105" s="1"/>
  <c r="C25" i="105"/>
  <c r="C38" i="105" s="1"/>
  <c r="H20" i="105"/>
  <c r="G20" i="105"/>
  <c r="I17" i="105"/>
  <c r="H17" i="105"/>
  <c r="G17" i="105"/>
  <c r="F17" i="105"/>
  <c r="E17" i="105"/>
  <c r="D17" i="105"/>
  <c r="C17" i="105"/>
  <c r="C27" i="105" s="1"/>
  <c r="AM16" i="105"/>
  <c r="AL16" i="105"/>
  <c r="AK16" i="105"/>
  <c r="S16" i="105"/>
  <c r="R16" i="105"/>
  <c r="S15" i="105"/>
  <c r="R15" i="105"/>
  <c r="S14" i="105"/>
  <c r="R14" i="105"/>
  <c r="AX13" i="105"/>
  <c r="AW13" i="105"/>
  <c r="AV13" i="105"/>
  <c r="AU13" i="105"/>
  <c r="AS13" i="105"/>
  <c r="AT13" i="105" s="1"/>
  <c r="AQ13" i="105"/>
  <c r="AN13" i="105"/>
  <c r="AM13" i="105"/>
  <c r="AI13" i="105"/>
  <c r="AH13" i="105"/>
  <c r="AG13" i="105"/>
  <c r="AF13" i="105"/>
  <c r="AD13" i="105"/>
  <c r="AE13" i="105" s="1"/>
  <c r="U13" i="105"/>
  <c r="T13" i="105"/>
  <c r="AX12" i="105"/>
  <c r="AW12" i="105"/>
  <c r="AV12" i="105"/>
  <c r="AU12" i="105"/>
  <c r="AS12" i="105"/>
  <c r="AT12" i="105" s="1"/>
  <c r="AQ12" i="105"/>
  <c r="AN12" i="105"/>
  <c r="AI12" i="105"/>
  <c r="AH12" i="105"/>
  <c r="AG12" i="105"/>
  <c r="AF12" i="105"/>
  <c r="AD12" i="105"/>
  <c r="AE12" i="105" s="1"/>
  <c r="Y12" i="105"/>
  <c r="U12" i="105"/>
  <c r="T12" i="105"/>
  <c r="AX11" i="105"/>
  <c r="AW11" i="105"/>
  <c r="AV11" i="105"/>
  <c r="AU11" i="105"/>
  <c r="AS11" i="105"/>
  <c r="AT11" i="105" s="1"/>
  <c r="AI11" i="105"/>
  <c r="AH11" i="105"/>
  <c r="AG11" i="105"/>
  <c r="AF11" i="105"/>
  <c r="AD11" i="105"/>
  <c r="AX10" i="105"/>
  <c r="AW10" i="105"/>
  <c r="AV10" i="105"/>
  <c r="AU10" i="105"/>
  <c r="AS10" i="105"/>
  <c r="AT10" i="105" s="1"/>
  <c r="AQ10" i="105"/>
  <c r="AN10" i="105"/>
  <c r="AM10" i="105"/>
  <c r="AL10" i="105"/>
  <c r="AI10" i="105"/>
  <c r="AH10" i="105"/>
  <c r="AG10" i="105"/>
  <c r="AF10" i="105"/>
  <c r="AD10" i="105"/>
  <c r="AE10" i="105" s="1"/>
  <c r="Y10" i="105"/>
  <c r="U10" i="105"/>
  <c r="T10" i="105"/>
  <c r="AX9" i="105"/>
  <c r="AW9" i="105"/>
  <c r="AV9" i="105"/>
  <c r="AU9" i="105"/>
  <c r="AS9" i="105"/>
  <c r="AT9" i="105" s="1"/>
  <c r="AQ9" i="105"/>
  <c r="AN9" i="105"/>
  <c r="AM9" i="105"/>
  <c r="AI9" i="105"/>
  <c r="AH9" i="105"/>
  <c r="AG9" i="105"/>
  <c r="AF9" i="105"/>
  <c r="AE9" i="105"/>
  <c r="AD9" i="105"/>
  <c r="U9" i="105"/>
  <c r="T9" i="105"/>
  <c r="AX8" i="105"/>
  <c r="AW8" i="105"/>
  <c r="AV8" i="105"/>
  <c r="AU8" i="105"/>
  <c r="AT8" i="105"/>
  <c r="AS8" i="105"/>
  <c r="AI8" i="105"/>
  <c r="AH8" i="105"/>
  <c r="AG8" i="105"/>
  <c r="AF8" i="105"/>
  <c r="AD8" i="105"/>
  <c r="AV7" i="105"/>
  <c r="AQ7" i="105"/>
  <c r="AQ17" i="105" s="1"/>
  <c r="AN7" i="105"/>
  <c r="AM7" i="105"/>
  <c r="AG7" i="105"/>
  <c r="Y7" i="105"/>
  <c r="A7" i="105"/>
  <c r="K7" i="105" s="1"/>
  <c r="AV6" i="105"/>
  <c r="AQ6" i="105"/>
  <c r="AQ18" i="105" s="1"/>
  <c r="AN6" i="105"/>
  <c r="AM6" i="105"/>
  <c r="AG6" i="105"/>
  <c r="K6" i="105"/>
  <c r="I4" i="105"/>
  <c r="F4" i="105"/>
  <c r="E4" i="105"/>
  <c r="D4" i="105"/>
  <c r="C4" i="105"/>
  <c r="AP3" i="105"/>
  <c r="AO3" i="105"/>
  <c r="AN3" i="105"/>
  <c r="AM3" i="105"/>
  <c r="AL3" i="105"/>
  <c r="AK3" i="105"/>
  <c r="AB3" i="105"/>
  <c r="AA3" i="105"/>
  <c r="U3" i="105"/>
  <c r="T3" i="105"/>
  <c r="I3" i="105"/>
  <c r="AQ3" i="105" s="1"/>
  <c r="F3" i="105"/>
  <c r="F33" i="105" s="1"/>
  <c r="E3" i="105"/>
  <c r="Y3" i="105" s="1"/>
  <c r="D3" i="105"/>
  <c r="X3" i="105" s="1"/>
  <c r="C3" i="105"/>
  <c r="C33" i="105" s="1"/>
  <c r="F35" i="84"/>
  <c r="N23" i="84"/>
  <c r="M23" i="84"/>
  <c r="L23" i="84"/>
  <c r="G23" i="84"/>
  <c r="AF23" i="84"/>
  <c r="D23" i="84"/>
  <c r="C23" i="84"/>
  <c r="B23" i="84"/>
  <c r="AR107" i="104"/>
  <c r="AQ107" i="104"/>
  <c r="AP107" i="104"/>
  <c r="AO107" i="104"/>
  <c r="AN107" i="104"/>
  <c r="AM107" i="104"/>
  <c r="AL107" i="104"/>
  <c r="AK107" i="104"/>
  <c r="AJ107" i="104"/>
  <c r="AI107" i="104"/>
  <c r="AH107" i="104"/>
  <c r="AG107" i="104"/>
  <c r="AF107" i="104"/>
  <c r="AE107" i="104"/>
  <c r="AD107" i="104"/>
  <c r="AC107" i="104"/>
  <c r="AB107" i="104"/>
  <c r="AA107" i="104"/>
  <c r="Z107" i="104"/>
  <c r="Y107" i="104"/>
  <c r="X107" i="104"/>
  <c r="W107" i="104"/>
  <c r="V107" i="104"/>
  <c r="U107" i="104"/>
  <c r="T107" i="104"/>
  <c r="S107" i="104"/>
  <c r="R107" i="104"/>
  <c r="Q107" i="104"/>
  <c r="P107" i="104"/>
  <c r="O107" i="104"/>
  <c r="AR106" i="104"/>
  <c r="AQ106" i="104"/>
  <c r="AP106" i="104"/>
  <c r="AO106" i="104"/>
  <c r="AN106" i="104"/>
  <c r="AM106" i="104"/>
  <c r="AL106" i="104"/>
  <c r="AK106" i="104"/>
  <c r="AJ106" i="104"/>
  <c r="AI106" i="104"/>
  <c r="AH106" i="104"/>
  <c r="AG106" i="104"/>
  <c r="AF106" i="104"/>
  <c r="AE106" i="104"/>
  <c r="AD106" i="104"/>
  <c r="AC106" i="104"/>
  <c r="AB106" i="104"/>
  <c r="AA106" i="104"/>
  <c r="Z106" i="104"/>
  <c r="Y106" i="104"/>
  <c r="X106" i="104"/>
  <c r="W106" i="104"/>
  <c r="V106" i="104"/>
  <c r="U106" i="104"/>
  <c r="T106" i="104"/>
  <c r="S106" i="104"/>
  <c r="R106" i="104"/>
  <c r="Q106" i="104"/>
  <c r="P106" i="104"/>
  <c r="O106" i="104"/>
  <c r="AR104" i="104"/>
  <c r="AQ104" i="104"/>
  <c r="AP104" i="104"/>
  <c r="AO104" i="104"/>
  <c r="AN104" i="104"/>
  <c r="AM104" i="104"/>
  <c r="AL104" i="104"/>
  <c r="AK104" i="104"/>
  <c r="AJ104" i="104"/>
  <c r="AI104" i="104"/>
  <c r="AH104" i="104"/>
  <c r="AG104" i="104"/>
  <c r="AF104" i="104"/>
  <c r="AE104" i="104"/>
  <c r="AD104" i="104"/>
  <c r="AC104" i="104"/>
  <c r="AB104" i="104"/>
  <c r="AA104" i="104"/>
  <c r="Z104" i="104"/>
  <c r="Y104" i="104"/>
  <c r="X104" i="104"/>
  <c r="W104" i="104"/>
  <c r="V104" i="104"/>
  <c r="U104" i="104"/>
  <c r="T104" i="104"/>
  <c r="S104" i="104"/>
  <c r="R104" i="104"/>
  <c r="Q104" i="104"/>
  <c r="P104" i="104"/>
  <c r="O104" i="104"/>
  <c r="N103" i="104"/>
  <c r="N102" i="104"/>
  <c r="N109" i="104" s="1"/>
  <c r="N111" i="104" s="1"/>
  <c r="N101" i="104"/>
  <c r="E86" i="104"/>
  <c r="AR85" i="104"/>
  <c r="AQ85" i="104"/>
  <c r="AP85" i="104"/>
  <c r="AO85" i="104"/>
  <c r="AN85" i="104"/>
  <c r="AM85" i="104"/>
  <c r="AL85" i="104"/>
  <c r="AK85" i="104"/>
  <c r="AJ85" i="104"/>
  <c r="AI85" i="104"/>
  <c r="AH85" i="104"/>
  <c r="AG85" i="104"/>
  <c r="AF85" i="104"/>
  <c r="AE85" i="104"/>
  <c r="AD85" i="104"/>
  <c r="AC85" i="104"/>
  <c r="AB85" i="104"/>
  <c r="AA85" i="104"/>
  <c r="Z85" i="104"/>
  <c r="Y85" i="104"/>
  <c r="X85" i="104"/>
  <c r="W85" i="104"/>
  <c r="V85" i="104"/>
  <c r="U85" i="104"/>
  <c r="T85" i="104"/>
  <c r="S85" i="104"/>
  <c r="R85" i="104"/>
  <c r="Q85" i="104"/>
  <c r="P85" i="104"/>
  <c r="O85" i="104"/>
  <c r="E85" i="104"/>
  <c r="C85" i="104"/>
  <c r="G85" i="104" s="1"/>
  <c r="E84" i="104"/>
  <c r="N83" i="104"/>
  <c r="E83" i="104"/>
  <c r="N82" i="104"/>
  <c r="E82" i="104"/>
  <c r="N81" i="104"/>
  <c r="D81" i="104"/>
  <c r="C81" i="104"/>
  <c r="B81" i="104"/>
  <c r="E76" i="104"/>
  <c r="C76" i="104"/>
  <c r="C86" i="104" s="1"/>
  <c r="E75" i="104"/>
  <c r="C75" i="104"/>
  <c r="B75" i="104"/>
  <c r="B85" i="104" s="1"/>
  <c r="C74" i="104"/>
  <c r="C84" i="104" s="1"/>
  <c r="E73" i="104"/>
  <c r="G73" i="104" s="1"/>
  <c r="C73" i="104"/>
  <c r="C83" i="104" s="1"/>
  <c r="E72" i="104"/>
  <c r="C72" i="104"/>
  <c r="C82" i="104" s="1"/>
  <c r="G67" i="104"/>
  <c r="G61" i="104"/>
  <c r="D54" i="104"/>
  <c r="D76" i="104" s="1"/>
  <c r="D86" i="104" s="1"/>
  <c r="F86" i="104" s="1"/>
  <c r="B54" i="104"/>
  <c r="B76" i="104" s="1"/>
  <c r="B86" i="104" s="1"/>
  <c r="D53" i="104"/>
  <c r="D75" i="104" s="1"/>
  <c r="B53" i="104"/>
  <c r="D52" i="104"/>
  <c r="D74" i="104" s="1"/>
  <c r="B52" i="104"/>
  <c r="B74" i="104" s="1"/>
  <c r="B84" i="104" s="1"/>
  <c r="D51" i="104"/>
  <c r="D73" i="104" s="1"/>
  <c r="B51" i="104"/>
  <c r="B73" i="104" s="1"/>
  <c r="B83" i="104" s="1"/>
  <c r="D50" i="104"/>
  <c r="D72" i="104" s="1"/>
  <c r="D82" i="104" s="1"/>
  <c r="F82" i="104" s="1"/>
  <c r="B50" i="104"/>
  <c r="B72" i="104" s="1"/>
  <c r="B82" i="104" s="1"/>
  <c r="N48" i="104"/>
  <c r="M65" i="104" s="1"/>
  <c r="K42" i="104"/>
  <c r="K41" i="104"/>
  <c r="K40" i="104"/>
  <c r="N39" i="104"/>
  <c r="K39" i="104"/>
  <c r="N38" i="104"/>
  <c r="K38" i="104"/>
  <c r="N37" i="104"/>
  <c r="K37" i="104"/>
  <c r="F25" i="104"/>
  <c r="F23" i="104"/>
  <c r="K18" i="104"/>
  <c r="K16" i="104"/>
  <c r="AR110" i="104" s="1"/>
  <c r="B1" i="104"/>
  <c r="N14" i="84"/>
  <c r="M14" i="84"/>
  <c r="L14" i="84"/>
  <c r="G14" i="84"/>
  <c r="E14" i="84"/>
  <c r="Y14" i="84" s="1"/>
  <c r="D14" i="84"/>
  <c r="C14" i="84"/>
  <c r="B14" i="84"/>
  <c r="AR107" i="103"/>
  <c r="AQ107" i="103"/>
  <c r="AP107" i="103"/>
  <c r="AO107" i="103"/>
  <c r="AN107" i="103"/>
  <c r="AM107" i="103"/>
  <c r="AL107" i="103"/>
  <c r="AK107" i="103"/>
  <c r="AJ107" i="103"/>
  <c r="AI107" i="103"/>
  <c r="AH107" i="103"/>
  <c r="AG107" i="103"/>
  <c r="AF107" i="103"/>
  <c r="AE107" i="103"/>
  <c r="AD107" i="103"/>
  <c r="AC107" i="103"/>
  <c r="AB107" i="103"/>
  <c r="AA107" i="103"/>
  <c r="Z107" i="103"/>
  <c r="Y107" i="103"/>
  <c r="X107" i="103"/>
  <c r="W107" i="103"/>
  <c r="V107" i="103"/>
  <c r="U107" i="103"/>
  <c r="T107" i="103"/>
  <c r="S107" i="103"/>
  <c r="R107" i="103"/>
  <c r="Q107" i="103"/>
  <c r="P107" i="103"/>
  <c r="O107" i="103"/>
  <c r="AR106" i="103"/>
  <c r="AQ106" i="103"/>
  <c r="AP106" i="103"/>
  <c r="AO106" i="103"/>
  <c r="AN106" i="103"/>
  <c r="AM106" i="103"/>
  <c r="AL106" i="103"/>
  <c r="AK106" i="103"/>
  <c r="AJ106" i="103"/>
  <c r="AI106" i="103"/>
  <c r="AH106" i="103"/>
  <c r="AG106" i="103"/>
  <c r="AF106" i="103"/>
  <c r="AE106" i="103"/>
  <c r="AD106" i="103"/>
  <c r="AC106" i="103"/>
  <c r="AB106" i="103"/>
  <c r="AA106" i="103"/>
  <c r="Z106" i="103"/>
  <c r="Y106" i="103"/>
  <c r="X106" i="103"/>
  <c r="W106" i="103"/>
  <c r="V106" i="103"/>
  <c r="U106" i="103"/>
  <c r="T106" i="103"/>
  <c r="S106" i="103"/>
  <c r="R106" i="103"/>
  <c r="Q106" i="103"/>
  <c r="P106" i="103"/>
  <c r="O106" i="103"/>
  <c r="AR104" i="103"/>
  <c r="AQ104" i="103"/>
  <c r="AP104" i="103"/>
  <c r="AO104" i="103"/>
  <c r="AN104" i="103"/>
  <c r="AM104" i="103"/>
  <c r="AL104" i="103"/>
  <c r="AK104" i="103"/>
  <c r="AJ104" i="103"/>
  <c r="AI104" i="103"/>
  <c r="AH104" i="103"/>
  <c r="AG104" i="103"/>
  <c r="AF104" i="103"/>
  <c r="AE104" i="103"/>
  <c r="AD104" i="103"/>
  <c r="AC104" i="103"/>
  <c r="AB104" i="103"/>
  <c r="AA104" i="103"/>
  <c r="Z104" i="103"/>
  <c r="Y104" i="103"/>
  <c r="X104" i="103"/>
  <c r="W104" i="103"/>
  <c r="V104" i="103"/>
  <c r="U104" i="103"/>
  <c r="T104" i="103"/>
  <c r="S104" i="103"/>
  <c r="R104" i="103"/>
  <c r="Q104" i="103"/>
  <c r="P104" i="103"/>
  <c r="O104" i="103"/>
  <c r="N103" i="103"/>
  <c r="N102" i="103"/>
  <c r="N109" i="103" s="1"/>
  <c r="N111" i="103" s="1"/>
  <c r="N101" i="103"/>
  <c r="E86" i="103"/>
  <c r="AR85" i="103"/>
  <c r="AQ85" i="103"/>
  <c r="AP85" i="103"/>
  <c r="AO85" i="103"/>
  <c r="AN85" i="103"/>
  <c r="AM85" i="103"/>
  <c r="AL85" i="103"/>
  <c r="AK85" i="103"/>
  <c r="AJ85" i="103"/>
  <c r="AI85" i="103"/>
  <c r="AH85" i="103"/>
  <c r="AG85" i="103"/>
  <c r="AF85" i="103"/>
  <c r="AE85" i="103"/>
  <c r="AD85" i="103"/>
  <c r="AC85" i="103"/>
  <c r="AB85" i="103"/>
  <c r="AA85" i="103"/>
  <c r="Z85" i="103"/>
  <c r="Y85" i="103"/>
  <c r="X85" i="103"/>
  <c r="W85" i="103"/>
  <c r="V85" i="103"/>
  <c r="U85" i="103"/>
  <c r="T85" i="103"/>
  <c r="S85" i="103"/>
  <c r="R85" i="103"/>
  <c r="Q85" i="103"/>
  <c r="P85" i="103"/>
  <c r="O85" i="103"/>
  <c r="E85" i="103"/>
  <c r="C85" i="103"/>
  <c r="E84" i="103"/>
  <c r="N83" i="103"/>
  <c r="E83" i="103"/>
  <c r="N82" i="103"/>
  <c r="E82" i="103"/>
  <c r="N81" i="103"/>
  <c r="D81" i="103"/>
  <c r="C81" i="103"/>
  <c r="B81" i="103"/>
  <c r="E76" i="103"/>
  <c r="C76" i="103"/>
  <c r="C86" i="103" s="1"/>
  <c r="E75" i="103"/>
  <c r="C75" i="103"/>
  <c r="E73" i="103"/>
  <c r="C73" i="103"/>
  <c r="C83" i="103" s="1"/>
  <c r="E72" i="103"/>
  <c r="C72" i="103"/>
  <c r="C82" i="103" s="1"/>
  <c r="G67" i="103"/>
  <c r="G61" i="103"/>
  <c r="D54" i="103"/>
  <c r="D76" i="103" s="1"/>
  <c r="D86" i="103" s="1"/>
  <c r="F86" i="103" s="1"/>
  <c r="B54" i="103"/>
  <c r="B76" i="103" s="1"/>
  <c r="B86" i="103" s="1"/>
  <c r="D53" i="103"/>
  <c r="D75" i="103" s="1"/>
  <c r="B53" i="103"/>
  <c r="B75" i="103" s="1"/>
  <c r="B85" i="103" s="1"/>
  <c r="D52" i="103"/>
  <c r="D74" i="103" s="1"/>
  <c r="C74" i="103"/>
  <c r="B52" i="103"/>
  <c r="B74" i="103" s="1"/>
  <c r="B84" i="103" s="1"/>
  <c r="D51" i="103"/>
  <c r="D73" i="103" s="1"/>
  <c r="B51" i="103"/>
  <c r="B73" i="103" s="1"/>
  <c r="B83" i="103" s="1"/>
  <c r="D50" i="103"/>
  <c r="D72" i="103" s="1"/>
  <c r="B50" i="103"/>
  <c r="B72" i="103" s="1"/>
  <c r="B82" i="103" s="1"/>
  <c r="N48" i="103"/>
  <c r="M65" i="103" s="1"/>
  <c r="K42" i="103"/>
  <c r="K41" i="103"/>
  <c r="K40" i="103"/>
  <c r="N39" i="103"/>
  <c r="K39" i="103"/>
  <c r="N38" i="103"/>
  <c r="K38" i="103"/>
  <c r="N37" i="103"/>
  <c r="K37" i="103"/>
  <c r="F25" i="103"/>
  <c r="F23" i="103"/>
  <c r="K18" i="103"/>
  <c r="K16" i="103"/>
  <c r="AR110" i="103" s="1"/>
  <c r="B1" i="103"/>
  <c r="C53" i="96"/>
  <c r="C50" i="92"/>
  <c r="AL6" i="105" l="1"/>
  <c r="AK13" i="105"/>
  <c r="G82" i="103"/>
  <c r="I14" i="84" s="1"/>
  <c r="AL13" i="105"/>
  <c r="G82" i="104"/>
  <c r="I23" i="84" s="1"/>
  <c r="AK10" i="105"/>
  <c r="AK12" i="105"/>
  <c r="AK7" i="105"/>
  <c r="AL12" i="105"/>
  <c r="AL7" i="105"/>
  <c r="AK9" i="105"/>
  <c r="AL9" i="105"/>
  <c r="AL17" i="105" s="1"/>
  <c r="AK6" i="105"/>
  <c r="X16" i="105"/>
  <c r="X9" i="105"/>
  <c r="X12" i="105"/>
  <c r="X7" i="105"/>
  <c r="W15" i="105"/>
  <c r="G31" i="105"/>
  <c r="AO15" i="105" s="1"/>
  <c r="X6" i="105"/>
  <c r="X15" i="105"/>
  <c r="AK15" i="105"/>
  <c r="X10" i="105"/>
  <c r="AN15" i="105"/>
  <c r="AN18" i="105" s="1"/>
  <c r="G75" i="103"/>
  <c r="W3" i="105"/>
  <c r="G86" i="104"/>
  <c r="Y9" i="105"/>
  <c r="AM15" i="105"/>
  <c r="H31" i="105"/>
  <c r="AP12" i="105" s="1"/>
  <c r="G84" i="104"/>
  <c r="W9" i="105"/>
  <c r="AK105" i="104"/>
  <c r="AK108" i="104" s="1"/>
  <c r="AK109" i="104" s="1"/>
  <c r="AB88" i="103"/>
  <c r="N47" i="103"/>
  <c r="M64" i="103" s="1"/>
  <c r="O105" i="103" s="1"/>
  <c r="G83" i="103"/>
  <c r="F14" i="84" s="1"/>
  <c r="O14" i="84" s="1"/>
  <c r="T88" i="103"/>
  <c r="AB88" i="104"/>
  <c r="AK87" i="104"/>
  <c r="W16" i="105"/>
  <c r="AK87" i="103"/>
  <c r="G75" i="104"/>
  <c r="T88" i="104"/>
  <c r="AJ88" i="104"/>
  <c r="U110" i="104"/>
  <c r="G86" i="103"/>
  <c r="G85" i="103"/>
  <c r="AJ88" i="103"/>
  <c r="AR88" i="104"/>
  <c r="AC110" i="104"/>
  <c r="Z3" i="105"/>
  <c r="W12" i="105"/>
  <c r="AM12" i="105"/>
  <c r="AM17" i="105" s="1"/>
  <c r="AR88" i="103"/>
  <c r="AK110" i="104"/>
  <c r="N47" i="104"/>
  <c r="M64" i="104" s="1"/>
  <c r="O87" i="104" s="1"/>
  <c r="G83" i="104"/>
  <c r="F23" i="84" s="1"/>
  <c r="O23" i="84" s="1"/>
  <c r="W6" i="105"/>
  <c r="W7" i="105"/>
  <c r="W10" i="105"/>
  <c r="F36" i="105"/>
  <c r="F27" i="105"/>
  <c r="D36" i="105"/>
  <c r="H38" i="105"/>
  <c r="AP16" i="105"/>
  <c r="H36" i="105"/>
  <c r="D33" i="105"/>
  <c r="A9" i="105"/>
  <c r="Y13" i="105"/>
  <c r="AN17" i="105"/>
  <c r="E33" i="105"/>
  <c r="Y6" i="105"/>
  <c r="D27" i="105"/>
  <c r="C35" i="105"/>
  <c r="D35" i="105"/>
  <c r="E27" i="105"/>
  <c r="AO7" i="105"/>
  <c r="Y15" i="105"/>
  <c r="E35" i="105"/>
  <c r="E37" i="105" s="1"/>
  <c r="AF14" i="84"/>
  <c r="Q14" i="84"/>
  <c r="S14" i="84"/>
  <c r="Q23" i="84"/>
  <c r="Y23" i="84"/>
  <c r="R23" i="84"/>
  <c r="Z23" i="84"/>
  <c r="S23" i="84"/>
  <c r="T23" i="84"/>
  <c r="AB23" i="84"/>
  <c r="U23" i="84"/>
  <c r="AC23" i="84"/>
  <c r="V23" i="84"/>
  <c r="W23" i="84"/>
  <c r="AE23" i="84"/>
  <c r="P23" i="84"/>
  <c r="X23" i="84"/>
  <c r="F74" i="104"/>
  <c r="D84" i="104"/>
  <c r="F84" i="104" s="1"/>
  <c r="N112" i="104"/>
  <c r="N113" i="104" s="1"/>
  <c r="M116" i="104" s="1" a="1"/>
  <c r="M116" i="104" s="1"/>
  <c r="N18" i="104" s="1"/>
  <c r="D83" i="104"/>
  <c r="F83" i="104" s="1"/>
  <c r="F73" i="104"/>
  <c r="F75" i="104"/>
  <c r="D85" i="104"/>
  <c r="F85" i="104" s="1"/>
  <c r="AD87" i="104"/>
  <c r="AL87" i="104"/>
  <c r="U88" i="104"/>
  <c r="AC88" i="104"/>
  <c r="AK88" i="104"/>
  <c r="AD105" i="104"/>
  <c r="AL105" i="104"/>
  <c r="N110" i="104"/>
  <c r="V110" i="104"/>
  <c r="AD110" i="104"/>
  <c r="AL110" i="104"/>
  <c r="F72" i="104"/>
  <c r="F76" i="104"/>
  <c r="AE87" i="104"/>
  <c r="AM87" i="104"/>
  <c r="N88" i="104"/>
  <c r="N89" i="104" s="1"/>
  <c r="V88" i="104"/>
  <c r="AD88" i="104"/>
  <c r="AL88" i="104"/>
  <c r="AE105" i="104"/>
  <c r="AE108" i="104" s="1"/>
  <c r="AE109" i="104" s="1"/>
  <c r="AM105" i="104"/>
  <c r="O110" i="104"/>
  <c r="W110" i="104"/>
  <c r="AE110" i="104"/>
  <c r="AM110" i="104"/>
  <c r="G72" i="104"/>
  <c r="G76" i="104"/>
  <c r="AF87" i="104"/>
  <c r="AN87" i="104"/>
  <c r="O88" i="104"/>
  <c r="W88" i="104"/>
  <c r="AE88" i="104"/>
  <c r="AM88" i="104"/>
  <c r="AF105" i="104"/>
  <c r="AN105" i="104"/>
  <c r="P110" i="104"/>
  <c r="X110" i="104"/>
  <c r="AF110" i="104"/>
  <c r="AN110" i="104"/>
  <c r="AG87" i="104"/>
  <c r="AO87" i="104"/>
  <c r="P88" i="104"/>
  <c r="X88" i="104"/>
  <c r="AF88" i="104"/>
  <c r="AN88" i="104"/>
  <c r="AG105" i="104"/>
  <c r="AG108" i="104" s="1"/>
  <c r="AG109" i="104" s="1"/>
  <c r="AO105" i="104"/>
  <c r="Q110" i="104"/>
  <c r="Y110" i="104"/>
  <c r="AG110" i="104"/>
  <c r="AO110" i="104"/>
  <c r="AH87" i="104"/>
  <c r="AP87" i="104"/>
  <c r="Q88" i="104"/>
  <c r="Y88" i="104"/>
  <c r="AG88" i="104"/>
  <c r="AO88" i="104"/>
  <c r="AH105" i="104"/>
  <c r="AH108" i="104" s="1"/>
  <c r="AH109" i="104" s="1"/>
  <c r="AP105" i="104"/>
  <c r="AP108" i="104" s="1"/>
  <c r="AP109" i="104" s="1"/>
  <c r="R110" i="104"/>
  <c r="Z110" i="104"/>
  <c r="AH110" i="104"/>
  <c r="AP110" i="104"/>
  <c r="AI87" i="104"/>
  <c r="AQ87" i="104"/>
  <c r="R88" i="104"/>
  <c r="Z88" i="104"/>
  <c r="AH88" i="104"/>
  <c r="AP88" i="104"/>
  <c r="AI105" i="104"/>
  <c r="AI108" i="104" s="1"/>
  <c r="AI109" i="104" s="1"/>
  <c r="AQ105" i="104"/>
  <c r="S110" i="104"/>
  <c r="AA110" i="104"/>
  <c r="AI110" i="104"/>
  <c r="AQ110" i="104"/>
  <c r="AJ87" i="104"/>
  <c r="AR87" i="104"/>
  <c r="AR89" i="104" s="1"/>
  <c r="AR90" i="104" s="1"/>
  <c r="AR91" i="104" s="1"/>
  <c r="S88" i="104"/>
  <c r="AA88" i="104"/>
  <c r="AI88" i="104"/>
  <c r="AQ88" i="104"/>
  <c r="AJ105" i="104"/>
  <c r="AJ108" i="104" s="1"/>
  <c r="AJ109" i="104" s="1"/>
  <c r="AR105" i="104"/>
  <c r="AR108" i="104" s="1"/>
  <c r="AR109" i="104" s="1"/>
  <c r="T110" i="104"/>
  <c r="AB110" i="104"/>
  <c r="AJ110" i="104"/>
  <c r="G73" i="103"/>
  <c r="R14" i="84"/>
  <c r="Z14" i="84"/>
  <c r="T14" i="84"/>
  <c r="AB14" i="84"/>
  <c r="U14" i="84"/>
  <c r="AC14" i="84"/>
  <c r="V14" i="84"/>
  <c r="W14" i="84"/>
  <c r="AE14" i="84"/>
  <c r="P14" i="84"/>
  <c r="X14" i="84"/>
  <c r="C84" i="103"/>
  <c r="G84" i="103" s="1"/>
  <c r="F75" i="103"/>
  <c r="D85" i="103"/>
  <c r="F85" i="103" s="1"/>
  <c r="N112" i="103"/>
  <c r="N113" i="103" s="1"/>
  <c r="M116" i="103" s="1" a="1"/>
  <c r="M116" i="103" s="1"/>
  <c r="N18" i="103" s="1"/>
  <c r="D82" i="103"/>
  <c r="F82" i="103" s="1"/>
  <c r="F72" i="103"/>
  <c r="F74" i="103"/>
  <c r="D84" i="103"/>
  <c r="F84" i="103" s="1"/>
  <c r="F73" i="103"/>
  <c r="D83" i="103"/>
  <c r="F83" i="103" s="1"/>
  <c r="U110" i="103"/>
  <c r="AK110" i="103"/>
  <c r="AD87" i="103"/>
  <c r="AL87" i="103"/>
  <c r="U88" i="103"/>
  <c r="AC88" i="103"/>
  <c r="AK88" i="103"/>
  <c r="AK89" i="103" s="1"/>
  <c r="AK90" i="103" s="1"/>
  <c r="AK91" i="103" s="1"/>
  <c r="AD105" i="103"/>
  <c r="AD108" i="103" s="1"/>
  <c r="AD109" i="103" s="1"/>
  <c r="AL105" i="103"/>
  <c r="AL108" i="103" s="1"/>
  <c r="AL109" i="103" s="1"/>
  <c r="N110" i="103"/>
  <c r="V110" i="103"/>
  <c r="AD110" i="103"/>
  <c r="AL110" i="103"/>
  <c r="AK105" i="103"/>
  <c r="F76" i="103"/>
  <c r="AE87" i="103"/>
  <c r="AM87" i="103"/>
  <c r="N88" i="103"/>
  <c r="N89" i="103" s="1"/>
  <c r="V88" i="103"/>
  <c r="AD88" i="103"/>
  <c r="AL88" i="103"/>
  <c r="AE105" i="103"/>
  <c r="AE108" i="103" s="1"/>
  <c r="AE109" i="103" s="1"/>
  <c r="AM105" i="103"/>
  <c r="AK108" i="103"/>
  <c r="AK109" i="103" s="1"/>
  <c r="O110" i="103"/>
  <c r="W110" i="103"/>
  <c r="AE110" i="103"/>
  <c r="AM110" i="103"/>
  <c r="G72" i="103"/>
  <c r="G76" i="103"/>
  <c r="AF87" i="103"/>
  <c r="AN87" i="103"/>
  <c r="O88" i="103"/>
  <c r="W88" i="103"/>
  <c r="AE88" i="103"/>
  <c r="AM88" i="103"/>
  <c r="AF105" i="103"/>
  <c r="AN105" i="103"/>
  <c r="AN108" i="103" s="1"/>
  <c r="AN109" i="103" s="1"/>
  <c r="P110" i="103"/>
  <c r="X110" i="103"/>
  <c r="AF110" i="103"/>
  <c r="AN110" i="103"/>
  <c r="AC110" i="103"/>
  <c r="AG87" i="103"/>
  <c r="AO87" i="103"/>
  <c r="P88" i="103"/>
  <c r="X88" i="103"/>
  <c r="AF88" i="103"/>
  <c r="AN88" i="103"/>
  <c r="AG105" i="103"/>
  <c r="AG108" i="103" s="1"/>
  <c r="AG109" i="103" s="1"/>
  <c r="AO105" i="103"/>
  <c r="Q110" i="103"/>
  <c r="Y110" i="103"/>
  <c r="AG110" i="103"/>
  <c r="AO110" i="103"/>
  <c r="AH87" i="103"/>
  <c r="AP87" i="103"/>
  <c r="Q88" i="103"/>
  <c r="Y88" i="103"/>
  <c r="AG88" i="103"/>
  <c r="AO88" i="103"/>
  <c r="AH105" i="103"/>
  <c r="AH108" i="103" s="1"/>
  <c r="AH109" i="103" s="1"/>
  <c r="AP105" i="103"/>
  <c r="AP108" i="103" s="1"/>
  <c r="AP109" i="103" s="1"/>
  <c r="R110" i="103"/>
  <c r="Z110" i="103"/>
  <c r="AH110" i="103"/>
  <c r="AP110" i="103"/>
  <c r="AI87" i="103"/>
  <c r="AQ87" i="103"/>
  <c r="R88" i="103"/>
  <c r="Z88" i="103"/>
  <c r="AH88" i="103"/>
  <c r="AP88" i="103"/>
  <c r="AI105" i="103"/>
  <c r="AI108" i="103" s="1"/>
  <c r="AI109" i="103" s="1"/>
  <c r="AQ105" i="103"/>
  <c r="AQ108" i="103" s="1"/>
  <c r="AQ109" i="103" s="1"/>
  <c r="S110" i="103"/>
  <c r="AA110" i="103"/>
  <c r="AI110" i="103"/>
  <c r="AQ110" i="103"/>
  <c r="AJ87" i="103"/>
  <c r="AR87" i="103"/>
  <c r="S88" i="103"/>
  <c r="AA88" i="103"/>
  <c r="AI88" i="103"/>
  <c r="AQ88" i="103"/>
  <c r="AJ105" i="103"/>
  <c r="AR105" i="103"/>
  <c r="AR108" i="103" s="1"/>
  <c r="AR109" i="103" s="1"/>
  <c r="T110" i="103"/>
  <c r="AB110" i="103"/>
  <c r="AJ110" i="103"/>
  <c r="AL18" i="105" l="1"/>
  <c r="X17" i="105"/>
  <c r="AK17" i="105"/>
  <c r="AP7" i="105"/>
  <c r="AI89" i="104"/>
  <c r="AI90" i="104" s="1"/>
  <c r="AI91" i="104" s="1"/>
  <c r="AK89" i="104"/>
  <c r="AK90" i="104" s="1"/>
  <c r="AK91" i="104" s="1"/>
  <c r="X18" i="105"/>
  <c r="AK18" i="105"/>
  <c r="G87" i="103"/>
  <c r="AO10" i="105"/>
  <c r="AO12" i="105"/>
  <c r="AO13" i="105"/>
  <c r="AO9" i="105"/>
  <c r="AK111" i="104"/>
  <c r="AK112" i="104" s="1"/>
  <c r="AK113" i="104" s="1"/>
  <c r="O105" i="104"/>
  <c r="O108" i="104" s="1"/>
  <c r="O109" i="104" s="1"/>
  <c r="O111" i="104" s="1"/>
  <c r="O112" i="104" s="1"/>
  <c r="O113" i="104" s="1"/>
  <c r="AE89" i="103"/>
  <c r="AE90" i="103" s="1"/>
  <c r="AE91" i="103" s="1"/>
  <c r="AL89" i="103"/>
  <c r="AL90" i="103" s="1"/>
  <c r="AL91" i="103" s="1"/>
  <c r="AD89" i="103"/>
  <c r="AD90" i="103" s="1"/>
  <c r="AD91" i="103" s="1"/>
  <c r="AO16" i="105"/>
  <c r="W17" i="105"/>
  <c r="AO6" i="105"/>
  <c r="O89" i="104"/>
  <c r="O90" i="104" s="1"/>
  <c r="O91" i="104" s="1"/>
  <c r="AM89" i="103"/>
  <c r="AM90" i="103" s="1"/>
  <c r="AM91" i="103" s="1"/>
  <c r="AP9" i="105"/>
  <c r="AH111" i="104"/>
  <c r="AH112" i="104" s="1"/>
  <c r="AH113" i="104" s="1"/>
  <c r="AP15" i="105"/>
  <c r="AP111" i="103"/>
  <c r="AP112" i="103" s="1"/>
  <c r="AP113" i="103" s="1"/>
  <c r="AN89" i="104"/>
  <c r="AN90" i="104" s="1"/>
  <c r="AN91" i="104" s="1"/>
  <c r="AG111" i="103"/>
  <c r="AG112" i="103" s="1"/>
  <c r="AG113" i="103" s="1"/>
  <c r="AN111" i="103"/>
  <c r="AN112" i="103" s="1"/>
  <c r="AN113" i="103" s="1"/>
  <c r="AI111" i="104"/>
  <c r="AI112" i="104" s="1"/>
  <c r="AI113" i="104" s="1"/>
  <c r="AG89" i="104"/>
  <c r="AG90" i="104" s="1"/>
  <c r="AG91" i="104" s="1"/>
  <c r="AF89" i="104"/>
  <c r="AF90" i="104" s="1"/>
  <c r="AF91" i="104" s="1"/>
  <c r="AM18" i="105"/>
  <c r="AR18" i="105" s="1"/>
  <c r="AM89" i="104"/>
  <c r="AM90" i="104" s="1"/>
  <c r="AM91" i="104" s="1"/>
  <c r="AP13" i="105"/>
  <c r="AP111" i="104"/>
  <c r="AP112" i="104" s="1"/>
  <c r="AP113" i="104" s="1"/>
  <c r="AP6" i="105"/>
  <c r="G87" i="104"/>
  <c r="AS7" i="105"/>
  <c r="AU7" i="105" s="1"/>
  <c r="Q7" i="105" s="1"/>
  <c r="U7" i="105" s="1"/>
  <c r="AP10" i="105"/>
  <c r="AS6" i="105"/>
  <c r="AJ89" i="103"/>
  <c r="AJ90" i="103" s="1"/>
  <c r="AJ91" i="103" s="1"/>
  <c r="AQ89" i="104"/>
  <c r="AQ90" i="104" s="1"/>
  <c r="AQ91" i="104" s="1"/>
  <c r="AP89" i="104"/>
  <c r="AP90" i="104" s="1"/>
  <c r="AP91" i="104" s="1"/>
  <c r="O87" i="103"/>
  <c r="O89" i="103" s="1"/>
  <c r="O90" i="103" s="1"/>
  <c r="O91" i="103" s="1"/>
  <c r="AR111" i="104"/>
  <c r="AR112" i="104" s="1"/>
  <c r="AR113" i="104" s="1"/>
  <c r="AK111" i="103"/>
  <c r="AK112" i="103" s="1"/>
  <c r="AK113" i="103" s="1"/>
  <c r="AJ111" i="104"/>
  <c r="AJ112" i="104" s="1"/>
  <c r="AJ113" i="104" s="1"/>
  <c r="AG111" i="104"/>
  <c r="AG112" i="104" s="1"/>
  <c r="AG113" i="104" s="1"/>
  <c r="AE89" i="104"/>
  <c r="AE90" i="104" s="1"/>
  <c r="AE91" i="104" s="1"/>
  <c r="D37" i="105"/>
  <c r="AR89" i="103"/>
  <c r="AR90" i="103" s="1"/>
  <c r="AR91" i="103" s="1"/>
  <c r="AQ89" i="103"/>
  <c r="AQ90" i="103" s="1"/>
  <c r="AQ91" i="103" s="1"/>
  <c r="AP89" i="103"/>
  <c r="AP90" i="103" s="1"/>
  <c r="AP91" i="103" s="1"/>
  <c r="AO89" i="103"/>
  <c r="AO90" i="103" s="1"/>
  <c r="AO91" i="103" s="1"/>
  <c r="AN108" i="104"/>
  <c r="AN109" i="104" s="1"/>
  <c r="AN111" i="104" s="1"/>
  <c r="AN112" i="104" s="1"/>
  <c r="AN113" i="104" s="1"/>
  <c r="W18" i="105"/>
  <c r="AE111" i="103"/>
  <c r="AE112" i="103" s="1"/>
  <c r="AE113" i="103" s="1"/>
  <c r="AI89" i="103"/>
  <c r="AI90" i="103" s="1"/>
  <c r="AI91" i="103" s="1"/>
  <c r="AG89" i="103"/>
  <c r="AG90" i="103" s="1"/>
  <c r="AG91" i="103" s="1"/>
  <c r="AN89" i="103"/>
  <c r="AN90" i="103" s="1"/>
  <c r="AN91" i="103" s="1"/>
  <c r="AL89" i="104"/>
  <c r="AL90" i="104" s="1"/>
  <c r="AL91" i="104" s="1"/>
  <c r="AF108" i="104"/>
  <c r="AF109" i="104" s="1"/>
  <c r="AF111" i="104" s="1"/>
  <c r="AF112" i="104" s="1"/>
  <c r="AF113" i="104" s="1"/>
  <c r="K14" i="84"/>
  <c r="AD14" i="84" s="1"/>
  <c r="AH89" i="103"/>
  <c r="AH90" i="103" s="1"/>
  <c r="AH91" i="103" s="1"/>
  <c r="AF89" i="103"/>
  <c r="AF90" i="103" s="1"/>
  <c r="AF91" i="103" s="1"/>
  <c r="AJ108" i="103"/>
  <c r="AJ109" i="103" s="1"/>
  <c r="AJ111" i="103" s="1"/>
  <c r="AJ112" i="103" s="1"/>
  <c r="AJ113" i="103" s="1"/>
  <c r="AD89" i="104"/>
  <c r="AD90" i="104" s="1"/>
  <c r="AD91" i="104" s="1"/>
  <c r="AJ89" i="104"/>
  <c r="AJ90" i="104" s="1"/>
  <c r="AJ91" i="104" s="1"/>
  <c r="AH89" i="104"/>
  <c r="AH90" i="104" s="1"/>
  <c r="AH91" i="104" s="1"/>
  <c r="AO89" i="104"/>
  <c r="AO90" i="104" s="1"/>
  <c r="AO91" i="104" s="1"/>
  <c r="AE111" i="104"/>
  <c r="AE112" i="104" s="1"/>
  <c r="AE113" i="104" s="1"/>
  <c r="A10" i="105"/>
  <c r="K9" i="105"/>
  <c r="Y17" i="105"/>
  <c r="Y18" i="105"/>
  <c r="AS18" i="105"/>
  <c r="C37" i="105"/>
  <c r="N90" i="104"/>
  <c r="N91" i="104" s="1"/>
  <c r="M94" i="104" s="1" a="1"/>
  <c r="M94" i="104" s="1"/>
  <c r="N15" i="104" s="1"/>
  <c r="AL108" i="104"/>
  <c r="AL109" i="104" s="1"/>
  <c r="AL111" i="104" s="1"/>
  <c r="AL112" i="104" s="1"/>
  <c r="AL113" i="104" s="1"/>
  <c r="AQ108" i="104"/>
  <c r="AQ109" i="104" s="1"/>
  <c r="AQ111" i="104" s="1"/>
  <c r="AQ112" i="104" s="1"/>
  <c r="AQ113" i="104" s="1"/>
  <c r="AO108" i="104"/>
  <c r="AO109" i="104" s="1"/>
  <c r="AO111" i="104" s="1"/>
  <c r="AO112" i="104" s="1"/>
  <c r="AO113" i="104" s="1"/>
  <c r="AM108" i="104"/>
  <c r="AM109" i="104" s="1"/>
  <c r="AM111" i="104" s="1"/>
  <c r="AM112" i="104" s="1"/>
  <c r="AM113" i="104" s="1"/>
  <c r="AD108" i="104"/>
  <c r="AD109" i="104" s="1"/>
  <c r="AD111" i="104" s="1"/>
  <c r="AD112" i="104" s="1"/>
  <c r="AD113" i="104" s="1"/>
  <c r="AF108" i="103"/>
  <c r="AF109" i="103" s="1"/>
  <c r="AF111" i="103" s="1"/>
  <c r="AF112" i="103" s="1"/>
  <c r="AF113" i="103" s="1"/>
  <c r="O108" i="103"/>
  <c r="O109" i="103" s="1"/>
  <c r="O111" i="103" s="1"/>
  <c r="AR111" i="103"/>
  <c r="AR112" i="103" s="1"/>
  <c r="AR113" i="103" s="1"/>
  <c r="AQ111" i="103"/>
  <c r="AQ112" i="103" s="1"/>
  <c r="AQ113" i="103" s="1"/>
  <c r="N90" i="103"/>
  <c r="N91" i="103" s="1"/>
  <c r="M94" i="103" s="1" a="1"/>
  <c r="M94" i="103" s="1"/>
  <c r="N15" i="103" s="1"/>
  <c r="AH111" i="103"/>
  <c r="AH112" i="103" s="1"/>
  <c r="AH113" i="103" s="1"/>
  <c r="AI111" i="103"/>
  <c r="AI112" i="103" s="1"/>
  <c r="AI113" i="103" s="1"/>
  <c r="AL111" i="103"/>
  <c r="AL112" i="103" s="1"/>
  <c r="AL113" i="103" s="1"/>
  <c r="AD111" i="103"/>
  <c r="AD112" i="103" s="1"/>
  <c r="AD113" i="103" s="1"/>
  <c r="AO108" i="103"/>
  <c r="AO109" i="103" s="1"/>
  <c r="AO111" i="103" s="1"/>
  <c r="AO112" i="103" s="1"/>
  <c r="AO113" i="103" s="1"/>
  <c r="AM108" i="103"/>
  <c r="AM109" i="103" s="1"/>
  <c r="AM111" i="103" s="1"/>
  <c r="AM112" i="103" s="1"/>
  <c r="AM113" i="103" s="1"/>
  <c r="AO17" i="105" l="1"/>
  <c r="AP17" i="105"/>
  <c r="AS14" i="105"/>
  <c r="AT7" i="105" s="1"/>
  <c r="AU6" i="105"/>
  <c r="Q6" i="105" s="1"/>
  <c r="U6" i="105" s="1"/>
  <c r="AW6" i="105" s="1"/>
  <c r="AW7" i="105"/>
  <c r="AR17" i="105"/>
  <c r="A12" i="105"/>
  <c r="K10" i="105"/>
  <c r="O112" i="103"/>
  <c r="O113" i="103" s="1"/>
  <c r="U17" i="105" l="1"/>
  <c r="AX6" i="105" s="1"/>
  <c r="AT6" i="105"/>
  <c r="AT14" i="105" s="1"/>
  <c r="AX7" i="105"/>
  <c r="AX14" i="105" s="1"/>
  <c r="A13" i="105"/>
  <c r="K12" i="105"/>
  <c r="B50" i="105" l="1"/>
  <c r="B51" i="105" s="1"/>
  <c r="K13" i="105"/>
  <c r="A15" i="105"/>
  <c r="A16" i="105" s="1"/>
  <c r="E84" i="92" l="1"/>
  <c r="E84" i="96"/>
  <c r="E84" i="97"/>
  <c r="E84" i="98"/>
  <c r="E84" i="99"/>
  <c r="E84" i="101"/>
  <c r="E84" i="102"/>
  <c r="E84" i="81"/>
  <c r="B84" i="92"/>
  <c r="C74" i="97"/>
  <c r="C74" i="96"/>
  <c r="C74" i="98"/>
  <c r="C74" i="99"/>
  <c r="C74" i="101"/>
  <c r="C52" i="102"/>
  <c r="C74" i="102" s="1"/>
  <c r="C74" i="81"/>
  <c r="C84" i="81" s="1"/>
  <c r="D52" i="92"/>
  <c r="D74" i="92" s="1"/>
  <c r="F74" i="92" s="1"/>
  <c r="D52" i="96"/>
  <c r="D74" i="96" s="1"/>
  <c r="F74" i="96" s="1"/>
  <c r="D52" i="97"/>
  <c r="D74" i="97" s="1"/>
  <c r="F74" i="97" s="1"/>
  <c r="D52" i="98"/>
  <c r="D74" i="98" s="1"/>
  <c r="F74" i="98" s="1"/>
  <c r="D52" i="99"/>
  <c r="D74" i="99" s="1"/>
  <c r="F74" i="99" s="1"/>
  <c r="D52" i="101"/>
  <c r="D74" i="101" s="1"/>
  <c r="F74" i="101" s="1"/>
  <c r="D52" i="102"/>
  <c r="D74" i="102" s="1"/>
  <c r="F74" i="102" s="1"/>
  <c r="D52" i="81"/>
  <c r="D74" i="81" s="1"/>
  <c r="F74" i="81" s="1"/>
  <c r="B52" i="92"/>
  <c r="B74" i="92" s="1"/>
  <c r="B52" i="96"/>
  <c r="B74" i="96" s="1"/>
  <c r="B84" i="96" s="1"/>
  <c r="B52" i="97"/>
  <c r="B74" i="97" s="1"/>
  <c r="B84" i="97" s="1"/>
  <c r="B52" i="98"/>
  <c r="B74" i="98" s="1"/>
  <c r="B84" i="98" s="1"/>
  <c r="B52" i="99"/>
  <c r="B74" i="99" s="1"/>
  <c r="B84" i="99" s="1"/>
  <c r="B52" i="101"/>
  <c r="B74" i="101" s="1"/>
  <c r="B84" i="101" s="1"/>
  <c r="B52" i="102"/>
  <c r="B74" i="102" s="1"/>
  <c r="B84" i="102" s="1"/>
  <c r="B52" i="81"/>
  <c r="B74" i="81" s="1"/>
  <c r="B84" i="81" s="1"/>
  <c r="F10" i="17"/>
  <c r="E74" i="101" s="1"/>
  <c r="F9" i="17"/>
  <c r="N22" i="84"/>
  <c r="M22" i="84"/>
  <c r="L22" i="84"/>
  <c r="G22" i="84"/>
  <c r="E22" i="84"/>
  <c r="D22" i="84"/>
  <c r="C22" i="84"/>
  <c r="B22" i="84"/>
  <c r="AR107" i="102"/>
  <c r="AQ107" i="102"/>
  <c r="AP107" i="102"/>
  <c r="AO107" i="102"/>
  <c r="AN107" i="102"/>
  <c r="AM107" i="102"/>
  <c r="AL107" i="102"/>
  <c r="AK107" i="102"/>
  <c r="AJ107" i="102"/>
  <c r="AI107" i="102"/>
  <c r="AH107" i="102"/>
  <c r="AG107" i="102"/>
  <c r="AF107" i="102"/>
  <c r="AE107" i="102"/>
  <c r="AD107" i="102"/>
  <c r="AC107" i="102"/>
  <c r="AB107" i="102"/>
  <c r="AA107" i="102"/>
  <c r="Z107" i="102"/>
  <c r="Y107" i="102"/>
  <c r="X107" i="102"/>
  <c r="W107" i="102"/>
  <c r="V107" i="102"/>
  <c r="U107" i="102"/>
  <c r="T107" i="102"/>
  <c r="S107" i="102"/>
  <c r="R107" i="102"/>
  <c r="Q107" i="102"/>
  <c r="P107" i="102"/>
  <c r="O107" i="102"/>
  <c r="AR106" i="102"/>
  <c r="AQ106" i="102"/>
  <c r="AP106" i="102"/>
  <c r="AO106" i="102"/>
  <c r="AN106" i="102"/>
  <c r="AM106" i="102"/>
  <c r="AL106" i="102"/>
  <c r="AK106" i="102"/>
  <c r="AJ106" i="102"/>
  <c r="AI106" i="102"/>
  <c r="AH106" i="102"/>
  <c r="AG106" i="102"/>
  <c r="AF106" i="102"/>
  <c r="AE106" i="102"/>
  <c r="AD106" i="102"/>
  <c r="AC106" i="102"/>
  <c r="AB106" i="102"/>
  <c r="AA106" i="102"/>
  <c r="Z106" i="102"/>
  <c r="Y106" i="102"/>
  <c r="X106" i="102"/>
  <c r="W106" i="102"/>
  <c r="V106" i="102"/>
  <c r="U106" i="102"/>
  <c r="T106" i="102"/>
  <c r="S106" i="102"/>
  <c r="R106" i="102"/>
  <c r="Q106" i="102"/>
  <c r="P106" i="102"/>
  <c r="O106" i="102"/>
  <c r="AR104" i="102"/>
  <c r="AQ104" i="102"/>
  <c r="AP104" i="102"/>
  <c r="AO104" i="102"/>
  <c r="AN104" i="102"/>
  <c r="AM104" i="102"/>
  <c r="AL104" i="102"/>
  <c r="AK104" i="102"/>
  <c r="AJ104" i="102"/>
  <c r="AI104" i="102"/>
  <c r="AH104" i="102"/>
  <c r="AG104" i="102"/>
  <c r="AF104" i="102"/>
  <c r="AE104" i="102"/>
  <c r="AD104" i="102"/>
  <c r="AC104" i="102"/>
  <c r="AB104" i="102"/>
  <c r="AA104" i="102"/>
  <c r="Z104" i="102"/>
  <c r="Y104" i="102"/>
  <c r="X104" i="102"/>
  <c r="W104" i="102"/>
  <c r="V104" i="102"/>
  <c r="U104" i="102"/>
  <c r="T104" i="102"/>
  <c r="S104" i="102"/>
  <c r="R104" i="102"/>
  <c r="Q104" i="102"/>
  <c r="P104" i="102"/>
  <c r="O104" i="102"/>
  <c r="N103" i="102"/>
  <c r="N102" i="102"/>
  <c r="N109" i="102" s="1"/>
  <c r="N101" i="102"/>
  <c r="E86" i="102"/>
  <c r="AR85" i="102"/>
  <c r="AQ85" i="102"/>
  <c r="AP85" i="102"/>
  <c r="AO85" i="102"/>
  <c r="AN85" i="102"/>
  <c r="AM85" i="102"/>
  <c r="AL85" i="102"/>
  <c r="AK85" i="102"/>
  <c r="AJ85" i="102"/>
  <c r="AI85" i="102"/>
  <c r="AH85" i="102"/>
  <c r="AG85" i="102"/>
  <c r="AF85" i="102"/>
  <c r="AE85" i="102"/>
  <c r="AD85" i="102"/>
  <c r="AC85" i="102"/>
  <c r="AB85" i="102"/>
  <c r="AA85" i="102"/>
  <c r="Z85" i="102"/>
  <c r="Y85" i="102"/>
  <c r="X85" i="102"/>
  <c r="W85" i="102"/>
  <c r="V85" i="102"/>
  <c r="U85" i="102"/>
  <c r="T85" i="102"/>
  <c r="S85" i="102"/>
  <c r="R85" i="102"/>
  <c r="Q85" i="102"/>
  <c r="P85" i="102"/>
  <c r="O85" i="102"/>
  <c r="E85" i="102"/>
  <c r="N83" i="102"/>
  <c r="E83" i="102"/>
  <c r="N82" i="102"/>
  <c r="E82" i="102"/>
  <c r="N81" i="102"/>
  <c r="D81" i="102"/>
  <c r="C81" i="102"/>
  <c r="B81" i="102"/>
  <c r="E76" i="102"/>
  <c r="C76" i="102"/>
  <c r="C86" i="102" s="1"/>
  <c r="G86" i="102" s="1"/>
  <c r="E75" i="102"/>
  <c r="C75" i="102"/>
  <c r="C85" i="102" s="1"/>
  <c r="E73" i="102"/>
  <c r="C73" i="102"/>
  <c r="C83" i="102" s="1"/>
  <c r="G83" i="102" s="1"/>
  <c r="F22" i="84" s="1"/>
  <c r="E72" i="102"/>
  <c r="C72" i="102"/>
  <c r="G67" i="102"/>
  <c r="G61" i="102"/>
  <c r="F25" i="102" s="1"/>
  <c r="D54" i="102"/>
  <c r="D76" i="102" s="1"/>
  <c r="B54" i="102"/>
  <c r="B76" i="102" s="1"/>
  <c r="B86" i="102" s="1"/>
  <c r="D53" i="102"/>
  <c r="D75" i="102" s="1"/>
  <c r="F75" i="102" s="1"/>
  <c r="B53" i="102"/>
  <c r="B75" i="102" s="1"/>
  <c r="B85" i="102" s="1"/>
  <c r="D51" i="102"/>
  <c r="D73" i="102" s="1"/>
  <c r="B51" i="102"/>
  <c r="B73" i="102" s="1"/>
  <c r="B83" i="102" s="1"/>
  <c r="D50" i="102"/>
  <c r="D72" i="102" s="1"/>
  <c r="B50" i="102"/>
  <c r="B72" i="102" s="1"/>
  <c r="B82" i="102" s="1"/>
  <c r="N48" i="102"/>
  <c r="M65" i="102" s="1"/>
  <c r="K42" i="102"/>
  <c r="K41" i="102"/>
  <c r="K40" i="102"/>
  <c r="N39" i="102"/>
  <c r="K39" i="102"/>
  <c r="N38" i="102"/>
  <c r="K38" i="102"/>
  <c r="N37" i="102"/>
  <c r="K37" i="102"/>
  <c r="F23" i="102"/>
  <c r="K18" i="102"/>
  <c r="K16" i="102"/>
  <c r="AR110" i="102" s="1"/>
  <c r="B1" i="102"/>
  <c r="N21" i="84"/>
  <c r="M21" i="84"/>
  <c r="L21" i="84"/>
  <c r="G21" i="84"/>
  <c r="E21" i="84"/>
  <c r="Y21" i="84" s="1"/>
  <c r="D21" i="84"/>
  <c r="C21" i="84"/>
  <c r="B21" i="84"/>
  <c r="AR107" i="101"/>
  <c r="AQ107" i="101"/>
  <c r="AP107" i="101"/>
  <c r="AO107" i="101"/>
  <c r="AN107" i="101"/>
  <c r="AM107" i="101"/>
  <c r="AL107" i="101"/>
  <c r="AK107" i="101"/>
  <c r="AJ107" i="101"/>
  <c r="AI107" i="101"/>
  <c r="AH107" i="101"/>
  <c r="AG107" i="101"/>
  <c r="AF107" i="101"/>
  <c r="AE107" i="101"/>
  <c r="AD107" i="101"/>
  <c r="AC107" i="101"/>
  <c r="AB107" i="101"/>
  <c r="AA107" i="101"/>
  <c r="Z107" i="101"/>
  <c r="Y107" i="101"/>
  <c r="X107" i="101"/>
  <c r="W107" i="101"/>
  <c r="V107" i="101"/>
  <c r="U107" i="101"/>
  <c r="T107" i="101"/>
  <c r="S107" i="101"/>
  <c r="R107" i="101"/>
  <c r="Q107" i="101"/>
  <c r="P107" i="101"/>
  <c r="O107" i="101"/>
  <c r="AR106" i="101"/>
  <c r="AQ106" i="101"/>
  <c r="AP106" i="101"/>
  <c r="AO106" i="101"/>
  <c r="AN106" i="101"/>
  <c r="AM106" i="101"/>
  <c r="AL106" i="101"/>
  <c r="AK106" i="101"/>
  <c r="AJ106" i="101"/>
  <c r="AI106" i="101"/>
  <c r="AH106" i="101"/>
  <c r="AG106" i="101"/>
  <c r="AF106" i="101"/>
  <c r="AE106" i="101"/>
  <c r="AD106" i="101"/>
  <c r="AC106" i="101"/>
  <c r="AB106" i="101"/>
  <c r="AA106" i="101"/>
  <c r="Z106" i="101"/>
  <c r="Y106" i="101"/>
  <c r="X106" i="101"/>
  <c r="W106" i="101"/>
  <c r="V106" i="101"/>
  <c r="U106" i="101"/>
  <c r="T106" i="101"/>
  <c r="S106" i="101"/>
  <c r="R106" i="101"/>
  <c r="Q106" i="101"/>
  <c r="P106" i="101"/>
  <c r="O106" i="101"/>
  <c r="AR104" i="101"/>
  <c r="AQ104" i="101"/>
  <c r="AP104" i="101"/>
  <c r="AO104" i="101"/>
  <c r="AN104" i="101"/>
  <c r="AM104" i="101"/>
  <c r="AL104" i="101"/>
  <c r="AK104" i="101"/>
  <c r="AJ104" i="101"/>
  <c r="AI104" i="101"/>
  <c r="AH104" i="101"/>
  <c r="AG104" i="101"/>
  <c r="AF104" i="101"/>
  <c r="AE104" i="101"/>
  <c r="AD104" i="101"/>
  <c r="AC104" i="101"/>
  <c r="AB104" i="101"/>
  <c r="AA104" i="101"/>
  <c r="Z104" i="101"/>
  <c r="Y104" i="101"/>
  <c r="X104" i="101"/>
  <c r="W104" i="101"/>
  <c r="V104" i="101"/>
  <c r="U104" i="101"/>
  <c r="T104" i="101"/>
  <c r="S104" i="101"/>
  <c r="R104" i="101"/>
  <c r="Q104" i="101"/>
  <c r="P104" i="101"/>
  <c r="O104" i="101"/>
  <c r="N103" i="101"/>
  <c r="N102" i="101"/>
  <c r="N109" i="101" s="1"/>
  <c r="N101" i="101"/>
  <c r="E86" i="101"/>
  <c r="AR85" i="101"/>
  <c r="AQ85" i="101"/>
  <c r="AP85" i="101"/>
  <c r="AO85" i="101"/>
  <c r="AN85" i="101"/>
  <c r="AM85" i="101"/>
  <c r="AL85" i="101"/>
  <c r="AK85" i="101"/>
  <c r="AJ85" i="101"/>
  <c r="AI85" i="101"/>
  <c r="AH85" i="101"/>
  <c r="AG85" i="101"/>
  <c r="AF85" i="101"/>
  <c r="AE85" i="101"/>
  <c r="AD85" i="101"/>
  <c r="AC85" i="101"/>
  <c r="AB85" i="101"/>
  <c r="AA85" i="101"/>
  <c r="Z85" i="101"/>
  <c r="Y85" i="101"/>
  <c r="X85" i="101"/>
  <c r="W85" i="101"/>
  <c r="V85" i="101"/>
  <c r="U85" i="101"/>
  <c r="T85" i="101"/>
  <c r="S85" i="101"/>
  <c r="R85" i="101"/>
  <c r="Q85" i="101"/>
  <c r="P85" i="101"/>
  <c r="O85" i="101"/>
  <c r="E85" i="101"/>
  <c r="N83" i="101"/>
  <c r="E83" i="101"/>
  <c r="N82" i="101"/>
  <c r="E82" i="101"/>
  <c r="N81" i="101"/>
  <c r="D81" i="101"/>
  <c r="C81" i="101"/>
  <c r="B81" i="101"/>
  <c r="E76" i="101"/>
  <c r="C76" i="101"/>
  <c r="C86" i="101" s="1"/>
  <c r="E75" i="101"/>
  <c r="C75" i="101"/>
  <c r="C85" i="101" s="1"/>
  <c r="E73" i="101"/>
  <c r="C73" i="101"/>
  <c r="C83" i="101" s="1"/>
  <c r="E72" i="101"/>
  <c r="C72" i="101"/>
  <c r="C82" i="101" s="1"/>
  <c r="G67" i="101"/>
  <c r="G61" i="101"/>
  <c r="D54" i="101"/>
  <c r="D76" i="101" s="1"/>
  <c r="B54" i="101"/>
  <c r="B76" i="101" s="1"/>
  <c r="B86" i="101" s="1"/>
  <c r="D53" i="101"/>
  <c r="D75" i="101" s="1"/>
  <c r="F75" i="101" s="1"/>
  <c r="B53" i="101"/>
  <c r="B75" i="101" s="1"/>
  <c r="B85" i="101" s="1"/>
  <c r="D51" i="101"/>
  <c r="D73" i="101" s="1"/>
  <c r="B51" i="101"/>
  <c r="B73" i="101" s="1"/>
  <c r="B83" i="101" s="1"/>
  <c r="D50" i="101"/>
  <c r="D72" i="101" s="1"/>
  <c r="B50" i="101"/>
  <c r="B72" i="101" s="1"/>
  <c r="B82" i="101" s="1"/>
  <c r="N48" i="101"/>
  <c r="M65" i="101" s="1"/>
  <c r="K42" i="101"/>
  <c r="K41" i="101"/>
  <c r="K40" i="101"/>
  <c r="N39" i="101"/>
  <c r="K39" i="101"/>
  <c r="N38" i="101"/>
  <c r="K38" i="101"/>
  <c r="N37" i="101"/>
  <c r="K37" i="101"/>
  <c r="F25" i="101"/>
  <c r="F23" i="101"/>
  <c r="K18" i="101"/>
  <c r="K16" i="101"/>
  <c r="AR110" i="101" s="1"/>
  <c r="B1" i="101"/>
  <c r="C20" i="84"/>
  <c r="B20" i="84"/>
  <c r="N20" i="84"/>
  <c r="M20" i="84"/>
  <c r="L20" i="84"/>
  <c r="G20" i="84"/>
  <c r="E20" i="84"/>
  <c r="Y20" i="84" s="1"/>
  <c r="D20" i="84"/>
  <c r="AR107" i="99"/>
  <c r="AQ107" i="99"/>
  <c r="AP107" i="99"/>
  <c r="AO107" i="99"/>
  <c r="AN107" i="99"/>
  <c r="AM107" i="99"/>
  <c r="AL107" i="99"/>
  <c r="AK107" i="99"/>
  <c r="AJ107" i="99"/>
  <c r="AI107" i="99"/>
  <c r="AH107" i="99"/>
  <c r="AG107" i="99"/>
  <c r="AF107" i="99"/>
  <c r="AE107" i="99"/>
  <c r="AD107" i="99"/>
  <c r="AC107" i="99"/>
  <c r="AB107" i="99"/>
  <c r="AA107" i="99"/>
  <c r="Z107" i="99"/>
  <c r="Y107" i="99"/>
  <c r="X107" i="99"/>
  <c r="W107" i="99"/>
  <c r="V107" i="99"/>
  <c r="U107" i="99"/>
  <c r="T107" i="99"/>
  <c r="S107" i="99"/>
  <c r="R107" i="99"/>
  <c r="Q107" i="99"/>
  <c r="P107" i="99"/>
  <c r="O107" i="99"/>
  <c r="AR106" i="99"/>
  <c r="AQ106" i="99"/>
  <c r="AP106" i="99"/>
  <c r="AO106" i="99"/>
  <c r="AN106" i="99"/>
  <c r="AM106" i="99"/>
  <c r="AL106" i="99"/>
  <c r="AK106" i="99"/>
  <c r="AJ106" i="99"/>
  <c r="AI106" i="99"/>
  <c r="AH106" i="99"/>
  <c r="AG106" i="99"/>
  <c r="AF106" i="99"/>
  <c r="AE106" i="99"/>
  <c r="AD106" i="99"/>
  <c r="AC106" i="99"/>
  <c r="AB106" i="99"/>
  <c r="AA106" i="99"/>
  <c r="Z106" i="99"/>
  <c r="Y106" i="99"/>
  <c r="X106" i="99"/>
  <c r="W106" i="99"/>
  <c r="V106" i="99"/>
  <c r="U106" i="99"/>
  <c r="T106" i="99"/>
  <c r="S106" i="99"/>
  <c r="R106" i="99"/>
  <c r="Q106" i="99"/>
  <c r="P106" i="99"/>
  <c r="O106" i="99"/>
  <c r="AR104" i="99"/>
  <c r="AQ104" i="99"/>
  <c r="AP104" i="99"/>
  <c r="AO104" i="99"/>
  <c r="AN104" i="99"/>
  <c r="AM104" i="99"/>
  <c r="AL104" i="99"/>
  <c r="AK104" i="99"/>
  <c r="AJ104" i="99"/>
  <c r="AI104" i="99"/>
  <c r="AH104" i="99"/>
  <c r="AG104" i="99"/>
  <c r="AF104" i="99"/>
  <c r="AE104" i="99"/>
  <c r="AD104" i="99"/>
  <c r="AC104" i="99"/>
  <c r="AB104" i="99"/>
  <c r="AA104" i="99"/>
  <c r="Z104" i="99"/>
  <c r="Y104" i="99"/>
  <c r="X104" i="99"/>
  <c r="W104" i="99"/>
  <c r="V104" i="99"/>
  <c r="U104" i="99"/>
  <c r="T104" i="99"/>
  <c r="S104" i="99"/>
  <c r="R104" i="99"/>
  <c r="Q104" i="99"/>
  <c r="P104" i="99"/>
  <c r="O104" i="99"/>
  <c r="N103" i="99"/>
  <c r="N102" i="99"/>
  <c r="N109" i="99" s="1"/>
  <c r="N101" i="99"/>
  <c r="E86" i="99"/>
  <c r="AR85" i="99"/>
  <c r="AQ85" i="99"/>
  <c r="AP85" i="99"/>
  <c r="AO85" i="99"/>
  <c r="AN85" i="99"/>
  <c r="AM85" i="99"/>
  <c r="AL85" i="99"/>
  <c r="AK85" i="99"/>
  <c r="AJ85" i="99"/>
  <c r="AI85" i="99"/>
  <c r="AH85" i="99"/>
  <c r="AG85" i="99"/>
  <c r="AF85" i="99"/>
  <c r="AE85" i="99"/>
  <c r="AD85" i="99"/>
  <c r="AC85" i="99"/>
  <c r="AB85" i="99"/>
  <c r="AA85" i="99"/>
  <c r="Z85" i="99"/>
  <c r="Y85" i="99"/>
  <c r="X85" i="99"/>
  <c r="W85" i="99"/>
  <c r="V85" i="99"/>
  <c r="U85" i="99"/>
  <c r="T85" i="99"/>
  <c r="S85" i="99"/>
  <c r="R85" i="99"/>
  <c r="Q85" i="99"/>
  <c r="P85" i="99"/>
  <c r="O85" i="99"/>
  <c r="E85" i="99"/>
  <c r="N83" i="99"/>
  <c r="E83" i="99"/>
  <c r="N82" i="99"/>
  <c r="E82" i="99"/>
  <c r="N81" i="99"/>
  <c r="D81" i="99"/>
  <c r="C81" i="99"/>
  <c r="B81" i="99"/>
  <c r="E76" i="99"/>
  <c r="C76" i="99"/>
  <c r="C86" i="99" s="1"/>
  <c r="E75" i="99"/>
  <c r="C75" i="99"/>
  <c r="E73" i="99"/>
  <c r="C73" i="99"/>
  <c r="C83" i="99" s="1"/>
  <c r="E72" i="99"/>
  <c r="C72" i="99"/>
  <c r="C82" i="99" s="1"/>
  <c r="G82" i="99" s="1"/>
  <c r="I20" i="84" s="1"/>
  <c r="G67" i="99"/>
  <c r="G61" i="99"/>
  <c r="F25" i="99" s="1"/>
  <c r="D54" i="99"/>
  <c r="D76" i="99" s="1"/>
  <c r="B54" i="99"/>
  <c r="B76" i="99" s="1"/>
  <c r="B86" i="99" s="1"/>
  <c r="D53" i="99"/>
  <c r="D75" i="99" s="1"/>
  <c r="F75" i="99" s="1"/>
  <c r="B53" i="99"/>
  <c r="B75" i="99" s="1"/>
  <c r="B85" i="99" s="1"/>
  <c r="D51" i="99"/>
  <c r="D73" i="99" s="1"/>
  <c r="B51" i="99"/>
  <c r="B73" i="99" s="1"/>
  <c r="B83" i="99" s="1"/>
  <c r="D50" i="99"/>
  <c r="D72" i="99" s="1"/>
  <c r="B50" i="99"/>
  <c r="B72" i="99" s="1"/>
  <c r="B82" i="99" s="1"/>
  <c r="N48" i="99"/>
  <c r="M65" i="99" s="1"/>
  <c r="K42" i="99"/>
  <c r="K41" i="99"/>
  <c r="K40" i="99"/>
  <c r="N39" i="99"/>
  <c r="K39" i="99"/>
  <c r="N38" i="99"/>
  <c r="K38" i="99"/>
  <c r="N37" i="99"/>
  <c r="K37" i="99"/>
  <c r="F23" i="99"/>
  <c r="K18" i="99"/>
  <c r="K16" i="99"/>
  <c r="AR110" i="99" s="1"/>
  <c r="B1" i="99"/>
  <c r="N19" i="84"/>
  <c r="M19" i="84"/>
  <c r="L19" i="84"/>
  <c r="G19" i="84"/>
  <c r="E19" i="84"/>
  <c r="W19" i="84" s="1"/>
  <c r="D19" i="84"/>
  <c r="C19" i="84"/>
  <c r="B19" i="84"/>
  <c r="AR107" i="98"/>
  <c r="AQ107" i="98"/>
  <c r="AP107" i="98"/>
  <c r="AO107" i="98"/>
  <c r="AN107" i="98"/>
  <c r="AM107" i="98"/>
  <c r="AL107" i="98"/>
  <c r="AK107" i="98"/>
  <c r="AJ107" i="98"/>
  <c r="AI107" i="98"/>
  <c r="AH107" i="98"/>
  <c r="AG107" i="98"/>
  <c r="AF107" i="98"/>
  <c r="AE107" i="98"/>
  <c r="AD107" i="98"/>
  <c r="AC107" i="98"/>
  <c r="AB107" i="98"/>
  <c r="AA107" i="98"/>
  <c r="Z107" i="98"/>
  <c r="Y107" i="98"/>
  <c r="X107" i="98"/>
  <c r="W107" i="98"/>
  <c r="V107" i="98"/>
  <c r="U107" i="98"/>
  <c r="T107" i="98"/>
  <c r="S107" i="98"/>
  <c r="R107" i="98"/>
  <c r="Q107" i="98"/>
  <c r="P107" i="98"/>
  <c r="O107" i="98"/>
  <c r="AR106" i="98"/>
  <c r="AQ106" i="98"/>
  <c r="AP106" i="98"/>
  <c r="AO106" i="98"/>
  <c r="AN106" i="98"/>
  <c r="AM106" i="98"/>
  <c r="AL106" i="98"/>
  <c r="AK106" i="98"/>
  <c r="AJ106" i="98"/>
  <c r="AI106" i="98"/>
  <c r="AH106" i="98"/>
  <c r="AG106" i="98"/>
  <c r="AF106" i="98"/>
  <c r="AE106" i="98"/>
  <c r="AD106" i="98"/>
  <c r="AC106" i="98"/>
  <c r="AB106" i="98"/>
  <c r="AA106" i="98"/>
  <c r="Z106" i="98"/>
  <c r="Y106" i="98"/>
  <c r="X106" i="98"/>
  <c r="W106" i="98"/>
  <c r="V106" i="98"/>
  <c r="U106" i="98"/>
  <c r="T106" i="98"/>
  <c r="S106" i="98"/>
  <c r="R106" i="98"/>
  <c r="Q106" i="98"/>
  <c r="P106" i="98"/>
  <c r="O106" i="98"/>
  <c r="AR104" i="98"/>
  <c r="AQ104" i="98"/>
  <c r="AP104" i="98"/>
  <c r="AO104" i="98"/>
  <c r="AN104" i="98"/>
  <c r="AM104" i="98"/>
  <c r="AL104" i="98"/>
  <c r="AK104" i="98"/>
  <c r="AJ104" i="98"/>
  <c r="AI104" i="98"/>
  <c r="AH104" i="98"/>
  <c r="AG104" i="98"/>
  <c r="AF104" i="98"/>
  <c r="AE104" i="98"/>
  <c r="AD104" i="98"/>
  <c r="AC104" i="98"/>
  <c r="AB104" i="98"/>
  <c r="AA104" i="98"/>
  <c r="Z104" i="98"/>
  <c r="Y104" i="98"/>
  <c r="X104" i="98"/>
  <c r="W104" i="98"/>
  <c r="V104" i="98"/>
  <c r="U104" i="98"/>
  <c r="T104" i="98"/>
  <c r="S104" i="98"/>
  <c r="R104" i="98"/>
  <c r="Q104" i="98"/>
  <c r="P104" i="98"/>
  <c r="O104" i="98"/>
  <c r="N103" i="98"/>
  <c r="N102" i="98"/>
  <c r="N109" i="98" s="1"/>
  <c r="N101" i="98"/>
  <c r="E86" i="98"/>
  <c r="AR85" i="98"/>
  <c r="AQ85" i="98"/>
  <c r="AP85" i="98"/>
  <c r="AO85" i="98"/>
  <c r="AN85" i="98"/>
  <c r="AM85" i="98"/>
  <c r="AL85" i="98"/>
  <c r="AK85" i="98"/>
  <c r="AJ85" i="98"/>
  <c r="AI85" i="98"/>
  <c r="AH85" i="98"/>
  <c r="AG85" i="98"/>
  <c r="AF85" i="98"/>
  <c r="AE85" i="98"/>
  <c r="AD85" i="98"/>
  <c r="AC85" i="98"/>
  <c r="AB85" i="98"/>
  <c r="AA85" i="98"/>
  <c r="Z85" i="98"/>
  <c r="Y85" i="98"/>
  <c r="X85" i="98"/>
  <c r="W85" i="98"/>
  <c r="V85" i="98"/>
  <c r="U85" i="98"/>
  <c r="T85" i="98"/>
  <c r="S85" i="98"/>
  <c r="R85" i="98"/>
  <c r="Q85" i="98"/>
  <c r="P85" i="98"/>
  <c r="O85" i="98"/>
  <c r="E85" i="98"/>
  <c r="N83" i="98"/>
  <c r="E83" i="98"/>
  <c r="N82" i="98"/>
  <c r="E82" i="98"/>
  <c r="N81" i="98"/>
  <c r="D81" i="98"/>
  <c r="C81" i="98"/>
  <c r="B81" i="98"/>
  <c r="E76" i="98"/>
  <c r="C76" i="98"/>
  <c r="C86" i="98" s="1"/>
  <c r="E75" i="98"/>
  <c r="C75" i="98"/>
  <c r="E73" i="98"/>
  <c r="C73" i="98"/>
  <c r="C83" i="98" s="1"/>
  <c r="G83" i="98" s="1"/>
  <c r="F19" i="84" s="1"/>
  <c r="O19" i="84" s="1"/>
  <c r="E72" i="98"/>
  <c r="C72" i="98"/>
  <c r="G67" i="98"/>
  <c r="G61" i="98"/>
  <c r="F25" i="98" s="1"/>
  <c r="D54" i="98"/>
  <c r="D76" i="98" s="1"/>
  <c r="D86" i="98" s="1"/>
  <c r="F86" i="98" s="1"/>
  <c r="B54" i="98"/>
  <c r="B76" i="98" s="1"/>
  <c r="B86" i="98" s="1"/>
  <c r="D53" i="98"/>
  <c r="D75" i="98" s="1"/>
  <c r="D85" i="98" s="1"/>
  <c r="F85" i="98" s="1"/>
  <c r="B53" i="98"/>
  <c r="B75" i="98" s="1"/>
  <c r="B85" i="98" s="1"/>
  <c r="D51" i="98"/>
  <c r="D73" i="98" s="1"/>
  <c r="F73" i="98" s="1"/>
  <c r="B51" i="98"/>
  <c r="B73" i="98" s="1"/>
  <c r="B83" i="98" s="1"/>
  <c r="D50" i="98"/>
  <c r="D72" i="98" s="1"/>
  <c r="B50" i="98"/>
  <c r="B72" i="98" s="1"/>
  <c r="B82" i="98" s="1"/>
  <c r="N48" i="98"/>
  <c r="M65" i="98" s="1"/>
  <c r="K42" i="98"/>
  <c r="K41" i="98"/>
  <c r="K40" i="98"/>
  <c r="N39" i="98"/>
  <c r="K39" i="98"/>
  <c r="N38" i="98"/>
  <c r="K38" i="98"/>
  <c r="N37" i="98"/>
  <c r="K37" i="98"/>
  <c r="F23" i="98"/>
  <c r="K18" i="98"/>
  <c r="K16" i="98"/>
  <c r="AR110" i="98" s="1"/>
  <c r="B1" i="98"/>
  <c r="G17" i="84"/>
  <c r="G16" i="84"/>
  <c r="G15" i="84"/>
  <c r="G18" i="84"/>
  <c r="E86" i="92"/>
  <c r="E86" i="96"/>
  <c r="E86" i="97"/>
  <c r="E86" i="81"/>
  <c r="E85" i="92"/>
  <c r="E85" i="96"/>
  <c r="E85" i="97"/>
  <c r="E85" i="81"/>
  <c r="E83" i="92"/>
  <c r="E83" i="96"/>
  <c r="E83" i="97"/>
  <c r="E83" i="81"/>
  <c r="E82" i="92"/>
  <c r="E82" i="96"/>
  <c r="E82" i="97"/>
  <c r="E82" i="81"/>
  <c r="E76" i="92"/>
  <c r="E76" i="96"/>
  <c r="E76" i="97"/>
  <c r="E76" i="81"/>
  <c r="C76" i="92"/>
  <c r="C86" i="92" s="1"/>
  <c r="C76" i="96"/>
  <c r="C86" i="96" s="1"/>
  <c r="C76" i="97"/>
  <c r="C76" i="81"/>
  <c r="C86" i="81" s="1"/>
  <c r="D54" i="92"/>
  <c r="D76" i="92" s="1"/>
  <c r="F76" i="92" s="1"/>
  <c r="D54" i="96"/>
  <c r="D76" i="96" s="1"/>
  <c r="D54" i="97"/>
  <c r="D76" i="97" s="1"/>
  <c r="D54" i="81"/>
  <c r="D76" i="81" s="1"/>
  <c r="F76" i="81" s="1"/>
  <c r="B54" i="92"/>
  <c r="B76" i="92" s="1"/>
  <c r="B86" i="92" s="1"/>
  <c r="B54" i="96"/>
  <c r="B76" i="96" s="1"/>
  <c r="B86" i="96" s="1"/>
  <c r="B54" i="97"/>
  <c r="B76" i="97" s="1"/>
  <c r="B86" i="97" s="1"/>
  <c r="B54" i="81"/>
  <c r="B76" i="81" s="1"/>
  <c r="B86" i="81" s="1"/>
  <c r="I4" i="83"/>
  <c r="I3" i="83"/>
  <c r="N18" i="84"/>
  <c r="M18" i="84"/>
  <c r="L18" i="84"/>
  <c r="E18" i="84"/>
  <c r="D18" i="84"/>
  <c r="C18" i="84"/>
  <c r="B18" i="84"/>
  <c r="AR107" i="97"/>
  <c r="AQ107" i="97"/>
  <c r="AP107" i="97"/>
  <c r="AO107" i="97"/>
  <c r="AN107" i="97"/>
  <c r="AM107" i="97"/>
  <c r="AL107" i="97"/>
  <c r="AK107" i="97"/>
  <c r="AJ107" i="97"/>
  <c r="AI107" i="97"/>
  <c r="AH107" i="97"/>
  <c r="AG107" i="97"/>
  <c r="AF107" i="97"/>
  <c r="AE107" i="97"/>
  <c r="AD107" i="97"/>
  <c r="AC107" i="97"/>
  <c r="AB107" i="97"/>
  <c r="AA107" i="97"/>
  <c r="Z107" i="97"/>
  <c r="Y107" i="97"/>
  <c r="X107" i="97"/>
  <c r="W107" i="97"/>
  <c r="V107" i="97"/>
  <c r="U107" i="97"/>
  <c r="T107" i="97"/>
  <c r="S107" i="97"/>
  <c r="R107" i="97"/>
  <c r="Q107" i="97"/>
  <c r="P107" i="97"/>
  <c r="O107" i="97"/>
  <c r="AR106" i="97"/>
  <c r="AQ106" i="97"/>
  <c r="AP106" i="97"/>
  <c r="AO106" i="97"/>
  <c r="AN106" i="97"/>
  <c r="AM106" i="97"/>
  <c r="AL106" i="97"/>
  <c r="AK106" i="97"/>
  <c r="AJ106" i="97"/>
  <c r="AI106" i="97"/>
  <c r="AH106" i="97"/>
  <c r="AG106" i="97"/>
  <c r="AF106" i="97"/>
  <c r="AE106" i="97"/>
  <c r="AD106" i="97"/>
  <c r="AC106" i="97"/>
  <c r="AB106" i="97"/>
  <c r="AA106" i="97"/>
  <c r="Z106" i="97"/>
  <c r="Y106" i="97"/>
  <c r="X106" i="97"/>
  <c r="W106" i="97"/>
  <c r="V106" i="97"/>
  <c r="U106" i="97"/>
  <c r="T106" i="97"/>
  <c r="S106" i="97"/>
  <c r="R106" i="97"/>
  <c r="Q106" i="97"/>
  <c r="P106" i="97"/>
  <c r="O106" i="97"/>
  <c r="AR104" i="97"/>
  <c r="AQ104" i="97"/>
  <c r="AP104" i="97"/>
  <c r="AO104" i="97"/>
  <c r="AN104" i="97"/>
  <c r="AM104" i="97"/>
  <c r="AL104" i="97"/>
  <c r="AK104" i="97"/>
  <c r="AJ104" i="97"/>
  <c r="AI104" i="97"/>
  <c r="AH104" i="97"/>
  <c r="AG104" i="97"/>
  <c r="AF104" i="97"/>
  <c r="AE104" i="97"/>
  <c r="AD104" i="97"/>
  <c r="AC104" i="97"/>
  <c r="AB104" i="97"/>
  <c r="AA104" i="97"/>
  <c r="Z104" i="97"/>
  <c r="Y104" i="97"/>
  <c r="X104" i="97"/>
  <c r="W104" i="97"/>
  <c r="V104" i="97"/>
  <c r="U104" i="97"/>
  <c r="T104" i="97"/>
  <c r="S104" i="97"/>
  <c r="R104" i="97"/>
  <c r="Q104" i="97"/>
  <c r="P104" i="97"/>
  <c r="O104" i="97"/>
  <c r="N103" i="97"/>
  <c r="N102" i="97"/>
  <c r="N109" i="97" s="1"/>
  <c r="N101" i="97"/>
  <c r="AR85" i="97"/>
  <c r="AQ85" i="97"/>
  <c r="AP85" i="97"/>
  <c r="AO85" i="97"/>
  <c r="AN85" i="97"/>
  <c r="AM85" i="97"/>
  <c r="AL85" i="97"/>
  <c r="AK85" i="97"/>
  <c r="AJ85" i="97"/>
  <c r="AI85" i="97"/>
  <c r="AH85" i="97"/>
  <c r="AG85" i="97"/>
  <c r="AF85" i="97"/>
  <c r="AE85" i="97"/>
  <c r="AD85" i="97"/>
  <c r="AC85" i="97"/>
  <c r="AB85" i="97"/>
  <c r="AA85" i="97"/>
  <c r="Z85" i="97"/>
  <c r="Y85" i="97"/>
  <c r="X85" i="97"/>
  <c r="W85" i="97"/>
  <c r="V85" i="97"/>
  <c r="U85" i="97"/>
  <c r="T85" i="97"/>
  <c r="S85" i="97"/>
  <c r="R85" i="97"/>
  <c r="Q85" i="97"/>
  <c r="P85" i="97"/>
  <c r="O85" i="97"/>
  <c r="N83" i="97"/>
  <c r="N82" i="97"/>
  <c r="N81" i="97"/>
  <c r="D81" i="97"/>
  <c r="C81" i="97"/>
  <c r="B81" i="97"/>
  <c r="E75" i="97"/>
  <c r="C75" i="97"/>
  <c r="E73" i="97"/>
  <c r="C73" i="97"/>
  <c r="C83" i="97" s="1"/>
  <c r="E72" i="97"/>
  <c r="C72" i="97"/>
  <c r="G67" i="97"/>
  <c r="G61" i="97"/>
  <c r="F25" i="97" s="1"/>
  <c r="D53" i="97"/>
  <c r="D75" i="97" s="1"/>
  <c r="F75" i="97" s="1"/>
  <c r="B53" i="97"/>
  <c r="B75" i="97" s="1"/>
  <c r="B85" i="97" s="1"/>
  <c r="D51" i="97"/>
  <c r="D73" i="97" s="1"/>
  <c r="B51" i="97"/>
  <c r="B73" i="97" s="1"/>
  <c r="B83" i="97" s="1"/>
  <c r="D50" i="97"/>
  <c r="D72" i="97" s="1"/>
  <c r="F72" i="97" s="1"/>
  <c r="B50" i="97"/>
  <c r="B72" i="97" s="1"/>
  <c r="B82" i="97" s="1"/>
  <c r="N48" i="97"/>
  <c r="M65" i="97" s="1"/>
  <c r="K42" i="97"/>
  <c r="K41" i="97"/>
  <c r="K40" i="97"/>
  <c r="N39" i="97"/>
  <c r="K39" i="97"/>
  <c r="N38" i="97"/>
  <c r="K38" i="97"/>
  <c r="N37" i="97"/>
  <c r="K37" i="97"/>
  <c r="F23" i="97"/>
  <c r="K18" i="97"/>
  <c r="K16" i="97"/>
  <c r="AR110" i="97" s="1"/>
  <c r="B1" i="97"/>
  <c r="C75" i="81"/>
  <c r="E75" i="92"/>
  <c r="E75" i="96"/>
  <c r="E75" i="81"/>
  <c r="C75" i="92"/>
  <c r="C85" i="92" s="1"/>
  <c r="G85" i="92" s="1"/>
  <c r="C75" i="96"/>
  <c r="C85" i="96" s="1"/>
  <c r="D51" i="92"/>
  <c r="D51" i="96"/>
  <c r="D73" i="96" s="1"/>
  <c r="D51" i="81"/>
  <c r="D50" i="92"/>
  <c r="D50" i="96"/>
  <c r="D72" i="96" s="1"/>
  <c r="D82" i="96" s="1"/>
  <c r="F82" i="96" s="1"/>
  <c r="D50" i="81"/>
  <c r="D53" i="92"/>
  <c r="D75" i="92" s="1"/>
  <c r="D53" i="96"/>
  <c r="D75" i="96" s="1"/>
  <c r="D53" i="81"/>
  <c r="D75" i="81" s="1"/>
  <c r="F75" i="81" s="1"/>
  <c r="B53" i="92"/>
  <c r="B75" i="92" s="1"/>
  <c r="B85" i="92" s="1"/>
  <c r="B53" i="96"/>
  <c r="B75" i="96" s="1"/>
  <c r="B85" i="96" s="1"/>
  <c r="B53" i="81"/>
  <c r="B75" i="81" s="1"/>
  <c r="B85" i="81" s="1"/>
  <c r="N17" i="84"/>
  <c r="M17" i="84"/>
  <c r="L17" i="84"/>
  <c r="E17" i="84"/>
  <c r="D17" i="84"/>
  <c r="C17" i="84"/>
  <c r="B17" i="84"/>
  <c r="AR107" i="96"/>
  <c r="AQ107" i="96"/>
  <c r="AP107" i="96"/>
  <c r="AO107" i="96"/>
  <c r="AN107" i="96"/>
  <c r="AM107" i="96"/>
  <c r="AL107" i="96"/>
  <c r="AK107" i="96"/>
  <c r="AJ107" i="96"/>
  <c r="AI107" i="96"/>
  <c r="AH107" i="96"/>
  <c r="AG107" i="96"/>
  <c r="AF107" i="96"/>
  <c r="AE107" i="96"/>
  <c r="AD107" i="96"/>
  <c r="AC107" i="96"/>
  <c r="AB107" i="96"/>
  <c r="AA107" i="96"/>
  <c r="Z107" i="96"/>
  <c r="Y107" i="96"/>
  <c r="X107" i="96"/>
  <c r="W107" i="96"/>
  <c r="V107" i="96"/>
  <c r="U107" i="96"/>
  <c r="T107" i="96"/>
  <c r="S107" i="96"/>
  <c r="R107" i="96"/>
  <c r="Q107" i="96"/>
  <c r="P107" i="96"/>
  <c r="O107" i="96"/>
  <c r="AR106" i="96"/>
  <c r="AQ106" i="96"/>
  <c r="AP106" i="96"/>
  <c r="AO106" i="96"/>
  <c r="AN106" i="96"/>
  <c r="AM106" i="96"/>
  <c r="AL106" i="96"/>
  <c r="AK106" i="96"/>
  <c r="AJ106" i="96"/>
  <c r="AI106" i="96"/>
  <c r="AH106" i="96"/>
  <c r="AG106" i="96"/>
  <c r="AF106" i="96"/>
  <c r="AE106" i="96"/>
  <c r="AD106" i="96"/>
  <c r="AC106" i="96"/>
  <c r="AB106" i="96"/>
  <c r="AA106" i="96"/>
  <c r="Z106" i="96"/>
  <c r="Y106" i="96"/>
  <c r="X106" i="96"/>
  <c r="W106" i="96"/>
  <c r="V106" i="96"/>
  <c r="U106" i="96"/>
  <c r="T106" i="96"/>
  <c r="S106" i="96"/>
  <c r="R106" i="96"/>
  <c r="Q106" i="96"/>
  <c r="P106" i="96"/>
  <c r="O106" i="96"/>
  <c r="AR104" i="96"/>
  <c r="AQ104" i="96"/>
  <c r="AP104" i="96"/>
  <c r="AO104" i="96"/>
  <c r="AN104" i="96"/>
  <c r="AM104" i="96"/>
  <c r="AL104" i="96"/>
  <c r="AK104" i="96"/>
  <c r="AJ104" i="96"/>
  <c r="AI104" i="96"/>
  <c r="AH104" i="96"/>
  <c r="AG104" i="96"/>
  <c r="AF104" i="96"/>
  <c r="AE104" i="96"/>
  <c r="AD104" i="96"/>
  <c r="AC104" i="96"/>
  <c r="AB104" i="96"/>
  <c r="AA104" i="96"/>
  <c r="Z104" i="96"/>
  <c r="Y104" i="96"/>
  <c r="X104" i="96"/>
  <c r="W104" i="96"/>
  <c r="V104" i="96"/>
  <c r="U104" i="96"/>
  <c r="T104" i="96"/>
  <c r="S104" i="96"/>
  <c r="R104" i="96"/>
  <c r="Q104" i="96"/>
  <c r="P104" i="96"/>
  <c r="O104" i="96"/>
  <c r="N103" i="96"/>
  <c r="N102" i="96"/>
  <c r="N109" i="96" s="1"/>
  <c r="N101" i="96"/>
  <c r="AR85" i="96"/>
  <c r="AQ85" i="96"/>
  <c r="AP85" i="96"/>
  <c r="AO85" i="96"/>
  <c r="AN85" i="96"/>
  <c r="AM85" i="96"/>
  <c r="AL85" i="96"/>
  <c r="AK85" i="96"/>
  <c r="AJ85" i="96"/>
  <c r="AI85" i="96"/>
  <c r="AH85" i="96"/>
  <c r="AG85" i="96"/>
  <c r="AF85" i="96"/>
  <c r="AE85" i="96"/>
  <c r="AD85" i="96"/>
  <c r="AC85" i="96"/>
  <c r="AB85" i="96"/>
  <c r="AA85" i="96"/>
  <c r="Z85" i="96"/>
  <c r="Y85" i="96"/>
  <c r="X85" i="96"/>
  <c r="W85" i="96"/>
  <c r="V85" i="96"/>
  <c r="U85" i="96"/>
  <c r="T85" i="96"/>
  <c r="S85" i="96"/>
  <c r="R85" i="96"/>
  <c r="Q85" i="96"/>
  <c r="P85" i="96"/>
  <c r="O85" i="96"/>
  <c r="N83" i="96"/>
  <c r="N82" i="96"/>
  <c r="N81" i="96"/>
  <c r="D81" i="96"/>
  <c r="C81" i="96"/>
  <c r="B81" i="96"/>
  <c r="E73" i="96"/>
  <c r="C73" i="96"/>
  <c r="C83" i="96" s="1"/>
  <c r="G83" i="96" s="1"/>
  <c r="F17" i="84" s="1"/>
  <c r="E72" i="96"/>
  <c r="G67" i="96"/>
  <c r="G61" i="96"/>
  <c r="F25" i="96" s="1"/>
  <c r="B51" i="96"/>
  <c r="B73" i="96" s="1"/>
  <c r="B83" i="96" s="1"/>
  <c r="C72" i="96"/>
  <c r="B50" i="96"/>
  <c r="B72" i="96" s="1"/>
  <c r="B82" i="96" s="1"/>
  <c r="N48" i="96"/>
  <c r="M65" i="96" s="1"/>
  <c r="K42" i="96"/>
  <c r="K41" i="96"/>
  <c r="K40" i="96"/>
  <c r="N39" i="96"/>
  <c r="K39" i="96"/>
  <c r="N38" i="96"/>
  <c r="K38" i="96"/>
  <c r="N37" i="96"/>
  <c r="K37" i="96"/>
  <c r="K18" i="96"/>
  <c r="K16" i="96"/>
  <c r="AR110" i="96" s="1"/>
  <c r="B1" i="96"/>
  <c r="F4" i="83"/>
  <c r="F3" i="83"/>
  <c r="O12" i="84"/>
  <c r="D84" i="102" l="1"/>
  <c r="F84" i="102" s="1"/>
  <c r="D84" i="96"/>
  <c r="F84" i="96" s="1"/>
  <c r="F30" i="105"/>
  <c r="E74" i="104"/>
  <c r="G74" i="104" s="1"/>
  <c r="E74" i="103"/>
  <c r="G74" i="103" s="1"/>
  <c r="G77" i="103" s="1"/>
  <c r="J14" i="84" s="1"/>
  <c r="AA14" i="84" s="1"/>
  <c r="G74" i="97"/>
  <c r="G86" i="92"/>
  <c r="E74" i="81"/>
  <c r="G74" i="81" s="1"/>
  <c r="G72" i="98"/>
  <c r="E74" i="102"/>
  <c r="G74" i="102" s="1"/>
  <c r="E74" i="99"/>
  <c r="G84" i="81"/>
  <c r="E74" i="98"/>
  <c r="G83" i="101"/>
  <c r="F21" i="84" s="1"/>
  <c r="E74" i="97"/>
  <c r="E74" i="96"/>
  <c r="G74" i="96" s="1"/>
  <c r="E74" i="92"/>
  <c r="D84" i="101"/>
  <c r="F84" i="101" s="1"/>
  <c r="D84" i="92"/>
  <c r="F84" i="92" s="1"/>
  <c r="D84" i="99"/>
  <c r="F84" i="99" s="1"/>
  <c r="G74" i="101"/>
  <c r="D84" i="98"/>
  <c r="F84" i="98" s="1"/>
  <c r="G83" i="97"/>
  <c r="F18" i="84" s="1"/>
  <c r="Q18" i="84" s="1"/>
  <c r="G74" i="99"/>
  <c r="G74" i="98"/>
  <c r="D84" i="97"/>
  <c r="F84" i="97" s="1"/>
  <c r="D84" i="81"/>
  <c r="F84" i="81" s="1"/>
  <c r="S22" i="84"/>
  <c r="AF22" i="84"/>
  <c r="T22" i="84"/>
  <c r="C84" i="102"/>
  <c r="G84" i="102" s="1"/>
  <c r="C84" i="101"/>
  <c r="C84" i="99"/>
  <c r="G84" i="99" s="1"/>
  <c r="C84" i="98"/>
  <c r="G84" i="98" s="1"/>
  <c r="C84" i="97"/>
  <c r="G84" i="97" s="1"/>
  <c r="C84" i="96"/>
  <c r="G84" i="96" s="1"/>
  <c r="G84" i="101"/>
  <c r="O88" i="98"/>
  <c r="G86" i="81"/>
  <c r="AL88" i="98"/>
  <c r="G85" i="102"/>
  <c r="G86" i="96"/>
  <c r="G75" i="98"/>
  <c r="G75" i="99"/>
  <c r="N47" i="102"/>
  <c r="M64" i="102" s="1"/>
  <c r="O87" i="102" s="1"/>
  <c r="G76" i="96"/>
  <c r="N47" i="99"/>
  <c r="M64" i="99" s="1"/>
  <c r="S21" i="84"/>
  <c r="AM88" i="98"/>
  <c r="U110" i="98"/>
  <c r="AK87" i="99"/>
  <c r="W110" i="98"/>
  <c r="G83" i="99"/>
  <c r="F20" i="84" s="1"/>
  <c r="AK87" i="101"/>
  <c r="G85" i="96"/>
  <c r="AM105" i="98"/>
  <c r="AM108" i="98" s="1"/>
  <c r="AM109" i="98" s="1"/>
  <c r="AN110" i="98"/>
  <c r="AK87" i="102"/>
  <c r="AN105" i="98"/>
  <c r="AN108" i="98" s="1"/>
  <c r="AN109" i="98" s="1"/>
  <c r="AF19" i="84"/>
  <c r="T88" i="102"/>
  <c r="C85" i="98"/>
  <c r="G85" i="98" s="1"/>
  <c r="Y19" i="84"/>
  <c r="N47" i="101"/>
  <c r="M64" i="101" s="1"/>
  <c r="O105" i="101" s="1"/>
  <c r="G76" i="81"/>
  <c r="N47" i="97"/>
  <c r="M64" i="97" s="1"/>
  <c r="O105" i="97" s="1"/>
  <c r="T88" i="98"/>
  <c r="G72" i="99"/>
  <c r="G73" i="102"/>
  <c r="K22" i="84" s="1"/>
  <c r="AE22" i="84" s="1"/>
  <c r="C85" i="99"/>
  <c r="G85" i="99" s="1"/>
  <c r="F76" i="97"/>
  <c r="D86" i="97"/>
  <c r="F86" i="97" s="1"/>
  <c r="D86" i="96"/>
  <c r="F86" i="96" s="1"/>
  <c r="F76" i="96"/>
  <c r="G76" i="97"/>
  <c r="G76" i="92"/>
  <c r="D86" i="81"/>
  <c r="F86" i="81" s="1"/>
  <c r="AE87" i="98"/>
  <c r="V88" i="98"/>
  <c r="AR88" i="98"/>
  <c r="X110" i="98"/>
  <c r="Q19" i="84"/>
  <c r="T88" i="99"/>
  <c r="G73" i="101"/>
  <c r="T88" i="101"/>
  <c r="AB88" i="102"/>
  <c r="AF87" i="98"/>
  <c r="W88" i="98"/>
  <c r="AC110" i="98"/>
  <c r="AB88" i="99"/>
  <c r="G75" i="101"/>
  <c r="AB88" i="101"/>
  <c r="AJ88" i="102"/>
  <c r="U110" i="102"/>
  <c r="D86" i="92"/>
  <c r="F86" i="92" s="1"/>
  <c r="AK87" i="98"/>
  <c r="AB88" i="98"/>
  <c r="AE110" i="98"/>
  <c r="AJ88" i="99"/>
  <c r="U110" i="99"/>
  <c r="AJ88" i="101"/>
  <c r="U110" i="101"/>
  <c r="G72" i="102"/>
  <c r="G75" i="102"/>
  <c r="AR88" i="102"/>
  <c r="AC110" i="102"/>
  <c r="F75" i="98"/>
  <c r="AM87" i="98"/>
  <c r="AM89" i="98" s="1"/>
  <c r="AM90" i="98" s="1"/>
  <c r="AM91" i="98" s="1"/>
  <c r="AD88" i="98"/>
  <c r="N111" i="98"/>
  <c r="AE105" i="98"/>
  <c r="AE108" i="98" s="1"/>
  <c r="AE109" i="98" s="1"/>
  <c r="AF110" i="98"/>
  <c r="AR88" i="99"/>
  <c r="AC110" i="99"/>
  <c r="AR88" i="101"/>
  <c r="AC110" i="101"/>
  <c r="AK110" i="102"/>
  <c r="AL88" i="97"/>
  <c r="AN87" i="98"/>
  <c r="AE88" i="98"/>
  <c r="AF105" i="98"/>
  <c r="AF108" i="98" s="1"/>
  <c r="AF109" i="98" s="1"/>
  <c r="O110" i="98"/>
  <c r="AK110" i="98"/>
  <c r="G86" i="99"/>
  <c r="AK110" i="99"/>
  <c r="G82" i="101"/>
  <c r="I21" i="84" s="1"/>
  <c r="X21" i="84" s="1"/>
  <c r="G86" i="101"/>
  <c r="AK110" i="101"/>
  <c r="N111" i="102"/>
  <c r="N112" i="102" s="1"/>
  <c r="N113" i="102" s="1"/>
  <c r="M116" i="102" s="1" a="1"/>
  <c r="M116" i="102" s="1"/>
  <c r="N18" i="102" s="1"/>
  <c r="AK105" i="102"/>
  <c r="AK108" i="102" s="1"/>
  <c r="AK109" i="102" s="1"/>
  <c r="N47" i="98"/>
  <c r="M64" i="98" s="1"/>
  <c r="O105" i="98" s="1"/>
  <c r="G86" i="98"/>
  <c r="N88" i="98"/>
  <c r="N89" i="98" s="1"/>
  <c r="N90" i="98" s="1"/>
  <c r="N91" i="98" s="1"/>
  <c r="M94" i="98" s="1" a="1"/>
  <c r="M94" i="98" s="1"/>
  <c r="N15" i="98" s="1"/>
  <c r="AJ88" i="98"/>
  <c r="AK105" i="98"/>
  <c r="P110" i="98"/>
  <c r="AM110" i="98"/>
  <c r="N111" i="99"/>
  <c r="N112" i="99" s="1"/>
  <c r="N113" i="99" s="1"/>
  <c r="M116" i="99" s="1" a="1"/>
  <c r="M116" i="99" s="1"/>
  <c r="N18" i="99" s="1"/>
  <c r="AK105" i="99"/>
  <c r="AK108" i="99" s="1"/>
  <c r="AK109" i="99" s="1"/>
  <c r="AK111" i="99" s="1"/>
  <c r="AK112" i="99" s="1"/>
  <c r="AK113" i="99" s="1"/>
  <c r="N111" i="101"/>
  <c r="N112" i="101" s="1"/>
  <c r="N113" i="101" s="1"/>
  <c r="M116" i="101" s="1" a="1"/>
  <c r="M116" i="101" s="1"/>
  <c r="N18" i="101" s="1"/>
  <c r="AK105" i="101"/>
  <c r="AK108" i="101" s="1"/>
  <c r="AK109" i="101" s="1"/>
  <c r="Q21" i="84"/>
  <c r="G75" i="97"/>
  <c r="N111" i="97"/>
  <c r="N112" i="97" s="1"/>
  <c r="N113" i="97" s="1"/>
  <c r="M116" i="97" s="1" a="1"/>
  <c r="M116" i="97" s="1"/>
  <c r="N18" i="97" s="1"/>
  <c r="G85" i="101"/>
  <c r="Q22" i="84"/>
  <c r="AF21" i="84"/>
  <c r="R22" i="84"/>
  <c r="Z22" i="84"/>
  <c r="U22" i="84"/>
  <c r="AC22" i="84"/>
  <c r="V22" i="84"/>
  <c r="AD22" i="84"/>
  <c r="O22" i="84"/>
  <c r="W22" i="84"/>
  <c r="P22" i="84"/>
  <c r="F72" i="102"/>
  <c r="D82" i="102"/>
  <c r="F82" i="102" s="1"/>
  <c r="F76" i="102"/>
  <c r="D86" i="102"/>
  <c r="F86" i="102" s="1"/>
  <c r="F73" i="102"/>
  <c r="D83" i="102"/>
  <c r="F83" i="102" s="1"/>
  <c r="G76" i="102"/>
  <c r="D85" i="102"/>
  <c r="F85" i="102" s="1"/>
  <c r="AD87" i="102"/>
  <c r="AL87" i="102"/>
  <c r="U88" i="102"/>
  <c r="AC88" i="102"/>
  <c r="AK88" i="102"/>
  <c r="AD105" i="102"/>
  <c r="AL105" i="102"/>
  <c r="N110" i="102"/>
  <c r="V110" i="102"/>
  <c r="AD110" i="102"/>
  <c r="AL110" i="102"/>
  <c r="C82" i="102"/>
  <c r="G82" i="102" s="1"/>
  <c r="AE87" i="102"/>
  <c r="AM87" i="102"/>
  <c r="N88" i="102"/>
  <c r="N89" i="102" s="1"/>
  <c r="V88" i="102"/>
  <c r="AD88" i="102"/>
  <c r="AL88" i="102"/>
  <c r="AE105" i="102"/>
  <c r="AM105" i="102"/>
  <c r="O110" i="102"/>
  <c r="W110" i="102"/>
  <c r="AE110" i="102"/>
  <c r="AM110" i="102"/>
  <c r="AF87" i="102"/>
  <c r="AN87" i="102"/>
  <c r="O88" i="102"/>
  <c r="W88" i="102"/>
  <c r="AE88" i="102"/>
  <c r="AM88" i="102"/>
  <c r="AF105" i="102"/>
  <c r="AN105" i="102"/>
  <c r="AN108" i="102" s="1"/>
  <c r="AN109" i="102" s="1"/>
  <c r="P110" i="102"/>
  <c r="X110" i="102"/>
  <c r="AF110" i="102"/>
  <c r="AN110" i="102"/>
  <c r="AG87" i="102"/>
  <c r="AO87" i="102"/>
  <c r="P88" i="102"/>
  <c r="X88" i="102"/>
  <c r="AF88" i="102"/>
  <c r="AN88" i="102"/>
  <c r="AG105" i="102"/>
  <c r="AG108" i="102" s="1"/>
  <c r="AG109" i="102" s="1"/>
  <c r="AO105" i="102"/>
  <c r="AO108" i="102" s="1"/>
  <c r="AO109" i="102" s="1"/>
  <c r="Q110" i="102"/>
  <c r="Y110" i="102"/>
  <c r="AG110" i="102"/>
  <c r="AO110" i="102"/>
  <c r="AH87" i="102"/>
  <c r="AP87" i="102"/>
  <c r="Q88" i="102"/>
  <c r="Y88" i="102"/>
  <c r="AG88" i="102"/>
  <c r="AO88" i="102"/>
  <c r="AH105" i="102"/>
  <c r="AH108" i="102" s="1"/>
  <c r="AH109" i="102" s="1"/>
  <c r="AP105" i="102"/>
  <c r="AP108" i="102" s="1"/>
  <c r="AP109" i="102" s="1"/>
  <c r="R110" i="102"/>
  <c r="Z110" i="102"/>
  <c r="AH110" i="102"/>
  <c r="AP110" i="102"/>
  <c r="AI87" i="102"/>
  <c r="AQ87" i="102"/>
  <c r="R88" i="102"/>
  <c r="Z88" i="102"/>
  <c r="AH88" i="102"/>
  <c r="AP88" i="102"/>
  <c r="AI105" i="102"/>
  <c r="AQ105" i="102"/>
  <c r="AQ108" i="102" s="1"/>
  <c r="AQ109" i="102" s="1"/>
  <c r="S110" i="102"/>
  <c r="AA110" i="102"/>
  <c r="AI110" i="102"/>
  <c r="AQ110" i="102"/>
  <c r="AJ87" i="102"/>
  <c r="AR87" i="102"/>
  <c r="S88" i="102"/>
  <c r="AA88" i="102"/>
  <c r="AI88" i="102"/>
  <c r="AQ88" i="102"/>
  <c r="AJ105" i="102"/>
  <c r="AJ108" i="102" s="1"/>
  <c r="AJ109" i="102" s="1"/>
  <c r="AR105" i="102"/>
  <c r="AR108" i="102" s="1"/>
  <c r="AR109" i="102" s="1"/>
  <c r="T110" i="102"/>
  <c r="AB110" i="102"/>
  <c r="AJ110" i="102"/>
  <c r="G72" i="101"/>
  <c r="R21" i="84"/>
  <c r="Z21" i="84"/>
  <c r="T21" i="84"/>
  <c r="AB21" i="84"/>
  <c r="AF20" i="84"/>
  <c r="U21" i="84"/>
  <c r="AC21" i="84"/>
  <c r="Q20" i="84"/>
  <c r="V21" i="84"/>
  <c r="AD21" i="84"/>
  <c r="S20" i="84"/>
  <c r="O21" i="84"/>
  <c r="W21" i="84"/>
  <c r="AE21" i="84"/>
  <c r="P21" i="84"/>
  <c r="D86" i="101"/>
  <c r="F86" i="101" s="1"/>
  <c r="F76" i="101"/>
  <c r="F72" i="101"/>
  <c r="D82" i="101"/>
  <c r="F82" i="101" s="1"/>
  <c r="F73" i="101"/>
  <c r="D83" i="101"/>
  <c r="F83" i="101" s="1"/>
  <c r="G76" i="101"/>
  <c r="D85" i="101"/>
  <c r="F85" i="101" s="1"/>
  <c r="AD87" i="101"/>
  <c r="AD89" i="101" s="1"/>
  <c r="AD90" i="101" s="1"/>
  <c r="AD91" i="101" s="1"/>
  <c r="AL87" i="101"/>
  <c r="U88" i="101"/>
  <c r="AC88" i="101"/>
  <c r="AK88" i="101"/>
  <c r="AK89" i="101" s="1"/>
  <c r="AK90" i="101" s="1"/>
  <c r="AK91" i="101" s="1"/>
  <c r="AD105" i="101"/>
  <c r="AD108" i="101" s="1"/>
  <c r="AD109" i="101" s="1"/>
  <c r="AL105" i="101"/>
  <c r="AL108" i="101" s="1"/>
  <c r="AL109" i="101" s="1"/>
  <c r="N110" i="101"/>
  <c r="V110" i="101"/>
  <c r="AD110" i="101"/>
  <c r="AL110" i="101"/>
  <c r="AE87" i="101"/>
  <c r="AM87" i="101"/>
  <c r="N88" i="101"/>
  <c r="N89" i="101" s="1"/>
  <c r="V88" i="101"/>
  <c r="AD88" i="101"/>
  <c r="AL88" i="101"/>
  <c r="AE105" i="101"/>
  <c r="AE108" i="101" s="1"/>
  <c r="AE109" i="101" s="1"/>
  <c r="AM105" i="101"/>
  <c r="AM108" i="101" s="1"/>
  <c r="AM109" i="101" s="1"/>
  <c r="O110" i="101"/>
  <c r="W110" i="101"/>
  <c r="AE110" i="101"/>
  <c r="AM110" i="101"/>
  <c r="AF87" i="101"/>
  <c r="AN87" i="101"/>
  <c r="O88" i="101"/>
  <c r="W88" i="101"/>
  <c r="AE88" i="101"/>
  <c r="AM88" i="101"/>
  <c r="AF105" i="101"/>
  <c r="AF108" i="101" s="1"/>
  <c r="AF109" i="101" s="1"/>
  <c r="AN105" i="101"/>
  <c r="AN108" i="101" s="1"/>
  <c r="AN109" i="101" s="1"/>
  <c r="P110" i="101"/>
  <c r="X110" i="101"/>
  <c r="AF110" i="101"/>
  <c r="AN110" i="101"/>
  <c r="AG87" i="101"/>
  <c r="AO87" i="101"/>
  <c r="P88" i="101"/>
  <c r="X88" i="101"/>
  <c r="AF88" i="101"/>
  <c r="AN88" i="101"/>
  <c r="AG105" i="101"/>
  <c r="AO105" i="101"/>
  <c r="Q110" i="101"/>
  <c r="Y110" i="101"/>
  <c r="AG110" i="101"/>
  <c r="AO110" i="101"/>
  <c r="AH87" i="101"/>
  <c r="AP87" i="101"/>
  <c r="Q88" i="101"/>
  <c r="Y88" i="101"/>
  <c r="AG88" i="101"/>
  <c r="AO88" i="101"/>
  <c r="AH105" i="101"/>
  <c r="AH108" i="101" s="1"/>
  <c r="AH109" i="101" s="1"/>
  <c r="AP105" i="101"/>
  <c r="AP108" i="101" s="1"/>
  <c r="AP109" i="101" s="1"/>
  <c r="R110" i="101"/>
  <c r="Z110" i="101"/>
  <c r="AH110" i="101"/>
  <c r="AP110" i="101"/>
  <c r="AI87" i="101"/>
  <c r="AQ87" i="101"/>
  <c r="R88" i="101"/>
  <c r="Z88" i="101"/>
  <c r="AH88" i="101"/>
  <c r="AP88" i="101"/>
  <c r="AI105" i="101"/>
  <c r="AI108" i="101" s="1"/>
  <c r="AI109" i="101" s="1"/>
  <c r="AQ105" i="101"/>
  <c r="S110" i="101"/>
  <c r="AA110" i="101"/>
  <c r="AI110" i="101"/>
  <c r="AQ110" i="101"/>
  <c r="AJ87" i="101"/>
  <c r="AJ89" i="101" s="1"/>
  <c r="AJ90" i="101" s="1"/>
  <c r="AJ91" i="101" s="1"/>
  <c r="AR87" i="101"/>
  <c r="S88" i="101"/>
  <c r="AA88" i="101"/>
  <c r="AI88" i="101"/>
  <c r="AQ88" i="101"/>
  <c r="AJ105" i="101"/>
  <c r="AR105" i="101"/>
  <c r="T110" i="101"/>
  <c r="AB110" i="101"/>
  <c r="AJ110" i="101"/>
  <c r="R20" i="84"/>
  <c r="Z20" i="84"/>
  <c r="T20" i="84"/>
  <c r="AB20" i="84"/>
  <c r="U20" i="84"/>
  <c r="AC20" i="84"/>
  <c r="V20" i="84"/>
  <c r="AD20" i="84"/>
  <c r="O20" i="84"/>
  <c r="W20" i="84"/>
  <c r="AE20" i="84"/>
  <c r="P20" i="84"/>
  <c r="X20" i="84"/>
  <c r="G73" i="99"/>
  <c r="D86" i="99"/>
  <c r="F86" i="99" s="1"/>
  <c r="F76" i="99"/>
  <c r="F72" i="99"/>
  <c r="D82" i="99"/>
  <c r="F82" i="99" s="1"/>
  <c r="F73" i="99"/>
  <c r="D83" i="99"/>
  <c r="F83" i="99" s="1"/>
  <c r="G76" i="99"/>
  <c r="D85" i="99"/>
  <c r="F85" i="99" s="1"/>
  <c r="AD87" i="99"/>
  <c r="AL87" i="99"/>
  <c r="U88" i="99"/>
  <c r="AC88" i="99"/>
  <c r="AK88" i="99"/>
  <c r="AD105" i="99"/>
  <c r="AD108" i="99" s="1"/>
  <c r="AD109" i="99" s="1"/>
  <c r="AL105" i="99"/>
  <c r="AL108" i="99" s="1"/>
  <c r="AL109" i="99" s="1"/>
  <c r="N110" i="99"/>
  <c r="V110" i="99"/>
  <c r="AD110" i="99"/>
  <c r="AL110" i="99"/>
  <c r="O87" i="99"/>
  <c r="AE87" i="99"/>
  <c r="AM87" i="99"/>
  <c r="N88" i="99"/>
  <c r="N89" i="99" s="1"/>
  <c r="V88" i="99"/>
  <c r="AD88" i="99"/>
  <c r="AL88" i="99"/>
  <c r="O105" i="99"/>
  <c r="O108" i="99" s="1"/>
  <c r="O109" i="99" s="1"/>
  <c r="AE105" i="99"/>
  <c r="AE108" i="99" s="1"/>
  <c r="AE109" i="99" s="1"/>
  <c r="AM105" i="99"/>
  <c r="AM108" i="99" s="1"/>
  <c r="AM109" i="99" s="1"/>
  <c r="O110" i="99"/>
  <c r="W110" i="99"/>
  <c r="AE110" i="99"/>
  <c r="AM110" i="99"/>
  <c r="AF87" i="99"/>
  <c r="AN87" i="99"/>
  <c r="O88" i="99"/>
  <c r="W88" i="99"/>
  <c r="AE88" i="99"/>
  <c r="AM88" i="99"/>
  <c r="AF105" i="99"/>
  <c r="AF108" i="99" s="1"/>
  <c r="AF109" i="99" s="1"/>
  <c r="AN105" i="99"/>
  <c r="AN108" i="99" s="1"/>
  <c r="AN109" i="99" s="1"/>
  <c r="P110" i="99"/>
  <c r="X110" i="99"/>
  <c r="AF110" i="99"/>
  <c r="AN110" i="99"/>
  <c r="AG87" i="99"/>
  <c r="AO87" i="99"/>
  <c r="P88" i="99"/>
  <c r="X88" i="99"/>
  <c r="AF88" i="99"/>
  <c r="AN88" i="99"/>
  <c r="AG105" i="99"/>
  <c r="AO105" i="99"/>
  <c r="Q110" i="99"/>
  <c r="Y110" i="99"/>
  <c r="AG110" i="99"/>
  <c r="AO110" i="99"/>
  <c r="AH87" i="99"/>
  <c r="AP87" i="99"/>
  <c r="Q88" i="99"/>
  <c r="Y88" i="99"/>
  <c r="AG88" i="99"/>
  <c r="AO88" i="99"/>
  <c r="AH105" i="99"/>
  <c r="AH108" i="99" s="1"/>
  <c r="AH109" i="99" s="1"/>
  <c r="AP105" i="99"/>
  <c r="AP108" i="99" s="1"/>
  <c r="AP109" i="99" s="1"/>
  <c r="R110" i="99"/>
  <c r="Z110" i="99"/>
  <c r="AH110" i="99"/>
  <c r="AP110" i="99"/>
  <c r="AI87" i="99"/>
  <c r="AQ87" i="99"/>
  <c r="R88" i="99"/>
  <c r="Z88" i="99"/>
  <c r="AH88" i="99"/>
  <c r="AP88" i="99"/>
  <c r="AI105" i="99"/>
  <c r="AI108" i="99" s="1"/>
  <c r="AI109" i="99" s="1"/>
  <c r="AQ105" i="99"/>
  <c r="AQ108" i="99" s="1"/>
  <c r="AQ109" i="99" s="1"/>
  <c r="S110" i="99"/>
  <c r="AA110" i="99"/>
  <c r="AI110" i="99"/>
  <c r="AQ110" i="99"/>
  <c r="AJ87" i="99"/>
  <c r="AR87" i="99"/>
  <c r="S88" i="99"/>
  <c r="AA88" i="99"/>
  <c r="AI88" i="99"/>
  <c r="AQ88" i="99"/>
  <c r="AJ105" i="99"/>
  <c r="AJ108" i="99" s="1"/>
  <c r="AJ109" i="99" s="1"/>
  <c r="AR105" i="99"/>
  <c r="AR108" i="99" s="1"/>
  <c r="AR109" i="99" s="1"/>
  <c r="AR111" i="99" s="1"/>
  <c r="AR112" i="99" s="1"/>
  <c r="AR113" i="99" s="1"/>
  <c r="T110" i="99"/>
  <c r="AB110" i="99"/>
  <c r="AJ110" i="99"/>
  <c r="G73" i="98"/>
  <c r="C82" i="98"/>
  <c r="G82" i="98" s="1"/>
  <c r="I19" i="84" s="1"/>
  <c r="X19" i="84" s="1"/>
  <c r="R19" i="84"/>
  <c r="Z19" i="84"/>
  <c r="S19" i="84"/>
  <c r="T19" i="84"/>
  <c r="AB19" i="84"/>
  <c r="U19" i="84"/>
  <c r="AC19" i="84"/>
  <c r="V19" i="84"/>
  <c r="AD19" i="84"/>
  <c r="AE19" i="84"/>
  <c r="P19" i="84"/>
  <c r="N112" i="98"/>
  <c r="N113" i="98" s="1"/>
  <c r="M116" i="98" s="1" a="1"/>
  <c r="M116" i="98" s="1"/>
  <c r="N18" i="98" s="1"/>
  <c r="O87" i="98"/>
  <c r="D83" i="98"/>
  <c r="F83" i="98" s="1"/>
  <c r="F72" i="98"/>
  <c r="D82" i="98"/>
  <c r="F82" i="98" s="1"/>
  <c r="F76" i="98"/>
  <c r="O108" i="98"/>
  <c r="O109" i="98" s="1"/>
  <c r="G76" i="98"/>
  <c r="AD87" i="98"/>
  <c r="AD89" i="98" s="1"/>
  <c r="AD90" i="98" s="1"/>
  <c r="AD91" i="98" s="1"/>
  <c r="AL87" i="98"/>
  <c r="AL89" i="98" s="1"/>
  <c r="AL90" i="98" s="1"/>
  <c r="AL91" i="98" s="1"/>
  <c r="U88" i="98"/>
  <c r="AC88" i="98"/>
  <c r="AK88" i="98"/>
  <c r="AD105" i="98"/>
  <c r="AD108" i="98" s="1"/>
  <c r="AD109" i="98" s="1"/>
  <c r="AL105" i="98"/>
  <c r="N110" i="98"/>
  <c r="V110" i="98"/>
  <c r="AD110" i="98"/>
  <c r="AL110" i="98"/>
  <c r="AK108" i="98"/>
  <c r="AK109" i="98" s="1"/>
  <c r="AG87" i="98"/>
  <c r="AO87" i="98"/>
  <c r="P88" i="98"/>
  <c r="X88" i="98"/>
  <c r="AF88" i="98"/>
  <c r="AN88" i="98"/>
  <c r="AN89" i="98" s="1"/>
  <c r="AN90" i="98" s="1"/>
  <c r="AN91" i="98" s="1"/>
  <c r="AG105" i="98"/>
  <c r="AO105" i="98"/>
  <c r="AO108" i="98" s="1"/>
  <c r="AO109" i="98" s="1"/>
  <c r="Q110" i="98"/>
  <c r="Y110" i="98"/>
  <c r="AG110" i="98"/>
  <c r="AO110" i="98"/>
  <c r="AH87" i="98"/>
  <c r="AP87" i="98"/>
  <c r="Q88" i="98"/>
  <c r="Y88" i="98"/>
  <c r="AG88" i="98"/>
  <c r="AO88" i="98"/>
  <c r="AH105" i="98"/>
  <c r="AH108" i="98" s="1"/>
  <c r="AH109" i="98" s="1"/>
  <c r="AP105" i="98"/>
  <c r="AP108" i="98" s="1"/>
  <c r="AP109" i="98" s="1"/>
  <c r="R110" i="98"/>
  <c r="Z110" i="98"/>
  <c r="AH110" i="98"/>
  <c r="AP110" i="98"/>
  <c r="AI87" i="98"/>
  <c r="AQ87" i="98"/>
  <c r="R88" i="98"/>
  <c r="Z88" i="98"/>
  <c r="AH88" i="98"/>
  <c r="AP88" i="98"/>
  <c r="AI105" i="98"/>
  <c r="AI108" i="98" s="1"/>
  <c r="AI109" i="98" s="1"/>
  <c r="AQ105" i="98"/>
  <c r="AQ108" i="98" s="1"/>
  <c r="AQ109" i="98" s="1"/>
  <c r="S110" i="98"/>
  <c r="AA110" i="98"/>
  <c r="AI110" i="98"/>
  <c r="AQ110" i="98"/>
  <c r="AJ87" i="98"/>
  <c r="AR87" i="98"/>
  <c r="S88" i="98"/>
  <c r="AA88" i="98"/>
  <c r="AI88" i="98"/>
  <c r="AQ88" i="98"/>
  <c r="AJ105" i="98"/>
  <c r="AJ108" i="98" s="1"/>
  <c r="AJ109" i="98" s="1"/>
  <c r="AR105" i="98"/>
  <c r="AR108" i="98" s="1"/>
  <c r="AR109" i="98" s="1"/>
  <c r="AR111" i="98" s="1"/>
  <c r="AR112" i="98" s="1"/>
  <c r="AR113" i="98" s="1"/>
  <c r="T110" i="98"/>
  <c r="AB110" i="98"/>
  <c r="AJ110" i="98"/>
  <c r="S17" i="84"/>
  <c r="C86" i="97"/>
  <c r="G86" i="97" s="1"/>
  <c r="AK87" i="97"/>
  <c r="AE110" i="97"/>
  <c r="AD88" i="97"/>
  <c r="AM110" i="97"/>
  <c r="D83" i="96"/>
  <c r="F83" i="96" s="1"/>
  <c r="F73" i="96"/>
  <c r="G75" i="81"/>
  <c r="C85" i="81"/>
  <c r="G85" i="81" s="1"/>
  <c r="D85" i="96"/>
  <c r="F85" i="96" s="1"/>
  <c r="F75" i="96"/>
  <c r="D85" i="92"/>
  <c r="F85" i="92" s="1"/>
  <c r="F75" i="92"/>
  <c r="D85" i="81"/>
  <c r="F85" i="81" s="1"/>
  <c r="AE87" i="97"/>
  <c r="AJ88" i="97"/>
  <c r="AK110" i="97"/>
  <c r="G72" i="97"/>
  <c r="AF18" i="84" s="1"/>
  <c r="AM87" i="97"/>
  <c r="AR88" i="97"/>
  <c r="C85" i="97"/>
  <c r="G85" i="97" s="1"/>
  <c r="G75" i="96"/>
  <c r="F72" i="96"/>
  <c r="N88" i="97"/>
  <c r="N89" i="97" s="1"/>
  <c r="N90" i="97" s="1"/>
  <c r="N91" i="97" s="1"/>
  <c r="M94" i="97" s="1" a="1"/>
  <c r="M94" i="97" s="1"/>
  <c r="N15" i="97" s="1"/>
  <c r="O110" i="97"/>
  <c r="D85" i="97"/>
  <c r="F85" i="97" s="1"/>
  <c r="T88" i="97"/>
  <c r="AE105" i="97"/>
  <c r="AE108" i="97" s="1"/>
  <c r="AE109" i="97" s="1"/>
  <c r="U110" i="97"/>
  <c r="R18" i="84"/>
  <c r="G73" i="96"/>
  <c r="G75" i="92"/>
  <c r="C82" i="97"/>
  <c r="G82" i="97" s="1"/>
  <c r="I18" i="84" s="1"/>
  <c r="Z18" i="84" s="1"/>
  <c r="V88" i="97"/>
  <c r="AK105" i="97"/>
  <c r="AK108" i="97" s="1"/>
  <c r="AK109" i="97" s="1"/>
  <c r="W110" i="97"/>
  <c r="Y18" i="84"/>
  <c r="AB88" i="97"/>
  <c r="AM105" i="97"/>
  <c r="AM108" i="97" s="1"/>
  <c r="AM109" i="97" s="1"/>
  <c r="AC110" i="97"/>
  <c r="S18" i="84"/>
  <c r="AA18" i="84"/>
  <c r="T18" i="84"/>
  <c r="AB18" i="84"/>
  <c r="U18" i="84"/>
  <c r="V18" i="84"/>
  <c r="AD18" i="84"/>
  <c r="O18" i="84"/>
  <c r="W18" i="84"/>
  <c r="AE18" i="84"/>
  <c r="P18" i="84"/>
  <c r="X18" i="84"/>
  <c r="D83" i="97"/>
  <c r="F83" i="97" s="1"/>
  <c r="F73" i="97"/>
  <c r="O87" i="97"/>
  <c r="G73" i="97"/>
  <c r="D82" i="97"/>
  <c r="F82" i="97" s="1"/>
  <c r="AD87" i="97"/>
  <c r="AL87" i="97"/>
  <c r="U88" i="97"/>
  <c r="AC88" i="97"/>
  <c r="AK88" i="97"/>
  <c r="AD105" i="97"/>
  <c r="AL105" i="97"/>
  <c r="AL108" i="97" s="1"/>
  <c r="AL109" i="97" s="1"/>
  <c r="N110" i="97"/>
  <c r="V110" i="97"/>
  <c r="AD110" i="97"/>
  <c r="AL110" i="97"/>
  <c r="AF87" i="97"/>
  <c r="AN87" i="97"/>
  <c r="O88" i="97"/>
  <c r="W88" i="97"/>
  <c r="AE88" i="97"/>
  <c r="AE89" i="97" s="1"/>
  <c r="AE90" i="97" s="1"/>
  <c r="AE91" i="97" s="1"/>
  <c r="AM88" i="97"/>
  <c r="AF105" i="97"/>
  <c r="AN105" i="97"/>
  <c r="AN108" i="97" s="1"/>
  <c r="AN109" i="97" s="1"/>
  <c r="P110" i="97"/>
  <c r="X110" i="97"/>
  <c r="AF110" i="97"/>
  <c r="AN110" i="97"/>
  <c r="AG87" i="97"/>
  <c r="AO87" i="97"/>
  <c r="P88" i="97"/>
  <c r="X88" i="97"/>
  <c r="AF88" i="97"/>
  <c r="AN88" i="97"/>
  <c r="AG105" i="97"/>
  <c r="AG108" i="97" s="1"/>
  <c r="AG109" i="97" s="1"/>
  <c r="AO105" i="97"/>
  <c r="Q110" i="97"/>
  <c r="Y110" i="97"/>
  <c r="AG110" i="97"/>
  <c r="AO110" i="97"/>
  <c r="AH87" i="97"/>
  <c r="AP87" i="97"/>
  <c r="Q88" i="97"/>
  <c r="Y88" i="97"/>
  <c r="AG88" i="97"/>
  <c r="AO88" i="97"/>
  <c r="AH105" i="97"/>
  <c r="AP105" i="97"/>
  <c r="AP108" i="97" s="1"/>
  <c r="AP109" i="97" s="1"/>
  <c r="R110" i="97"/>
  <c r="Z110" i="97"/>
  <c r="AH110" i="97"/>
  <c r="AP110" i="97"/>
  <c r="AI87" i="97"/>
  <c r="AQ87" i="97"/>
  <c r="R88" i="97"/>
  <c r="Z88" i="97"/>
  <c r="AH88" i="97"/>
  <c r="AP88" i="97"/>
  <c r="AI105" i="97"/>
  <c r="AI108" i="97" s="1"/>
  <c r="AI109" i="97" s="1"/>
  <c r="AQ105" i="97"/>
  <c r="AQ108" i="97" s="1"/>
  <c r="AQ109" i="97" s="1"/>
  <c r="S110" i="97"/>
  <c r="AA110" i="97"/>
  <c r="AI110" i="97"/>
  <c r="AQ110" i="97"/>
  <c r="AJ87" i="97"/>
  <c r="AR87" i="97"/>
  <c r="S88" i="97"/>
  <c r="AA88" i="97"/>
  <c r="AI88" i="97"/>
  <c r="AQ88" i="97"/>
  <c r="AJ105" i="97"/>
  <c r="AJ108" i="97" s="1"/>
  <c r="AJ109" i="97" s="1"/>
  <c r="AR105" i="97"/>
  <c r="T110" i="97"/>
  <c r="AB110" i="97"/>
  <c r="AJ110" i="97"/>
  <c r="N111" i="96"/>
  <c r="N112" i="96" s="1"/>
  <c r="N113" i="96" s="1"/>
  <c r="M116" i="96" s="1" a="1"/>
  <c r="M116" i="96" s="1"/>
  <c r="N18" i="96" s="1"/>
  <c r="T17" i="84"/>
  <c r="N47" i="96"/>
  <c r="M64" i="96" s="1"/>
  <c r="O87" i="96" s="1"/>
  <c r="V17" i="84"/>
  <c r="Z17" i="84"/>
  <c r="AF17" i="84"/>
  <c r="AA17" i="84"/>
  <c r="Q17" i="84"/>
  <c r="AD17" i="84"/>
  <c r="R17" i="84"/>
  <c r="U17" i="84"/>
  <c r="AC17" i="84"/>
  <c r="O17" i="84"/>
  <c r="W17" i="84"/>
  <c r="P17" i="84"/>
  <c r="X17" i="84"/>
  <c r="C82" i="96"/>
  <c r="G82" i="96" s="1"/>
  <c r="G72" i="96"/>
  <c r="AK87" i="96"/>
  <c r="T88" i="96"/>
  <c r="AB88" i="96"/>
  <c r="AJ88" i="96"/>
  <c r="AR88" i="96"/>
  <c r="AK105" i="96"/>
  <c r="AK108" i="96" s="1"/>
  <c r="AK109" i="96" s="1"/>
  <c r="U110" i="96"/>
  <c r="AD87" i="96"/>
  <c r="AL87" i="96"/>
  <c r="U88" i="96"/>
  <c r="AC88" i="96"/>
  <c r="AK88" i="96"/>
  <c r="AD105" i="96"/>
  <c r="AD108" i="96" s="1"/>
  <c r="AD109" i="96" s="1"/>
  <c r="AL105" i="96"/>
  <c r="AL108" i="96" s="1"/>
  <c r="AL109" i="96" s="1"/>
  <c r="N110" i="96"/>
  <c r="V110" i="96"/>
  <c r="AD110" i="96"/>
  <c r="AL110" i="96"/>
  <c r="AC110" i="96"/>
  <c r="AK110" i="96"/>
  <c r="F23" i="96"/>
  <c r="AE87" i="96"/>
  <c r="AM87" i="96"/>
  <c r="N88" i="96"/>
  <c r="N89" i="96" s="1"/>
  <c r="V88" i="96"/>
  <c r="AD88" i="96"/>
  <c r="AL88" i="96"/>
  <c r="AE105" i="96"/>
  <c r="AM105" i="96"/>
  <c r="O110" i="96"/>
  <c r="W110" i="96"/>
  <c r="AE110" i="96"/>
  <c r="AM110" i="96"/>
  <c r="AN87" i="96"/>
  <c r="AE88" i="96"/>
  <c r="AF110" i="96"/>
  <c r="AG87" i="96"/>
  <c r="AO87" i="96"/>
  <c r="P88" i="96"/>
  <c r="X88" i="96"/>
  <c r="AF88" i="96"/>
  <c r="AN88" i="96"/>
  <c r="AG105" i="96"/>
  <c r="AG108" i="96" s="1"/>
  <c r="AG109" i="96" s="1"/>
  <c r="AO105" i="96"/>
  <c r="Q110" i="96"/>
  <c r="Y110" i="96"/>
  <c r="AG110" i="96"/>
  <c r="AO110" i="96"/>
  <c r="O88" i="96"/>
  <c r="AM88" i="96"/>
  <c r="AF105" i="96"/>
  <c r="AF108" i="96" s="1"/>
  <c r="AF109" i="96" s="1"/>
  <c r="AN105" i="96"/>
  <c r="AN108" i="96" s="1"/>
  <c r="AN109" i="96" s="1"/>
  <c r="P110" i="96"/>
  <c r="X110" i="96"/>
  <c r="AN110" i="96"/>
  <c r="AH87" i="96"/>
  <c r="AP87" i="96"/>
  <c r="Q88" i="96"/>
  <c r="Y88" i="96"/>
  <c r="AG88" i="96"/>
  <c r="AO88" i="96"/>
  <c r="AH105" i="96"/>
  <c r="AP105" i="96"/>
  <c r="AP108" i="96" s="1"/>
  <c r="AP109" i="96" s="1"/>
  <c r="R110" i="96"/>
  <c r="Z110" i="96"/>
  <c r="AH110" i="96"/>
  <c r="AP110" i="96"/>
  <c r="AI87" i="96"/>
  <c r="AQ87" i="96"/>
  <c r="R88" i="96"/>
  <c r="Z88" i="96"/>
  <c r="AH88" i="96"/>
  <c r="AP88" i="96"/>
  <c r="AI105" i="96"/>
  <c r="AI108" i="96" s="1"/>
  <c r="AI109" i="96" s="1"/>
  <c r="AQ105" i="96"/>
  <c r="AQ108" i="96" s="1"/>
  <c r="AQ109" i="96" s="1"/>
  <c r="S110" i="96"/>
  <c r="AA110" i="96"/>
  <c r="AI110" i="96"/>
  <c r="AQ110" i="96"/>
  <c r="AF87" i="96"/>
  <c r="W88" i="96"/>
  <c r="AJ87" i="96"/>
  <c r="AR87" i="96"/>
  <c r="S88" i="96"/>
  <c r="AA88" i="96"/>
  <c r="AI88" i="96"/>
  <c r="AQ88" i="96"/>
  <c r="AJ105" i="96"/>
  <c r="AJ108" i="96" s="1"/>
  <c r="AJ109" i="96" s="1"/>
  <c r="AR105" i="96"/>
  <c r="T110" i="96"/>
  <c r="AB110" i="96"/>
  <c r="AJ110" i="96"/>
  <c r="N16" i="84"/>
  <c r="M16" i="84"/>
  <c r="L16" i="84"/>
  <c r="E16" i="84"/>
  <c r="D16" i="84"/>
  <c r="C16" i="84"/>
  <c r="B16" i="84"/>
  <c r="N15" i="84"/>
  <c r="M15" i="84"/>
  <c r="L15" i="84"/>
  <c r="E15" i="84"/>
  <c r="R15" i="84" s="1"/>
  <c r="D15" i="84"/>
  <c r="C15" i="84"/>
  <c r="B15" i="84"/>
  <c r="H5" i="79"/>
  <c r="G5" i="79"/>
  <c r="C5" i="79"/>
  <c r="B5" i="79"/>
  <c r="H6" i="79"/>
  <c r="G6" i="79"/>
  <c r="AR107" i="92"/>
  <c r="AQ107" i="92"/>
  <c r="AP107" i="92"/>
  <c r="AO107" i="92"/>
  <c r="AN107" i="92"/>
  <c r="AM107" i="92"/>
  <c r="AL107" i="92"/>
  <c r="AK107" i="92"/>
  <c r="AJ107" i="92"/>
  <c r="AI107" i="92"/>
  <c r="AH107" i="92"/>
  <c r="AG107" i="92"/>
  <c r="AF107" i="92"/>
  <c r="AE107" i="92"/>
  <c r="AD107" i="92"/>
  <c r="AC107" i="92"/>
  <c r="AB107" i="92"/>
  <c r="AA107" i="92"/>
  <c r="Z107" i="92"/>
  <c r="Y107" i="92"/>
  <c r="X107" i="92"/>
  <c r="W107" i="92"/>
  <c r="V107" i="92"/>
  <c r="U107" i="92"/>
  <c r="T107" i="92"/>
  <c r="S107" i="92"/>
  <c r="R107" i="92"/>
  <c r="Q107" i="92"/>
  <c r="P107" i="92"/>
  <c r="O107" i="92"/>
  <c r="AR106" i="92"/>
  <c r="AQ106" i="92"/>
  <c r="AP106" i="92"/>
  <c r="AO106" i="92"/>
  <c r="AN106" i="92"/>
  <c r="AM106" i="92"/>
  <c r="AL106" i="92"/>
  <c r="AK106" i="92"/>
  <c r="AJ106" i="92"/>
  <c r="AI106" i="92"/>
  <c r="AH106" i="92"/>
  <c r="AG106" i="92"/>
  <c r="AF106" i="92"/>
  <c r="AE106" i="92"/>
  <c r="AD106" i="92"/>
  <c r="AC106" i="92"/>
  <c r="AB106" i="92"/>
  <c r="AA106" i="92"/>
  <c r="Z106" i="92"/>
  <c r="Y106" i="92"/>
  <c r="X106" i="92"/>
  <c r="W106" i="92"/>
  <c r="V106" i="92"/>
  <c r="U106" i="92"/>
  <c r="T106" i="92"/>
  <c r="S106" i="92"/>
  <c r="R106" i="92"/>
  <c r="Q106" i="92"/>
  <c r="P106" i="92"/>
  <c r="O106" i="92"/>
  <c r="AR104" i="92"/>
  <c r="AQ104" i="92"/>
  <c r="AP104" i="92"/>
  <c r="AO104" i="92"/>
  <c r="AN104" i="92"/>
  <c r="AM104" i="92"/>
  <c r="AL104" i="92"/>
  <c r="AK104" i="92"/>
  <c r="AJ104" i="92"/>
  <c r="AI104" i="92"/>
  <c r="AH104" i="92"/>
  <c r="AG104" i="92"/>
  <c r="AF104" i="92"/>
  <c r="AE104" i="92"/>
  <c r="AD104" i="92"/>
  <c r="AC104" i="92"/>
  <c r="AB104" i="92"/>
  <c r="AA104" i="92"/>
  <c r="Z104" i="92"/>
  <c r="Y104" i="92"/>
  <c r="X104" i="92"/>
  <c r="W104" i="92"/>
  <c r="V104" i="92"/>
  <c r="U104" i="92"/>
  <c r="T104" i="92"/>
  <c r="S104" i="92"/>
  <c r="R104" i="92"/>
  <c r="Q104" i="92"/>
  <c r="P104" i="92"/>
  <c r="O104" i="92"/>
  <c r="N103" i="92"/>
  <c r="N102" i="92"/>
  <c r="N109" i="92" s="1"/>
  <c r="N101" i="92"/>
  <c r="AR85" i="92"/>
  <c r="AQ85" i="92"/>
  <c r="AP85" i="92"/>
  <c r="AO85" i="92"/>
  <c r="AN85" i="92"/>
  <c r="AM85" i="92"/>
  <c r="AL85" i="92"/>
  <c r="AK85" i="92"/>
  <c r="AJ85" i="92"/>
  <c r="AI85" i="92"/>
  <c r="AH85" i="92"/>
  <c r="AG85" i="92"/>
  <c r="AF85" i="92"/>
  <c r="AE85" i="92"/>
  <c r="AD85" i="92"/>
  <c r="AC85" i="92"/>
  <c r="AB85" i="92"/>
  <c r="AA85" i="92"/>
  <c r="Z85" i="92"/>
  <c r="Y85" i="92"/>
  <c r="X85" i="92"/>
  <c r="W85" i="92"/>
  <c r="V85" i="92"/>
  <c r="U85" i="92"/>
  <c r="T85" i="92"/>
  <c r="S85" i="92"/>
  <c r="R85" i="92"/>
  <c r="Q85" i="92"/>
  <c r="P85" i="92"/>
  <c r="O85" i="92"/>
  <c r="N83" i="92"/>
  <c r="N82" i="92"/>
  <c r="N81" i="92"/>
  <c r="D81" i="92"/>
  <c r="C81" i="92"/>
  <c r="B81" i="92"/>
  <c r="E73" i="92"/>
  <c r="D73" i="92"/>
  <c r="E72" i="92"/>
  <c r="D72" i="92"/>
  <c r="G67" i="92"/>
  <c r="G61" i="92"/>
  <c r="F25" i="92" s="1"/>
  <c r="B51" i="92"/>
  <c r="B73" i="92" s="1"/>
  <c r="B83" i="92" s="1"/>
  <c r="B50" i="92"/>
  <c r="B72" i="92" s="1"/>
  <c r="B82" i="92" s="1"/>
  <c r="N48" i="92"/>
  <c r="M65" i="92" s="1"/>
  <c r="K42" i="92"/>
  <c r="K41" i="92"/>
  <c r="K40" i="92"/>
  <c r="N39" i="92"/>
  <c r="K39" i="92"/>
  <c r="N38" i="92"/>
  <c r="K38" i="92"/>
  <c r="N37" i="92"/>
  <c r="K37" i="92"/>
  <c r="K18" i="92"/>
  <c r="K16" i="92"/>
  <c r="AR110" i="92" s="1"/>
  <c r="B1" i="92"/>
  <c r="AA12" i="84"/>
  <c r="AD12" i="84"/>
  <c r="X12" i="84"/>
  <c r="F23" i="81"/>
  <c r="I6" i="79" s="1"/>
  <c r="H13" i="79"/>
  <c r="WQK13" i="84"/>
  <c r="O24" i="84"/>
  <c r="P24" i="84"/>
  <c r="Q24" i="84"/>
  <c r="R24" i="84"/>
  <c r="S24" i="84"/>
  <c r="T24" i="84"/>
  <c r="U24" i="84"/>
  <c r="V24" i="84"/>
  <c r="W24" i="84"/>
  <c r="X24" i="84"/>
  <c r="Y24" i="84"/>
  <c r="Z24" i="84"/>
  <c r="AA24" i="84"/>
  <c r="AB24" i="84"/>
  <c r="AC24" i="84"/>
  <c r="AD24" i="84"/>
  <c r="AE24" i="84"/>
  <c r="AF24" i="84"/>
  <c r="F38" i="84"/>
  <c r="F39" i="84"/>
  <c r="AR89" i="98" l="1"/>
  <c r="AR90" i="98" s="1"/>
  <c r="AR91" i="98" s="1"/>
  <c r="AP111" i="101"/>
  <c r="AP112" i="101" s="1"/>
  <c r="AP113" i="101" s="1"/>
  <c r="AN111" i="101"/>
  <c r="AN112" i="101" s="1"/>
  <c r="AN113" i="101" s="1"/>
  <c r="AO111" i="102"/>
  <c r="AO112" i="102" s="1"/>
  <c r="AO113" i="102" s="1"/>
  <c r="AM111" i="101"/>
  <c r="AM112" i="101" s="1"/>
  <c r="AM113" i="101" s="1"/>
  <c r="G87" i="101"/>
  <c r="O105" i="102"/>
  <c r="O108" i="102" s="1"/>
  <c r="O109" i="102" s="1"/>
  <c r="AM111" i="98"/>
  <c r="AM112" i="98" s="1"/>
  <c r="AM113" i="98" s="1"/>
  <c r="AQ111" i="99"/>
  <c r="AQ112" i="99" s="1"/>
  <c r="AQ113" i="99" s="1"/>
  <c r="AE111" i="98"/>
  <c r="AE112" i="98" s="1"/>
  <c r="AE113" i="98" s="1"/>
  <c r="AN111" i="96"/>
  <c r="AN112" i="96" s="1"/>
  <c r="AN113" i="96" s="1"/>
  <c r="AK89" i="99"/>
  <c r="AK90" i="99" s="1"/>
  <c r="AK91" i="99" s="1"/>
  <c r="K23" i="84"/>
  <c r="AD23" i="84" s="1"/>
  <c r="G77" i="104"/>
  <c r="J23" i="84" s="1"/>
  <c r="AA23" i="84" s="1"/>
  <c r="Z13" i="105"/>
  <c r="Z16" i="105"/>
  <c r="Z12" i="105"/>
  <c r="Z6" i="105"/>
  <c r="Z9" i="105"/>
  <c r="Z7" i="105"/>
  <c r="Z10" i="105"/>
  <c r="Z15" i="105"/>
  <c r="F35" i="105"/>
  <c r="G30" i="105"/>
  <c r="H30" i="105"/>
  <c r="AF89" i="98"/>
  <c r="AF90" i="98" s="1"/>
  <c r="AF91" i="98" s="1"/>
  <c r="AK111" i="101"/>
  <c r="AK112" i="101" s="1"/>
  <c r="AK113" i="101" s="1"/>
  <c r="AN111" i="98"/>
  <c r="AN112" i="98" s="1"/>
  <c r="AN113" i="98" s="1"/>
  <c r="AJ89" i="99"/>
  <c r="AJ90" i="99" s="1"/>
  <c r="AJ91" i="99" s="1"/>
  <c r="AK111" i="102"/>
  <c r="AK112" i="102" s="1"/>
  <c r="AK113" i="102" s="1"/>
  <c r="G87" i="99"/>
  <c r="AR89" i="97"/>
  <c r="AR90" i="97" s="1"/>
  <c r="AR91" i="97" s="1"/>
  <c r="AE111" i="97"/>
  <c r="AE112" i="97" s="1"/>
  <c r="AE113" i="97" s="1"/>
  <c r="AM89" i="97"/>
  <c r="AM90" i="97" s="1"/>
  <c r="AM91" i="97" s="1"/>
  <c r="AF89" i="99"/>
  <c r="AF90" i="99" s="1"/>
  <c r="AF91" i="99" s="1"/>
  <c r="G77" i="98"/>
  <c r="J19" i="84" s="1"/>
  <c r="AA19" i="84" s="1"/>
  <c r="O108" i="97"/>
  <c r="O109" i="97" s="1"/>
  <c r="O111" i="97" s="1"/>
  <c r="O112" i="97" s="1"/>
  <c r="O113" i="97" s="1"/>
  <c r="AQ89" i="102"/>
  <c r="AQ90" i="102" s="1"/>
  <c r="AQ91" i="102" s="1"/>
  <c r="AI111" i="101"/>
  <c r="AI112" i="101" s="1"/>
  <c r="AI113" i="101" s="1"/>
  <c r="AH111" i="101"/>
  <c r="AH112" i="101" s="1"/>
  <c r="AH113" i="101" s="1"/>
  <c r="AO89" i="99"/>
  <c r="AO90" i="99" s="1"/>
  <c r="AO91" i="99" s="1"/>
  <c r="AL89" i="97"/>
  <c r="AL90" i="97" s="1"/>
  <c r="AL91" i="97" s="1"/>
  <c r="AP89" i="98"/>
  <c r="AP90" i="98" s="1"/>
  <c r="AP91" i="98" s="1"/>
  <c r="AM89" i="101"/>
  <c r="AM90" i="101" s="1"/>
  <c r="AM91" i="101" s="1"/>
  <c r="AR89" i="102"/>
  <c r="AR90" i="102" s="1"/>
  <c r="AR91" i="102" s="1"/>
  <c r="AK89" i="102"/>
  <c r="AK90" i="102" s="1"/>
  <c r="AK91" i="102" s="1"/>
  <c r="AE89" i="98"/>
  <c r="AE90" i="98" s="1"/>
  <c r="AE91" i="98" s="1"/>
  <c r="AJ89" i="98"/>
  <c r="AJ90" i="98" s="1"/>
  <c r="AJ91" i="98" s="1"/>
  <c r="AE89" i="101"/>
  <c r="AE90" i="101" s="1"/>
  <c r="AE91" i="101" s="1"/>
  <c r="AP111" i="98"/>
  <c r="AP112" i="98" s="1"/>
  <c r="AP113" i="98" s="1"/>
  <c r="AR89" i="99"/>
  <c r="AR90" i="99" s="1"/>
  <c r="AR91" i="99" s="1"/>
  <c r="G77" i="99"/>
  <c r="J20" i="84" s="1"/>
  <c r="AA20" i="84" s="1"/>
  <c r="AH89" i="101"/>
  <c r="AH90" i="101" s="1"/>
  <c r="AH91" i="101" s="1"/>
  <c r="AE111" i="101"/>
  <c r="AE112" i="101" s="1"/>
  <c r="AE113" i="101" s="1"/>
  <c r="AL89" i="102"/>
  <c r="AL90" i="102" s="1"/>
  <c r="AL91" i="102" s="1"/>
  <c r="O108" i="101"/>
  <c r="O109" i="101" s="1"/>
  <c r="G77" i="102"/>
  <c r="J22" i="84" s="1"/>
  <c r="O87" i="101"/>
  <c r="O105" i="96"/>
  <c r="O108" i="96" s="1"/>
  <c r="O109" i="96" s="1"/>
  <c r="O111" i="96" s="1"/>
  <c r="AD89" i="99"/>
  <c r="AD90" i="99" s="1"/>
  <c r="AD91" i="99" s="1"/>
  <c r="AM89" i="102"/>
  <c r="AM90" i="102" s="1"/>
  <c r="AM91" i="102" s="1"/>
  <c r="AK89" i="98"/>
  <c r="AK90" i="98" s="1"/>
  <c r="AK91" i="98" s="1"/>
  <c r="AF89" i="101"/>
  <c r="AF90" i="101" s="1"/>
  <c r="AF91" i="101" s="1"/>
  <c r="AG89" i="101"/>
  <c r="AG90" i="101" s="1"/>
  <c r="AG91" i="101" s="1"/>
  <c r="AP89" i="102"/>
  <c r="AP90" i="102" s="1"/>
  <c r="AP91" i="102" s="1"/>
  <c r="AF111" i="98"/>
  <c r="AF112" i="98" s="1"/>
  <c r="AF113" i="98" s="1"/>
  <c r="AN89" i="99"/>
  <c r="AN90" i="99" s="1"/>
  <c r="AN91" i="99" s="1"/>
  <c r="AF89" i="96"/>
  <c r="AF90" i="96" s="1"/>
  <c r="AF91" i="96" s="1"/>
  <c r="AG89" i="98"/>
  <c r="AG90" i="98" s="1"/>
  <c r="AG91" i="98" s="1"/>
  <c r="AN111" i="99"/>
  <c r="AN112" i="99" s="1"/>
  <c r="AN113" i="99" s="1"/>
  <c r="O89" i="99"/>
  <c r="O90" i="99" s="1"/>
  <c r="O91" i="99" s="1"/>
  <c r="AI111" i="98"/>
  <c r="AI112" i="98" s="1"/>
  <c r="AI113" i="98" s="1"/>
  <c r="AJ111" i="99"/>
  <c r="AJ112" i="99" s="1"/>
  <c r="AJ113" i="99" s="1"/>
  <c r="AH111" i="99"/>
  <c r="AH112" i="99" s="1"/>
  <c r="AH113" i="99" s="1"/>
  <c r="AF111" i="99"/>
  <c r="AF112" i="99" s="1"/>
  <c r="AF113" i="99" s="1"/>
  <c r="AM111" i="99"/>
  <c r="AM112" i="99" s="1"/>
  <c r="AM113" i="99" s="1"/>
  <c r="G77" i="101"/>
  <c r="J21" i="84" s="1"/>
  <c r="AA21" i="84" s="1"/>
  <c r="AH89" i="98"/>
  <c r="AH90" i="98" s="1"/>
  <c r="AH91" i="98" s="1"/>
  <c r="AI111" i="99"/>
  <c r="AI112" i="99" s="1"/>
  <c r="AI113" i="99" s="1"/>
  <c r="AG89" i="99"/>
  <c r="AG90" i="99" s="1"/>
  <c r="AG91" i="99" s="1"/>
  <c r="AQ89" i="101"/>
  <c r="AQ90" i="101" s="1"/>
  <c r="AQ91" i="101" s="1"/>
  <c r="AO89" i="101"/>
  <c r="AO90" i="101" s="1"/>
  <c r="AO91" i="101" s="1"/>
  <c r="AG111" i="102"/>
  <c r="AG112" i="102" s="1"/>
  <c r="AG113" i="102" s="1"/>
  <c r="AE89" i="102"/>
  <c r="AE90" i="102" s="1"/>
  <c r="AE91" i="102" s="1"/>
  <c r="AG89" i="102"/>
  <c r="AG90" i="102" s="1"/>
  <c r="AG91" i="102" s="1"/>
  <c r="O111" i="98"/>
  <c r="O112" i="98" s="1"/>
  <c r="O113" i="98" s="1"/>
  <c r="AK89" i="97"/>
  <c r="AK90" i="97" s="1"/>
  <c r="AK91" i="97" s="1"/>
  <c r="AH111" i="98"/>
  <c r="AH112" i="98" s="1"/>
  <c r="AH113" i="98" s="1"/>
  <c r="AP89" i="99"/>
  <c r="AP90" i="99" s="1"/>
  <c r="AP91" i="99" s="1"/>
  <c r="AE111" i="99"/>
  <c r="AE112" i="99" s="1"/>
  <c r="AE113" i="99" s="1"/>
  <c r="AI89" i="101"/>
  <c r="AI90" i="101" s="1"/>
  <c r="AI91" i="101" s="1"/>
  <c r="AF111" i="101"/>
  <c r="AF112" i="101" s="1"/>
  <c r="AF113" i="101" s="1"/>
  <c r="AN89" i="102"/>
  <c r="AN90" i="102" s="1"/>
  <c r="AN91" i="102" s="1"/>
  <c r="AQ89" i="98"/>
  <c r="AQ90" i="98" s="1"/>
  <c r="AQ91" i="98" s="1"/>
  <c r="AH89" i="99"/>
  <c r="AH90" i="99" s="1"/>
  <c r="AH91" i="99" s="1"/>
  <c r="AL89" i="101"/>
  <c r="AL90" i="101" s="1"/>
  <c r="AL91" i="101" s="1"/>
  <c r="AJ89" i="102"/>
  <c r="AJ90" i="102" s="1"/>
  <c r="AJ91" i="102" s="1"/>
  <c r="AH89" i="102"/>
  <c r="AH90" i="102" s="1"/>
  <c r="AH91" i="102" s="1"/>
  <c r="AF89" i="102"/>
  <c r="AF90" i="102" s="1"/>
  <c r="AF91" i="102" s="1"/>
  <c r="O111" i="102"/>
  <c r="O112" i="102" s="1"/>
  <c r="O113" i="102" s="1"/>
  <c r="G87" i="102"/>
  <c r="I22" i="84"/>
  <c r="AI89" i="99"/>
  <c r="AI90" i="99" s="1"/>
  <c r="AI91" i="99" s="1"/>
  <c r="AD89" i="96"/>
  <c r="AD90" i="96" s="1"/>
  <c r="AD91" i="96" s="1"/>
  <c r="AM111" i="97"/>
  <c r="AM112" i="97" s="1"/>
  <c r="AM113" i="97" s="1"/>
  <c r="AI89" i="98"/>
  <c r="AI90" i="98" s="1"/>
  <c r="AI91" i="98" s="1"/>
  <c r="AO89" i="98"/>
  <c r="AO90" i="98" s="1"/>
  <c r="AO91" i="98" s="1"/>
  <c r="G87" i="98"/>
  <c r="AP111" i="99"/>
  <c r="AP112" i="99" s="1"/>
  <c r="AP113" i="99" s="1"/>
  <c r="AL89" i="99"/>
  <c r="AL90" i="99" s="1"/>
  <c r="AL91" i="99" s="1"/>
  <c r="AP111" i="102"/>
  <c r="AP112" i="102" s="1"/>
  <c r="AP113" i="102" s="1"/>
  <c r="AM108" i="102"/>
  <c r="AM109" i="102" s="1"/>
  <c r="AM111" i="102" s="1"/>
  <c r="AM112" i="102" s="1"/>
  <c r="AM113" i="102" s="1"/>
  <c r="AI89" i="102"/>
  <c r="AI90" i="102" s="1"/>
  <c r="AI91" i="102" s="1"/>
  <c r="AI89" i="96"/>
  <c r="AI90" i="96" s="1"/>
  <c r="AI91" i="96" s="1"/>
  <c r="AR89" i="101"/>
  <c r="AR90" i="101" s="1"/>
  <c r="AR91" i="101" s="1"/>
  <c r="AP89" i="101"/>
  <c r="AP90" i="101" s="1"/>
  <c r="AP91" i="101" s="1"/>
  <c r="AH111" i="102"/>
  <c r="AH112" i="102" s="1"/>
  <c r="AH113" i="102" s="1"/>
  <c r="O89" i="96"/>
  <c r="O90" i="96" s="1"/>
  <c r="O91" i="96" s="1"/>
  <c r="AD89" i="97"/>
  <c r="AD90" i="97" s="1"/>
  <c r="AD91" i="97" s="1"/>
  <c r="AK111" i="98"/>
  <c r="AK112" i="98" s="1"/>
  <c r="AK113" i="98" s="1"/>
  <c r="AQ89" i="99"/>
  <c r="AQ90" i="99" s="1"/>
  <c r="AQ91" i="99" s="1"/>
  <c r="AE89" i="99"/>
  <c r="AE90" i="99" s="1"/>
  <c r="AE91" i="99" s="1"/>
  <c r="AN89" i="101"/>
  <c r="AN90" i="101" s="1"/>
  <c r="AN91" i="101" s="1"/>
  <c r="AO89" i="102"/>
  <c r="AO90" i="102" s="1"/>
  <c r="AO91" i="102" s="1"/>
  <c r="AD89" i="102"/>
  <c r="AD90" i="102" s="1"/>
  <c r="AD91" i="102" s="1"/>
  <c r="N90" i="102"/>
  <c r="N91" i="102" s="1"/>
  <c r="M94" i="102" s="1" a="1"/>
  <c r="M94" i="102" s="1"/>
  <c r="N15" i="102" s="1"/>
  <c r="AE108" i="102"/>
  <c r="AE109" i="102" s="1"/>
  <c r="AE111" i="102" s="1"/>
  <c r="AE112" i="102" s="1"/>
  <c r="AE113" i="102" s="1"/>
  <c r="O89" i="102"/>
  <c r="O90" i="102" s="1"/>
  <c r="O91" i="102" s="1"/>
  <c r="AF108" i="102"/>
  <c r="AF109" i="102" s="1"/>
  <c r="AF111" i="102" s="1"/>
  <c r="AF112" i="102" s="1"/>
  <c r="AF113" i="102" s="1"/>
  <c r="AN111" i="102"/>
  <c r="AN112" i="102" s="1"/>
  <c r="AN113" i="102" s="1"/>
  <c r="AI108" i="102"/>
  <c r="AI109" i="102" s="1"/>
  <c r="AI111" i="102" s="1"/>
  <c r="AI112" i="102" s="1"/>
  <c r="AI113" i="102" s="1"/>
  <c r="AR111" i="102"/>
  <c r="AR112" i="102" s="1"/>
  <c r="AR113" i="102" s="1"/>
  <c r="AQ111" i="102"/>
  <c r="AQ112" i="102" s="1"/>
  <c r="AQ113" i="102" s="1"/>
  <c r="AL108" i="102"/>
  <c r="AL109" i="102" s="1"/>
  <c r="AL111" i="102" s="1"/>
  <c r="AL112" i="102" s="1"/>
  <c r="AL113" i="102" s="1"/>
  <c r="AJ111" i="102"/>
  <c r="AJ112" i="102" s="1"/>
  <c r="AJ113" i="102" s="1"/>
  <c r="AD108" i="102"/>
  <c r="AD109" i="102" s="1"/>
  <c r="AD111" i="102" s="1"/>
  <c r="AD112" i="102" s="1"/>
  <c r="AD113" i="102" s="1"/>
  <c r="AR108" i="101"/>
  <c r="AR109" i="101" s="1"/>
  <c r="AR111" i="101" s="1"/>
  <c r="AR112" i="101" s="1"/>
  <c r="AR113" i="101" s="1"/>
  <c r="AQ108" i="101"/>
  <c r="AQ109" i="101" s="1"/>
  <c r="AQ111" i="101" s="1"/>
  <c r="AQ112" i="101" s="1"/>
  <c r="AQ113" i="101" s="1"/>
  <c r="N90" i="101"/>
  <c r="N91" i="101" s="1"/>
  <c r="M94" i="101" s="1" a="1"/>
  <c r="M94" i="101" s="1"/>
  <c r="N15" i="101" s="1"/>
  <c r="AJ108" i="101"/>
  <c r="AJ109" i="101" s="1"/>
  <c r="AJ111" i="101" s="1"/>
  <c r="AJ112" i="101" s="1"/>
  <c r="AJ113" i="101" s="1"/>
  <c r="O111" i="101"/>
  <c r="AO108" i="101"/>
  <c r="AO109" i="101" s="1"/>
  <c r="AO111" i="101" s="1"/>
  <c r="AO112" i="101" s="1"/>
  <c r="AO113" i="101" s="1"/>
  <c r="AG108" i="101"/>
  <c r="AG109" i="101" s="1"/>
  <c r="AG111" i="101" s="1"/>
  <c r="AG112" i="101" s="1"/>
  <c r="AG113" i="101" s="1"/>
  <c r="AL111" i="101"/>
  <c r="AL112" i="101" s="1"/>
  <c r="AL113" i="101" s="1"/>
  <c r="AD111" i="101"/>
  <c r="AD112" i="101" s="1"/>
  <c r="AD113" i="101" s="1"/>
  <c r="AM89" i="99"/>
  <c r="AM90" i="99" s="1"/>
  <c r="AM91" i="99" s="1"/>
  <c r="N90" i="99"/>
  <c r="N91" i="99" s="1"/>
  <c r="M94" i="99" s="1" a="1"/>
  <c r="M94" i="99" s="1"/>
  <c r="N15" i="99" s="1"/>
  <c r="O111" i="99"/>
  <c r="AO108" i="99"/>
  <c r="AO109" i="99" s="1"/>
  <c r="AO111" i="99" s="1"/>
  <c r="AO112" i="99" s="1"/>
  <c r="AO113" i="99" s="1"/>
  <c r="AL111" i="99"/>
  <c r="AL112" i="99" s="1"/>
  <c r="AL113" i="99" s="1"/>
  <c r="AG108" i="99"/>
  <c r="AG109" i="99" s="1"/>
  <c r="AG111" i="99" s="1"/>
  <c r="AG112" i="99" s="1"/>
  <c r="AG113" i="99" s="1"/>
  <c r="AD111" i="99"/>
  <c r="AD112" i="99" s="1"/>
  <c r="AD113" i="99" s="1"/>
  <c r="AG108" i="98"/>
  <c r="AG109" i="98" s="1"/>
  <c r="AG111" i="98" s="1"/>
  <c r="AG112" i="98" s="1"/>
  <c r="AG113" i="98" s="1"/>
  <c r="AO111" i="98"/>
  <c r="AO112" i="98" s="1"/>
  <c r="AO113" i="98" s="1"/>
  <c r="AD111" i="98"/>
  <c r="AD112" i="98" s="1"/>
  <c r="AD113" i="98" s="1"/>
  <c r="AQ111" i="98"/>
  <c r="AQ112" i="98" s="1"/>
  <c r="AQ113" i="98" s="1"/>
  <c r="AL108" i="98"/>
  <c r="AL109" i="98" s="1"/>
  <c r="AL111" i="98" s="1"/>
  <c r="AL112" i="98" s="1"/>
  <c r="AL113" i="98" s="1"/>
  <c r="O89" i="98"/>
  <c r="AJ111" i="98"/>
  <c r="AJ112" i="98" s="1"/>
  <c r="AJ113" i="98" s="1"/>
  <c r="G77" i="97"/>
  <c r="J18" i="84" s="1"/>
  <c r="AC18" i="84" s="1"/>
  <c r="AJ89" i="97"/>
  <c r="AJ90" i="97" s="1"/>
  <c r="AJ91" i="97" s="1"/>
  <c r="AP111" i="97"/>
  <c r="AP112" i="97" s="1"/>
  <c r="AP113" i="97" s="1"/>
  <c r="O89" i="97"/>
  <c r="O90" i="97" s="1"/>
  <c r="O91" i="97" s="1"/>
  <c r="AL89" i="96"/>
  <c r="AL90" i="96" s="1"/>
  <c r="AL91" i="96" s="1"/>
  <c r="AJ111" i="97"/>
  <c r="AJ112" i="97" s="1"/>
  <c r="AJ113" i="97" s="1"/>
  <c r="AK111" i="97"/>
  <c r="AK112" i="97" s="1"/>
  <c r="AK113" i="97" s="1"/>
  <c r="AG89" i="96"/>
  <c r="AG90" i="96" s="1"/>
  <c r="AG91" i="96" s="1"/>
  <c r="AM89" i="96"/>
  <c r="AM90" i="96" s="1"/>
  <c r="AM91" i="96" s="1"/>
  <c r="AO89" i="97"/>
  <c r="AO90" i="97" s="1"/>
  <c r="AO91" i="97" s="1"/>
  <c r="AR89" i="96"/>
  <c r="AR90" i="96" s="1"/>
  <c r="AR91" i="96" s="1"/>
  <c r="AG89" i="97"/>
  <c r="AG90" i="97" s="1"/>
  <c r="AG91" i="97" s="1"/>
  <c r="AO108" i="97"/>
  <c r="AO109" i="97" s="1"/>
  <c r="AO111" i="97" s="1"/>
  <c r="AO112" i="97" s="1"/>
  <c r="AO113" i="97" s="1"/>
  <c r="AO89" i="96"/>
  <c r="AO90" i="96" s="1"/>
  <c r="AO91" i="96" s="1"/>
  <c r="AE89" i="96"/>
  <c r="AE90" i="96" s="1"/>
  <c r="AE91" i="96" s="1"/>
  <c r="AP89" i="97"/>
  <c r="AP90" i="97" s="1"/>
  <c r="AP91" i="97" s="1"/>
  <c r="AP111" i="96"/>
  <c r="AP112" i="96" s="1"/>
  <c r="AP113" i="96" s="1"/>
  <c r="AH89" i="97"/>
  <c r="AH90" i="97" s="1"/>
  <c r="AH91" i="97" s="1"/>
  <c r="D83" i="92"/>
  <c r="F83" i="92" s="1"/>
  <c r="F73" i="92"/>
  <c r="AQ89" i="97"/>
  <c r="AQ90" i="97" s="1"/>
  <c r="AQ91" i="97" s="1"/>
  <c r="AG111" i="97"/>
  <c r="AG112" i="97" s="1"/>
  <c r="AG113" i="97" s="1"/>
  <c r="AN89" i="97"/>
  <c r="AN90" i="97" s="1"/>
  <c r="AN91" i="97" s="1"/>
  <c r="D82" i="92"/>
  <c r="F82" i="92" s="1"/>
  <c r="F72" i="92"/>
  <c r="AQ111" i="97"/>
  <c r="AQ112" i="97" s="1"/>
  <c r="AQ113" i="97" s="1"/>
  <c r="AI89" i="97"/>
  <c r="AI90" i="97" s="1"/>
  <c r="AI91" i="97" s="1"/>
  <c r="AF89" i="97"/>
  <c r="AF90" i="97" s="1"/>
  <c r="AF91" i="97" s="1"/>
  <c r="G87" i="97"/>
  <c r="I5" i="79"/>
  <c r="AR108" i="97"/>
  <c r="AR109" i="97" s="1"/>
  <c r="AR111" i="97" s="1"/>
  <c r="AR112" i="97" s="1"/>
  <c r="AR113" i="97" s="1"/>
  <c r="AD108" i="97"/>
  <c r="AD109" i="97" s="1"/>
  <c r="AD111" i="97" s="1"/>
  <c r="AD112" i="97" s="1"/>
  <c r="AD113" i="97" s="1"/>
  <c r="AH108" i="97"/>
  <c r="AH109" i="97" s="1"/>
  <c r="AH111" i="97" s="1"/>
  <c r="AH112" i="97" s="1"/>
  <c r="AH113" i="97" s="1"/>
  <c r="AL111" i="97"/>
  <c r="AL112" i="97" s="1"/>
  <c r="AL113" i="97" s="1"/>
  <c r="AI111" i="97"/>
  <c r="AI112" i="97" s="1"/>
  <c r="AI113" i="97" s="1"/>
  <c r="AN111" i="97"/>
  <c r="AN112" i="97" s="1"/>
  <c r="AN113" i="97" s="1"/>
  <c r="AF108" i="97"/>
  <c r="AF109" i="97" s="1"/>
  <c r="AF111" i="97" s="1"/>
  <c r="AF112" i="97" s="1"/>
  <c r="AF113" i="97" s="1"/>
  <c r="AJ111" i="96"/>
  <c r="AJ112" i="96" s="1"/>
  <c r="AJ113" i="96" s="1"/>
  <c r="AC110" i="92"/>
  <c r="AP89" i="96"/>
  <c r="AP90" i="96" s="1"/>
  <c r="AP91" i="96" s="1"/>
  <c r="AR108" i="96"/>
  <c r="AR109" i="96" s="1"/>
  <c r="AR111" i="96" s="1"/>
  <c r="AR112" i="96" s="1"/>
  <c r="AR113" i="96" s="1"/>
  <c r="AH89" i="96"/>
  <c r="AH90" i="96" s="1"/>
  <c r="AH91" i="96" s="1"/>
  <c r="AQ111" i="96"/>
  <c r="AQ112" i="96" s="1"/>
  <c r="AQ113" i="96" s="1"/>
  <c r="AB88" i="92"/>
  <c r="G77" i="96"/>
  <c r="K17" i="84"/>
  <c r="AE17" i="84" s="1"/>
  <c r="U110" i="92"/>
  <c r="AR88" i="92"/>
  <c r="AK110" i="92"/>
  <c r="N111" i="92"/>
  <c r="N112" i="92" s="1"/>
  <c r="N113" i="92" s="1"/>
  <c r="M116" i="92" s="1" a="1"/>
  <c r="M116" i="92" s="1"/>
  <c r="N18" i="92" s="1"/>
  <c r="AK87" i="92"/>
  <c r="AQ89" i="96"/>
  <c r="AQ90" i="96" s="1"/>
  <c r="AQ91" i="96" s="1"/>
  <c r="AL111" i="96"/>
  <c r="AL112" i="96" s="1"/>
  <c r="AL113" i="96" s="1"/>
  <c r="AK111" i="96"/>
  <c r="AK112" i="96" s="1"/>
  <c r="AK113" i="96" s="1"/>
  <c r="AJ88" i="92"/>
  <c r="AJ89" i="96"/>
  <c r="AJ90" i="96" s="1"/>
  <c r="AJ91" i="96" s="1"/>
  <c r="AK105" i="92"/>
  <c r="AK108" i="92" s="1"/>
  <c r="AK109" i="92" s="1"/>
  <c r="N47" i="92"/>
  <c r="M64" i="92" s="1"/>
  <c r="O105" i="92" s="1"/>
  <c r="T88" i="92"/>
  <c r="G87" i="96"/>
  <c r="I17" i="84"/>
  <c r="Y17" i="84" s="1"/>
  <c r="N90" i="96"/>
  <c r="N91" i="96" s="1"/>
  <c r="M94" i="96" s="1" a="1"/>
  <c r="M94" i="96" s="1"/>
  <c r="N15" i="96" s="1"/>
  <c r="AD111" i="96"/>
  <c r="AD112" i="96" s="1"/>
  <c r="AD113" i="96" s="1"/>
  <c r="AM108" i="96"/>
  <c r="AM109" i="96" s="1"/>
  <c r="AM111" i="96" s="1"/>
  <c r="AM112" i="96" s="1"/>
  <c r="AM113" i="96" s="1"/>
  <c r="AE108" i="96"/>
  <c r="AE109" i="96" s="1"/>
  <c r="AE111" i="96" s="1"/>
  <c r="AE112" i="96" s="1"/>
  <c r="AE113" i="96" s="1"/>
  <c r="AI111" i="96"/>
  <c r="AI112" i="96" s="1"/>
  <c r="AI113" i="96" s="1"/>
  <c r="AH108" i="96"/>
  <c r="AH109" i="96" s="1"/>
  <c r="AH111" i="96" s="1"/>
  <c r="AH112" i="96" s="1"/>
  <c r="AH113" i="96" s="1"/>
  <c r="AO108" i="96"/>
  <c r="AO109" i="96" s="1"/>
  <c r="AO111" i="96" s="1"/>
  <c r="AO112" i="96" s="1"/>
  <c r="AO113" i="96" s="1"/>
  <c r="AN89" i="96"/>
  <c r="AN90" i="96" s="1"/>
  <c r="AN91" i="96" s="1"/>
  <c r="AF111" i="96"/>
  <c r="AF112" i="96" s="1"/>
  <c r="AF113" i="96" s="1"/>
  <c r="AK89" i="96"/>
  <c r="AK90" i="96" s="1"/>
  <c r="AK91" i="96" s="1"/>
  <c r="AG111" i="96"/>
  <c r="AG112" i="96" s="1"/>
  <c r="AG113" i="96" s="1"/>
  <c r="AF16" i="84"/>
  <c r="Q16" i="84"/>
  <c r="R16" i="84"/>
  <c r="R26" i="84" s="1"/>
  <c r="Z16" i="84"/>
  <c r="S16" i="84"/>
  <c r="AA16" i="84"/>
  <c r="T16" i="84"/>
  <c r="U16" i="84"/>
  <c r="AC16" i="84"/>
  <c r="V16" i="84"/>
  <c r="AD16" i="84"/>
  <c r="O16" i="84"/>
  <c r="W16" i="84"/>
  <c r="AE16" i="84"/>
  <c r="X16" i="84"/>
  <c r="AF15" i="84"/>
  <c r="AF26" i="84" s="1"/>
  <c r="Z15" i="84"/>
  <c r="Y15" i="84"/>
  <c r="Q15" i="84"/>
  <c r="Q26" i="84" s="1"/>
  <c r="P15" i="84"/>
  <c r="AD87" i="92"/>
  <c r="AL87" i="92"/>
  <c r="U88" i="92"/>
  <c r="AC88" i="92"/>
  <c r="AK88" i="92"/>
  <c r="AD105" i="92"/>
  <c r="AD108" i="92" s="1"/>
  <c r="AD109" i="92" s="1"/>
  <c r="AL105" i="92"/>
  <c r="AL108" i="92" s="1"/>
  <c r="AL109" i="92" s="1"/>
  <c r="N110" i="92"/>
  <c r="V110" i="92"/>
  <c r="AD110" i="92"/>
  <c r="AL110" i="92"/>
  <c r="AE87" i="92"/>
  <c r="AM87" i="92"/>
  <c r="N88" i="92"/>
  <c r="N89" i="92" s="1"/>
  <c r="V88" i="92"/>
  <c r="AD88" i="92"/>
  <c r="AL88" i="92"/>
  <c r="AE105" i="92"/>
  <c r="AE108" i="92" s="1"/>
  <c r="AE109" i="92" s="1"/>
  <c r="AM105" i="92"/>
  <c r="AM108" i="92" s="1"/>
  <c r="AM109" i="92" s="1"/>
  <c r="O110" i="92"/>
  <c r="W110" i="92"/>
  <c r="AE110" i="92"/>
  <c r="AM110" i="92"/>
  <c r="AF87" i="92"/>
  <c r="AN87" i="92"/>
  <c r="O88" i="92"/>
  <c r="W88" i="92"/>
  <c r="AE88" i="92"/>
  <c r="AM88" i="92"/>
  <c r="AF105" i="92"/>
  <c r="AF108" i="92" s="1"/>
  <c r="AF109" i="92" s="1"/>
  <c r="AN105" i="92"/>
  <c r="AN108" i="92" s="1"/>
  <c r="AN109" i="92" s="1"/>
  <c r="P110" i="92"/>
  <c r="X110" i="92"/>
  <c r="AF110" i="92"/>
  <c r="AN110" i="92"/>
  <c r="AG87" i="92"/>
  <c r="AO87" i="92"/>
  <c r="P88" i="92"/>
  <c r="X88" i="92"/>
  <c r="AF88" i="92"/>
  <c r="AN88" i="92"/>
  <c r="AG105" i="92"/>
  <c r="AG108" i="92" s="1"/>
  <c r="AG109" i="92" s="1"/>
  <c r="AO105" i="92"/>
  <c r="AO108" i="92" s="1"/>
  <c r="AO109" i="92" s="1"/>
  <c r="Q110" i="92"/>
  <c r="Y110" i="92"/>
  <c r="AG110" i="92"/>
  <c r="AO110" i="92"/>
  <c r="AH87" i="92"/>
  <c r="AP87" i="92"/>
  <c r="Q88" i="92"/>
  <c r="Y88" i="92"/>
  <c r="AG88" i="92"/>
  <c r="AO88" i="92"/>
  <c r="AH105" i="92"/>
  <c r="AH108" i="92" s="1"/>
  <c r="AH109" i="92" s="1"/>
  <c r="AP105" i="92"/>
  <c r="AP108" i="92" s="1"/>
  <c r="AP109" i="92" s="1"/>
  <c r="R110" i="92"/>
  <c r="Z110" i="92"/>
  <c r="AH110" i="92"/>
  <c r="AP110" i="92"/>
  <c r="AI87" i="92"/>
  <c r="AQ87" i="92"/>
  <c r="R88" i="92"/>
  <c r="Z88" i="92"/>
  <c r="AH88" i="92"/>
  <c r="AP88" i="92"/>
  <c r="AI105" i="92"/>
  <c r="AI108" i="92" s="1"/>
  <c r="AI109" i="92" s="1"/>
  <c r="AQ105" i="92"/>
  <c r="S110" i="92"/>
  <c r="AA110" i="92"/>
  <c r="AI110" i="92"/>
  <c r="AQ110" i="92"/>
  <c r="AJ87" i="92"/>
  <c r="AR87" i="92"/>
  <c r="S88" i="92"/>
  <c r="AA88" i="92"/>
  <c r="AI88" i="92"/>
  <c r="AQ88" i="92"/>
  <c r="AJ105" i="92"/>
  <c r="AJ108" i="92" s="1"/>
  <c r="AJ109" i="92" s="1"/>
  <c r="AR105" i="92"/>
  <c r="AR108" i="92" s="1"/>
  <c r="AR109" i="92" s="1"/>
  <c r="AR111" i="92" s="1"/>
  <c r="AR112" i="92" s="1"/>
  <c r="AR113" i="92" s="1"/>
  <c r="T110" i="92"/>
  <c r="AB110" i="92"/>
  <c r="AJ110" i="92"/>
  <c r="W15" i="84"/>
  <c r="V15" i="84"/>
  <c r="AE15" i="84"/>
  <c r="U15" i="84"/>
  <c r="AC15" i="84"/>
  <c r="T15" i="84"/>
  <c r="AB15" i="84"/>
  <c r="S15" i="84"/>
  <c r="H20" i="83"/>
  <c r="G20" i="83"/>
  <c r="AQ13" i="83"/>
  <c r="AQ12" i="83"/>
  <c r="AQ10" i="83"/>
  <c r="AQ9" i="83"/>
  <c r="AQ7" i="83"/>
  <c r="AQ6" i="83"/>
  <c r="AQ3" i="83"/>
  <c r="AS8" i="83"/>
  <c r="AS9" i="83"/>
  <c r="AS10" i="83"/>
  <c r="AS11" i="83"/>
  <c r="AS12" i="83"/>
  <c r="AS13" i="83"/>
  <c r="I17" i="83"/>
  <c r="I25" i="83" s="1"/>
  <c r="G38" i="83" s="1"/>
  <c r="F25" i="83"/>
  <c r="E25" i="83"/>
  <c r="A7" i="83"/>
  <c r="A9" i="83" s="1"/>
  <c r="A10" i="83" s="1"/>
  <c r="A12" i="83" s="1"/>
  <c r="A13" i="83" s="1"/>
  <c r="A15" i="83" s="1"/>
  <c r="A16" i="83" s="1"/>
  <c r="S26" i="84" l="1"/>
  <c r="AB10" i="105"/>
  <c r="AB9" i="105"/>
  <c r="AB12" i="105"/>
  <c r="AB7" i="105"/>
  <c r="AB15" i="105"/>
  <c r="AB6" i="105"/>
  <c r="AB13" i="105"/>
  <c r="AB16" i="105"/>
  <c r="AA16" i="105"/>
  <c r="AA6" i="105"/>
  <c r="AD6" i="105" s="1"/>
  <c r="AA7" i="105"/>
  <c r="AD7" i="105" s="1"/>
  <c r="AA15" i="105"/>
  <c r="AA12" i="105"/>
  <c r="AA9" i="105"/>
  <c r="AA13" i="105"/>
  <c r="AA10" i="105"/>
  <c r="F37" i="105"/>
  <c r="H35" i="105"/>
  <c r="B45" i="105" s="1"/>
  <c r="Z17" i="105"/>
  <c r="Z18" i="105"/>
  <c r="AC18" i="105" s="1"/>
  <c r="O89" i="101"/>
  <c r="O90" i="101" s="1"/>
  <c r="O91" i="101" s="1"/>
  <c r="V26" i="84"/>
  <c r="AF89" i="92"/>
  <c r="AF90" i="92" s="1"/>
  <c r="AF91" i="92" s="1"/>
  <c r="AC26" i="84"/>
  <c r="Z26" i="84"/>
  <c r="U26" i="84"/>
  <c r="T26" i="84"/>
  <c r="AE26" i="84"/>
  <c r="W26" i="84"/>
  <c r="AA22" i="84"/>
  <c r="AB22" i="84"/>
  <c r="X22" i="84"/>
  <c r="Y22" i="84"/>
  <c r="AR89" i="92"/>
  <c r="AR90" i="92" s="1"/>
  <c r="AR91" i="92" s="1"/>
  <c r="AL89" i="92"/>
  <c r="AL90" i="92" s="1"/>
  <c r="AL91" i="92" s="1"/>
  <c r="AD89" i="92"/>
  <c r="AD90" i="92" s="1"/>
  <c r="AD91" i="92" s="1"/>
  <c r="O112" i="101"/>
  <c r="O113" i="101" s="1"/>
  <c r="O112" i="99"/>
  <c r="O113" i="99" s="1"/>
  <c r="O90" i="98"/>
  <c r="O91" i="98" s="1"/>
  <c r="AK111" i="92"/>
  <c r="AK112" i="92" s="1"/>
  <c r="AK113" i="92" s="1"/>
  <c r="AJ89" i="92"/>
  <c r="AJ90" i="92" s="1"/>
  <c r="AJ91" i="92" s="1"/>
  <c r="AG111" i="92"/>
  <c r="AG112" i="92" s="1"/>
  <c r="AG113" i="92" s="1"/>
  <c r="J17" i="84"/>
  <c r="AB17" i="84" s="1"/>
  <c r="AO89" i="92"/>
  <c r="AO90" i="92" s="1"/>
  <c r="AO91" i="92" s="1"/>
  <c r="AG89" i="92"/>
  <c r="AG90" i="92" s="1"/>
  <c r="AG91" i="92" s="1"/>
  <c r="AO111" i="92"/>
  <c r="AO112" i="92" s="1"/>
  <c r="AO113" i="92" s="1"/>
  <c r="O108" i="92"/>
  <c r="O109" i="92" s="1"/>
  <c r="O111" i="92" s="1"/>
  <c r="AH89" i="92"/>
  <c r="AH90" i="92" s="1"/>
  <c r="AH91" i="92" s="1"/>
  <c r="AI89" i="92"/>
  <c r="AI90" i="92" s="1"/>
  <c r="AI91" i="92" s="1"/>
  <c r="AP89" i="92"/>
  <c r="AP90" i="92" s="1"/>
  <c r="AP91" i="92" s="1"/>
  <c r="AM89" i="92"/>
  <c r="AM90" i="92" s="1"/>
  <c r="AM91" i="92" s="1"/>
  <c r="AE89" i="92"/>
  <c r="AE90" i="92" s="1"/>
  <c r="AE91" i="92" s="1"/>
  <c r="AN89" i="92"/>
  <c r="AN90" i="92" s="1"/>
  <c r="AN91" i="92" s="1"/>
  <c r="AM111" i="92"/>
  <c r="AM112" i="92" s="1"/>
  <c r="AM113" i="92" s="1"/>
  <c r="AK89" i="92"/>
  <c r="AK90" i="92" s="1"/>
  <c r="AK91" i="92" s="1"/>
  <c r="AP111" i="92"/>
  <c r="AP112" i="92" s="1"/>
  <c r="AP113" i="92" s="1"/>
  <c r="O87" i="92"/>
  <c r="AQ89" i="92"/>
  <c r="AQ90" i="92" s="1"/>
  <c r="AQ91" i="92" s="1"/>
  <c r="O112" i="96"/>
  <c r="O113" i="96" s="1"/>
  <c r="AQ18" i="83"/>
  <c r="AQ108" i="92"/>
  <c r="AQ109" i="92" s="1"/>
  <c r="AQ111" i="92" s="1"/>
  <c r="AQ112" i="92" s="1"/>
  <c r="AQ113" i="92" s="1"/>
  <c r="AJ111" i="92"/>
  <c r="AJ112" i="92" s="1"/>
  <c r="AJ113" i="92" s="1"/>
  <c r="AH111" i="92"/>
  <c r="AH112" i="92" s="1"/>
  <c r="AH113" i="92" s="1"/>
  <c r="AN111" i="92"/>
  <c r="AN112" i="92" s="1"/>
  <c r="AN113" i="92" s="1"/>
  <c r="AE111" i="92"/>
  <c r="AE112" i="92" s="1"/>
  <c r="AE113" i="92" s="1"/>
  <c r="AI111" i="92"/>
  <c r="AI112" i="92" s="1"/>
  <c r="AI113" i="92" s="1"/>
  <c r="AD111" i="92"/>
  <c r="AD112" i="92" s="1"/>
  <c r="AD113" i="92" s="1"/>
  <c r="AF111" i="92"/>
  <c r="AF112" i="92" s="1"/>
  <c r="AF113" i="92" s="1"/>
  <c r="N90" i="92"/>
  <c r="N91" i="92" s="1"/>
  <c r="M94" i="92" s="1" a="1"/>
  <c r="M94" i="92" s="1"/>
  <c r="N15" i="92" s="1"/>
  <c r="AL111" i="92"/>
  <c r="AL112" i="92" s="1"/>
  <c r="AL113" i="92" s="1"/>
  <c r="AQ17" i="83"/>
  <c r="G36" i="83"/>
  <c r="F5" i="84" s="1"/>
  <c r="AA17" i="105" l="1"/>
  <c r="AF7" i="105"/>
  <c r="H37" i="105"/>
  <c r="B44" i="105"/>
  <c r="AD18" i="105"/>
  <c r="AF6" i="105"/>
  <c r="AD14" i="105"/>
  <c r="AE7" i="105" s="1"/>
  <c r="AB17" i="105"/>
  <c r="AC17" i="105"/>
  <c r="O89" i="92"/>
  <c r="O90" i="92" s="1"/>
  <c r="O91" i="92" s="1"/>
  <c r="O112" i="92"/>
  <c r="O113" i="92" s="1"/>
  <c r="G17" i="83"/>
  <c r="AE6" i="105" l="1"/>
  <c r="AE14" i="105" s="1"/>
  <c r="F33" i="83"/>
  <c r="A33" i="83"/>
  <c r="F28" i="83"/>
  <c r="E28" i="83"/>
  <c r="D28" i="83"/>
  <c r="C28" i="83"/>
  <c r="E17" i="83" l="1"/>
  <c r="G61" i="81"/>
  <c r="F25" i="81" l="1"/>
  <c r="D5" i="79"/>
  <c r="E38" i="83"/>
  <c r="K13" i="83"/>
  <c r="K12" i="83"/>
  <c r="K10" i="83"/>
  <c r="K9" i="83"/>
  <c r="K7" i="83"/>
  <c r="K6" i="83"/>
  <c r="E48" i="17" l="1"/>
  <c r="C48" i="17"/>
  <c r="B20" i="17"/>
  <c r="B48" i="17"/>
  <c r="D48" i="17"/>
  <c r="P105" i="103" l="1"/>
  <c r="P87" i="104"/>
  <c r="P87" i="103"/>
  <c r="P105" i="104"/>
  <c r="P87" i="102"/>
  <c r="P105" i="97"/>
  <c r="P105" i="102"/>
  <c r="P87" i="98"/>
  <c r="P105" i="98"/>
  <c r="P87" i="96"/>
  <c r="P87" i="99"/>
  <c r="P87" i="97"/>
  <c r="P105" i="101"/>
  <c r="P105" i="99"/>
  <c r="P105" i="92"/>
  <c r="P87" i="101"/>
  <c r="P105" i="96"/>
  <c r="P87" i="92"/>
  <c r="B51" i="81"/>
  <c r="B73" i="81" s="1"/>
  <c r="B83" i="81" s="1"/>
  <c r="B50" i="81"/>
  <c r="B72" i="81" s="1"/>
  <c r="B82" i="81" s="1"/>
  <c r="N39" i="81"/>
  <c r="N38" i="81"/>
  <c r="N37" i="81"/>
  <c r="K39" i="81"/>
  <c r="K38" i="81"/>
  <c r="K37" i="81"/>
  <c r="K16" i="81"/>
  <c r="AR105" i="81" s="1"/>
  <c r="K18" i="81"/>
  <c r="K40" i="81"/>
  <c r="K41" i="81"/>
  <c r="K42" i="81"/>
  <c r="N48" i="81"/>
  <c r="M65" i="81" s="1"/>
  <c r="N81" i="81"/>
  <c r="N82" i="81"/>
  <c r="N83" i="81"/>
  <c r="O85" i="81"/>
  <c r="P85" i="81"/>
  <c r="Q85" i="81"/>
  <c r="R85" i="81"/>
  <c r="S85" i="81"/>
  <c r="T85" i="81"/>
  <c r="U85" i="81"/>
  <c r="V85" i="81"/>
  <c r="W85" i="81"/>
  <c r="X85" i="81"/>
  <c r="Y85" i="81"/>
  <c r="Z85" i="81"/>
  <c r="AA85" i="81"/>
  <c r="AB85" i="81"/>
  <c r="AC85" i="81"/>
  <c r="AD85" i="81"/>
  <c r="AE85" i="81"/>
  <c r="AF85" i="81"/>
  <c r="AG85" i="81"/>
  <c r="AH85" i="81"/>
  <c r="AI85" i="81"/>
  <c r="AJ85" i="81"/>
  <c r="AK85" i="81"/>
  <c r="AL85" i="81"/>
  <c r="AM85" i="81"/>
  <c r="AN85" i="81"/>
  <c r="AO85" i="81"/>
  <c r="AP85" i="81"/>
  <c r="AQ85" i="81"/>
  <c r="AR85" i="81"/>
  <c r="N101" i="81"/>
  <c r="N102" i="81"/>
  <c r="N103" i="81"/>
  <c r="O104" i="81"/>
  <c r="P104" i="81"/>
  <c r="Q104" i="81"/>
  <c r="R104" i="81"/>
  <c r="S104" i="81"/>
  <c r="T104" i="81"/>
  <c r="U104" i="81"/>
  <c r="V104" i="81"/>
  <c r="W104" i="81"/>
  <c r="X104" i="81"/>
  <c r="Y104" i="81"/>
  <c r="Z104" i="81"/>
  <c r="AA104" i="81"/>
  <c r="AB104" i="81"/>
  <c r="AC104" i="81"/>
  <c r="AD104" i="81"/>
  <c r="AE104" i="81"/>
  <c r="AF104" i="81"/>
  <c r="AG104" i="81"/>
  <c r="AH104" i="81"/>
  <c r="AI104" i="81"/>
  <c r="AJ104" i="81"/>
  <c r="AK104" i="81"/>
  <c r="AL104" i="81"/>
  <c r="AM104" i="81"/>
  <c r="AN104" i="81"/>
  <c r="AO104" i="81"/>
  <c r="AP104" i="81"/>
  <c r="AQ104" i="81"/>
  <c r="AR104" i="81"/>
  <c r="O106" i="81"/>
  <c r="P106" i="81"/>
  <c r="Q106" i="81"/>
  <c r="R106" i="81"/>
  <c r="S106" i="81"/>
  <c r="T106" i="81"/>
  <c r="U106" i="81"/>
  <c r="V106" i="81"/>
  <c r="W106" i="81"/>
  <c r="X106" i="81"/>
  <c r="Y106" i="81"/>
  <c r="Z106" i="81"/>
  <c r="AA106" i="81"/>
  <c r="AB106" i="81"/>
  <c r="AC106" i="81"/>
  <c r="AD106" i="81"/>
  <c r="AE106" i="81"/>
  <c r="AF106" i="81"/>
  <c r="AG106" i="81"/>
  <c r="AH106" i="81"/>
  <c r="AI106" i="81"/>
  <c r="AJ106" i="81"/>
  <c r="AK106" i="81"/>
  <c r="AL106" i="81"/>
  <c r="AM106" i="81"/>
  <c r="AN106" i="81"/>
  <c r="AO106" i="81"/>
  <c r="AP106" i="81"/>
  <c r="AQ106" i="81"/>
  <c r="AR106" i="81"/>
  <c r="O107" i="81"/>
  <c r="P107" i="81"/>
  <c r="Q107" i="81"/>
  <c r="R107" i="81"/>
  <c r="S107" i="81"/>
  <c r="T107" i="81"/>
  <c r="U107" i="81"/>
  <c r="V107" i="81"/>
  <c r="W107" i="81"/>
  <c r="X107" i="81"/>
  <c r="Y107" i="81"/>
  <c r="Z107" i="81"/>
  <c r="AA107" i="81"/>
  <c r="AB107" i="81"/>
  <c r="AC107" i="81"/>
  <c r="AD107" i="81"/>
  <c r="AE107" i="81"/>
  <c r="AF107" i="81"/>
  <c r="AG107" i="81"/>
  <c r="AH107" i="81"/>
  <c r="AI107" i="81"/>
  <c r="AJ107" i="81"/>
  <c r="AK107" i="81"/>
  <c r="AL107" i="81"/>
  <c r="AM107" i="81"/>
  <c r="AN107" i="81"/>
  <c r="AO107" i="81"/>
  <c r="AP107" i="81"/>
  <c r="AQ107" i="81"/>
  <c r="AR107" i="81"/>
  <c r="D81" i="81"/>
  <c r="C81" i="81"/>
  <c r="B81" i="81"/>
  <c r="E73" i="81"/>
  <c r="D73" i="81"/>
  <c r="E72" i="81"/>
  <c r="D72" i="81"/>
  <c r="C72" i="81"/>
  <c r="C82" i="81" s="1"/>
  <c r="G67" i="81"/>
  <c r="J5" i="79" s="1"/>
  <c r="C73" i="81"/>
  <c r="B1" i="81"/>
  <c r="Q87" i="99" l="1"/>
  <c r="P89" i="99"/>
  <c r="P90" i="99" s="1"/>
  <c r="P91" i="99" s="1"/>
  <c r="P108" i="98"/>
  <c r="P109" i="98" s="1"/>
  <c r="P111" i="98" s="1"/>
  <c r="P112" i="98" s="1"/>
  <c r="P113" i="98" s="1"/>
  <c r="Q105" i="98"/>
  <c r="Q87" i="97"/>
  <c r="P89" i="97"/>
  <c r="P90" i="97" s="1"/>
  <c r="P91" i="97" s="1"/>
  <c r="Q87" i="98"/>
  <c r="P89" i="98"/>
  <c r="P90" i="98" s="1"/>
  <c r="P91" i="98" s="1"/>
  <c r="P89" i="96"/>
  <c r="P90" i="96" s="1"/>
  <c r="P91" i="96" s="1"/>
  <c r="Q87" i="96"/>
  <c r="Q105" i="102"/>
  <c r="P108" i="102"/>
  <c r="P109" i="102" s="1"/>
  <c r="P111" i="102" s="1"/>
  <c r="P112" i="102" s="1"/>
  <c r="P113" i="102" s="1"/>
  <c r="Q87" i="92"/>
  <c r="P89" i="92"/>
  <c r="P90" i="92" s="1"/>
  <c r="P91" i="92" s="1"/>
  <c r="P108" i="97"/>
  <c r="P109" i="97" s="1"/>
  <c r="Q105" i="97"/>
  <c r="P111" i="97"/>
  <c r="P112" i="97" s="1"/>
  <c r="P113" i="97" s="1"/>
  <c r="Q105" i="96"/>
  <c r="P108" i="96"/>
  <c r="P109" i="96" s="1"/>
  <c r="P111" i="96" s="1"/>
  <c r="P112" i="96" s="1"/>
  <c r="P113" i="96" s="1"/>
  <c r="P89" i="102"/>
  <c r="P90" i="102" s="1"/>
  <c r="P91" i="102" s="1"/>
  <c r="Q87" i="102"/>
  <c r="Q87" i="101"/>
  <c r="P89" i="101"/>
  <c r="P90" i="101" s="1"/>
  <c r="P91" i="101" s="1"/>
  <c r="Q105" i="104"/>
  <c r="P108" i="104"/>
  <c r="P109" i="104" s="1"/>
  <c r="P111" i="104" s="1"/>
  <c r="P108" i="92"/>
  <c r="P109" i="92" s="1"/>
  <c r="P111" i="92"/>
  <c r="P112" i="92" s="1"/>
  <c r="P113" i="92" s="1"/>
  <c r="Q105" i="92"/>
  <c r="P89" i="103"/>
  <c r="Q87" i="103"/>
  <c r="Q105" i="99"/>
  <c r="P108" i="99"/>
  <c r="P109" i="99" s="1"/>
  <c r="P111" i="99" s="1"/>
  <c r="P112" i="99" s="1"/>
  <c r="P113" i="99" s="1"/>
  <c r="Q87" i="104"/>
  <c r="P89" i="104"/>
  <c r="P108" i="101"/>
  <c r="P109" i="101" s="1"/>
  <c r="P111" i="101" s="1"/>
  <c r="P112" i="101" s="1"/>
  <c r="P113" i="101" s="1"/>
  <c r="Q105" i="101"/>
  <c r="Q105" i="103"/>
  <c r="P108" i="103"/>
  <c r="P109" i="103" s="1"/>
  <c r="P111" i="103" s="1"/>
  <c r="D82" i="81"/>
  <c r="F82" i="81" s="1"/>
  <c r="F72" i="81"/>
  <c r="D83" i="81"/>
  <c r="F83" i="81" s="1"/>
  <c r="F73" i="81"/>
  <c r="X110" i="81"/>
  <c r="AM105" i="81"/>
  <c r="AM108" i="81" s="1"/>
  <c r="AM109" i="81" s="1"/>
  <c r="AE110" i="81"/>
  <c r="AO110" i="81"/>
  <c r="T110" i="81"/>
  <c r="R88" i="81"/>
  <c r="AI110" i="81"/>
  <c r="AN110" i="81"/>
  <c r="AC110" i="81"/>
  <c r="S110" i="81"/>
  <c r="AJ105" i="81"/>
  <c r="AJ108" i="81" s="1"/>
  <c r="AJ109" i="81" s="1"/>
  <c r="AO87" i="81"/>
  <c r="AJ110" i="81"/>
  <c r="Y110" i="81"/>
  <c r="O110" i="81"/>
  <c r="AE105" i="81"/>
  <c r="AE108" i="81" s="1"/>
  <c r="AE109" i="81" s="1"/>
  <c r="Z88" i="81"/>
  <c r="AP88" i="81"/>
  <c r="G82" i="81"/>
  <c r="I15" i="84" s="1"/>
  <c r="AH88" i="81"/>
  <c r="AG87" i="81"/>
  <c r="AR110" i="81"/>
  <c r="AM110" i="81"/>
  <c r="AG110" i="81"/>
  <c r="AB110" i="81"/>
  <c r="W110" i="81"/>
  <c r="Q110" i="81"/>
  <c r="AQ105" i="81"/>
  <c r="AQ108" i="81" s="1"/>
  <c r="AQ109" i="81" s="1"/>
  <c r="AI105" i="81"/>
  <c r="AI108" i="81" s="1"/>
  <c r="AI109" i="81" s="1"/>
  <c r="AL88" i="81"/>
  <c r="AD88" i="81"/>
  <c r="V88" i="81"/>
  <c r="N88" i="81"/>
  <c r="N89" i="81" s="1"/>
  <c r="N90" i="81" s="1"/>
  <c r="N91" i="81" s="1"/>
  <c r="AK87" i="81"/>
  <c r="AM88" i="81"/>
  <c r="AE88" i="81"/>
  <c r="W88" i="81"/>
  <c r="O88" i="81"/>
  <c r="AL87" i="81"/>
  <c r="AD87" i="81"/>
  <c r="AQ110" i="81"/>
  <c r="AK110" i="81"/>
  <c r="AF110" i="81"/>
  <c r="AA110" i="81"/>
  <c r="U110" i="81"/>
  <c r="P110" i="81"/>
  <c r="AN105" i="81"/>
  <c r="AN108" i="81" s="1"/>
  <c r="AN109" i="81" s="1"/>
  <c r="AF105" i="81"/>
  <c r="AF108" i="81" s="1"/>
  <c r="AF109" i="81" s="1"/>
  <c r="AQ88" i="81"/>
  <c r="AI88" i="81"/>
  <c r="AA88" i="81"/>
  <c r="S88" i="81"/>
  <c r="AP87" i="81"/>
  <c r="AH87" i="81"/>
  <c r="AR108" i="81"/>
  <c r="AR109" i="81" s="1"/>
  <c r="N109" i="81"/>
  <c r="N111" i="81" s="1"/>
  <c r="G72" i="81"/>
  <c r="K15" i="84" s="1"/>
  <c r="AP110" i="81"/>
  <c r="AL110" i="81"/>
  <c r="AH110" i="81"/>
  <c r="AD110" i="81"/>
  <c r="Z110" i="81"/>
  <c r="V110" i="81"/>
  <c r="R110" i="81"/>
  <c r="N110" i="81"/>
  <c r="AP105" i="81"/>
  <c r="AL105" i="81"/>
  <c r="AH105" i="81"/>
  <c r="AD105" i="81"/>
  <c r="AO88" i="81"/>
  <c r="AK88" i="81"/>
  <c r="AG88" i="81"/>
  <c r="AC88" i="81"/>
  <c r="Y88" i="81"/>
  <c r="U88" i="81"/>
  <c r="Q88" i="81"/>
  <c r="AR87" i="81"/>
  <c r="AN87" i="81"/>
  <c r="AJ87" i="81"/>
  <c r="AF87" i="81"/>
  <c r="AO105" i="81"/>
  <c r="AK105" i="81"/>
  <c r="AK108" i="81" s="1"/>
  <c r="AK109" i="81" s="1"/>
  <c r="AG105" i="81"/>
  <c r="AG108" i="81" s="1"/>
  <c r="AG109" i="81" s="1"/>
  <c r="AR88" i="81"/>
  <c r="AN88" i="81"/>
  <c r="AJ88" i="81"/>
  <c r="AF88" i="81"/>
  <c r="AB88" i="81"/>
  <c r="X88" i="81"/>
  <c r="T88" i="81"/>
  <c r="P88" i="81"/>
  <c r="AQ87" i="81"/>
  <c r="AM87" i="81"/>
  <c r="AI87" i="81"/>
  <c r="AE87" i="81"/>
  <c r="G73" i="81"/>
  <c r="C83" i="81"/>
  <c r="G83" i="81" s="1"/>
  <c r="F15" i="84" s="1"/>
  <c r="O15" i="84" s="1"/>
  <c r="U3" i="83"/>
  <c r="T3" i="83"/>
  <c r="R87" i="101" l="1"/>
  <c r="Q89" i="101"/>
  <c r="Q90" i="101" s="1"/>
  <c r="Q91" i="101" s="1"/>
  <c r="Q89" i="96"/>
  <c r="Q90" i="96" s="1"/>
  <c r="Q91" i="96" s="1"/>
  <c r="R87" i="96"/>
  <c r="Q89" i="104"/>
  <c r="Q90" i="104" s="1"/>
  <c r="Q91" i="104" s="1"/>
  <c r="R87" i="104"/>
  <c r="R87" i="102"/>
  <c r="Q89" i="102"/>
  <c r="Q90" i="102" s="1"/>
  <c r="Q91" i="102" s="1"/>
  <c r="R105" i="99"/>
  <c r="Q108" i="99"/>
  <c r="Q109" i="99" s="1"/>
  <c r="Q111" i="99" s="1"/>
  <c r="Q112" i="99" s="1"/>
  <c r="Q113" i="99" s="1"/>
  <c r="Q89" i="98"/>
  <c r="Q90" i="98" s="1"/>
  <c r="Q91" i="98" s="1"/>
  <c r="R87" i="98"/>
  <c r="R87" i="103"/>
  <c r="Q89" i="103"/>
  <c r="Q90" i="103" s="1"/>
  <c r="Q91" i="103" s="1"/>
  <c r="R105" i="96"/>
  <c r="Q108" i="96"/>
  <c r="Q109" i="96" s="1"/>
  <c r="Q111" i="96" s="1"/>
  <c r="Q112" i="96" s="1"/>
  <c r="Q113" i="96" s="1"/>
  <c r="Q89" i="97"/>
  <c r="Q90" i="97" s="1"/>
  <c r="Q91" i="97" s="1"/>
  <c r="R87" i="97"/>
  <c r="R105" i="92"/>
  <c r="Q108" i="92"/>
  <c r="Q109" i="92" s="1"/>
  <c r="Q111" i="92" s="1"/>
  <c r="Q112" i="92" s="1"/>
  <c r="Q113" i="92" s="1"/>
  <c r="Q108" i="97"/>
  <c r="Q109" i="97" s="1"/>
  <c r="Q111" i="97" s="1"/>
  <c r="Q112" i="97" s="1"/>
  <c r="Q113" i="97" s="1"/>
  <c r="R105" i="97"/>
  <c r="P112" i="103"/>
  <c r="P113" i="103" s="1"/>
  <c r="Q108" i="98"/>
  <c r="Q109" i="98" s="1"/>
  <c r="Q111" i="98" s="1"/>
  <c r="Q112" i="98" s="1"/>
  <c r="Q113" i="98" s="1"/>
  <c r="R105" i="98"/>
  <c r="R105" i="103"/>
  <c r="Q108" i="103"/>
  <c r="Q109" i="103" s="1"/>
  <c r="Q111" i="103" s="1"/>
  <c r="Q112" i="103" s="1"/>
  <c r="Q113" i="103" s="1"/>
  <c r="R105" i="102"/>
  <c r="Q108" i="102"/>
  <c r="Q109" i="102" s="1"/>
  <c r="Q111" i="102" s="1"/>
  <c r="Q112" i="102" s="1"/>
  <c r="Q113" i="102" s="1"/>
  <c r="P90" i="103"/>
  <c r="P91" i="103" s="1"/>
  <c r="P112" i="104"/>
  <c r="P113" i="104" s="1"/>
  <c r="Q89" i="92"/>
  <c r="Q90" i="92" s="1"/>
  <c r="Q91" i="92" s="1"/>
  <c r="R87" i="92"/>
  <c r="P90" i="104"/>
  <c r="P91" i="104" s="1"/>
  <c r="R105" i="101"/>
  <c r="Q108" i="101"/>
  <c r="Q109" i="101" s="1"/>
  <c r="Q111" i="101" s="1"/>
  <c r="Q112" i="101" s="1"/>
  <c r="Q113" i="101" s="1"/>
  <c r="R105" i="104"/>
  <c r="Q108" i="104"/>
  <c r="Q109" i="104" s="1"/>
  <c r="Q111" i="104" s="1"/>
  <c r="Q112" i="104" s="1"/>
  <c r="Q113" i="104" s="1"/>
  <c r="R87" i="99"/>
  <c r="Q89" i="99"/>
  <c r="Q90" i="99" s="1"/>
  <c r="Q91" i="99" s="1"/>
  <c r="O26" i="84"/>
  <c r="AJ111" i="81"/>
  <c r="AJ112" i="81" s="1"/>
  <c r="AJ113" i="81" s="1"/>
  <c r="AP89" i="81"/>
  <c r="AP90" i="81" s="1"/>
  <c r="AP91" i="81" s="1"/>
  <c r="AI111" i="81"/>
  <c r="AI112" i="81" s="1"/>
  <c r="AI113" i="81" s="1"/>
  <c r="AM89" i="81"/>
  <c r="AM90" i="81" s="1"/>
  <c r="AM91" i="81" s="1"/>
  <c r="AO89" i="81"/>
  <c r="AO90" i="81" s="1"/>
  <c r="AO91" i="81" s="1"/>
  <c r="AE111" i="81"/>
  <c r="AE112" i="81" s="1"/>
  <c r="AE113" i="81" s="1"/>
  <c r="AH89" i="81"/>
  <c r="AH90" i="81" s="1"/>
  <c r="AH91" i="81" s="1"/>
  <c r="AN111" i="81"/>
  <c r="AN112" i="81" s="1"/>
  <c r="AN113" i="81" s="1"/>
  <c r="AK89" i="81"/>
  <c r="AK90" i="81" s="1"/>
  <c r="AK91" i="81" s="1"/>
  <c r="AQ89" i="81"/>
  <c r="AQ90" i="81" s="1"/>
  <c r="AQ91" i="81" s="1"/>
  <c r="AR111" i="81"/>
  <c r="AR112" i="81" s="1"/>
  <c r="AR113" i="81" s="1"/>
  <c r="N112" i="81"/>
  <c r="N113" i="81" s="1"/>
  <c r="AG89" i="81"/>
  <c r="AG90" i="81" s="1"/>
  <c r="AG91" i="81" s="1"/>
  <c r="AI89" i="81"/>
  <c r="AI90" i="81" s="1"/>
  <c r="AI91" i="81" s="1"/>
  <c r="AF89" i="81"/>
  <c r="AF90" i="81" s="1"/>
  <c r="AF91" i="81" s="1"/>
  <c r="G87" i="81"/>
  <c r="AF111" i="81"/>
  <c r="AF112" i="81" s="1"/>
  <c r="AF113" i="81" s="1"/>
  <c r="AQ111" i="81"/>
  <c r="AQ112" i="81" s="1"/>
  <c r="AQ113" i="81" s="1"/>
  <c r="AL89" i="81"/>
  <c r="AL90" i="81" s="1"/>
  <c r="AL91" i="81" s="1"/>
  <c r="AJ89" i="81"/>
  <c r="AJ90" i="81" s="1"/>
  <c r="AJ91" i="81" s="1"/>
  <c r="AD89" i="81"/>
  <c r="AD90" i="81" s="1"/>
  <c r="AD91" i="81" s="1"/>
  <c r="AE89" i="81"/>
  <c r="AE90" i="81" s="1"/>
  <c r="AE91" i="81" s="1"/>
  <c r="AR89" i="81"/>
  <c r="AR90" i="81" s="1"/>
  <c r="AR91" i="81" s="1"/>
  <c r="G77" i="81"/>
  <c r="J15" i="84" s="1"/>
  <c r="AA15" i="84" s="1"/>
  <c r="AA26" i="84" s="1"/>
  <c r="N47" i="81"/>
  <c r="M64" i="81" s="1"/>
  <c r="AM111" i="81"/>
  <c r="AM112" i="81" s="1"/>
  <c r="AM113" i="81" s="1"/>
  <c r="AG111" i="81"/>
  <c r="AG112" i="81" s="1"/>
  <c r="AG113" i="81" s="1"/>
  <c r="AH108" i="81"/>
  <c r="AH109" i="81" s="1"/>
  <c r="AH111" i="81" s="1"/>
  <c r="AH112" i="81" s="1"/>
  <c r="AH113" i="81" s="1"/>
  <c r="AL108" i="81"/>
  <c r="AL109" i="81" s="1"/>
  <c r="AL111" i="81" s="1"/>
  <c r="AL112" i="81" s="1"/>
  <c r="AL113" i="81" s="1"/>
  <c r="AK111" i="81"/>
  <c r="AK112" i="81" s="1"/>
  <c r="AK113" i="81" s="1"/>
  <c r="AP108" i="81"/>
  <c r="AP109" i="81" s="1"/>
  <c r="AP111" i="81" s="1"/>
  <c r="AP112" i="81" s="1"/>
  <c r="AP113" i="81" s="1"/>
  <c r="AO108" i="81"/>
  <c r="AO109" i="81" s="1"/>
  <c r="AO111" i="81" s="1"/>
  <c r="AO112" i="81" s="1"/>
  <c r="AO113" i="81" s="1"/>
  <c r="AN89" i="81"/>
  <c r="AN90" i="81" s="1"/>
  <c r="AN91" i="81" s="1"/>
  <c r="AD108" i="81"/>
  <c r="AD109" i="81" s="1"/>
  <c r="AD111" i="81" s="1"/>
  <c r="AD112" i="81" s="1"/>
  <c r="AD113" i="81" s="1"/>
  <c r="E4" i="83"/>
  <c r="D4" i="83"/>
  <c r="C4" i="83"/>
  <c r="R108" i="97" l="1"/>
  <c r="R109" i="97" s="1"/>
  <c r="R111" i="97" s="1"/>
  <c r="R112" i="97" s="1"/>
  <c r="R113" i="97" s="1"/>
  <c r="S105" i="97"/>
  <c r="S105" i="99"/>
  <c r="R108" i="99"/>
  <c r="R109" i="99" s="1"/>
  <c r="R111" i="99" s="1"/>
  <c r="R112" i="99" s="1"/>
  <c r="R113" i="99" s="1"/>
  <c r="S87" i="99"/>
  <c r="R89" i="99"/>
  <c r="R90" i="99" s="1"/>
  <c r="R91" i="99" s="1"/>
  <c r="R108" i="92"/>
  <c r="R109" i="92" s="1"/>
  <c r="R111" i="92" s="1"/>
  <c r="R112" i="92" s="1"/>
  <c r="R113" i="92" s="1"/>
  <c r="S105" i="92"/>
  <c r="R89" i="102"/>
  <c r="R90" i="102" s="1"/>
  <c r="R91" i="102" s="1"/>
  <c r="S87" i="102"/>
  <c r="S87" i="98"/>
  <c r="R89" i="98"/>
  <c r="R90" i="98" s="1"/>
  <c r="R91" i="98" s="1"/>
  <c r="S105" i="104"/>
  <c r="R108" i="104"/>
  <c r="R109" i="104" s="1"/>
  <c r="R111" i="104" s="1"/>
  <c r="R108" i="102"/>
  <c r="R109" i="102" s="1"/>
  <c r="R111" i="102" s="1"/>
  <c r="R112" i="102" s="1"/>
  <c r="R113" i="102" s="1"/>
  <c r="S105" i="102"/>
  <c r="R89" i="97"/>
  <c r="R90" i="97" s="1"/>
  <c r="R91" i="97" s="1"/>
  <c r="S87" i="97"/>
  <c r="R89" i="104"/>
  <c r="S87" i="104"/>
  <c r="R108" i="101"/>
  <c r="R109" i="101" s="1"/>
  <c r="R111" i="101" s="1"/>
  <c r="R112" i="101" s="1"/>
  <c r="R113" i="101" s="1"/>
  <c r="S105" i="101"/>
  <c r="R108" i="103"/>
  <c r="R109" i="103" s="1"/>
  <c r="R111" i="103" s="1"/>
  <c r="S105" i="103"/>
  <c r="R89" i="96"/>
  <c r="R90" i="96" s="1"/>
  <c r="R91" i="96" s="1"/>
  <c r="S87" i="96"/>
  <c r="S105" i="98"/>
  <c r="R108" i="98"/>
  <c r="R109" i="98" s="1"/>
  <c r="R111" i="98" s="1"/>
  <c r="R112" i="98" s="1"/>
  <c r="R113" i="98" s="1"/>
  <c r="S105" i="96"/>
  <c r="R108" i="96"/>
  <c r="R109" i="96" s="1"/>
  <c r="R111" i="96" s="1"/>
  <c r="R112" i="96" s="1"/>
  <c r="R113" i="96" s="1"/>
  <c r="S87" i="92"/>
  <c r="R89" i="92"/>
  <c r="R90" i="92" s="1"/>
  <c r="R91" i="92" s="1"/>
  <c r="S87" i="103"/>
  <c r="R89" i="103"/>
  <c r="S87" i="101"/>
  <c r="R89" i="101"/>
  <c r="R90" i="101" s="1"/>
  <c r="R91" i="101" s="1"/>
  <c r="L5" i="79"/>
  <c r="K5" i="79"/>
  <c r="O105" i="81"/>
  <c r="O87" i="81"/>
  <c r="AG11" i="83"/>
  <c r="AG8" i="83"/>
  <c r="AD8" i="83"/>
  <c r="AH8" i="83" s="1"/>
  <c r="AD11" i="83"/>
  <c r="D30" i="83"/>
  <c r="C30" i="83"/>
  <c r="F31" i="83"/>
  <c r="S16" i="83"/>
  <c r="R16" i="83"/>
  <c r="S15" i="83"/>
  <c r="R15" i="83"/>
  <c r="S14" i="83"/>
  <c r="R14" i="83"/>
  <c r="AG12" i="83"/>
  <c r="AV11" i="83"/>
  <c r="AU11" i="83"/>
  <c r="AH11" i="83"/>
  <c r="AF11" i="83"/>
  <c r="AG10" i="83"/>
  <c r="AV9" i="83"/>
  <c r="AW8" i="83"/>
  <c r="AV8" i="83"/>
  <c r="AU8" i="83"/>
  <c r="AF8" i="83"/>
  <c r="AP3" i="83"/>
  <c r="AO3" i="83"/>
  <c r="AN3" i="83"/>
  <c r="AM3" i="83"/>
  <c r="AL3" i="83"/>
  <c r="AK3" i="83"/>
  <c r="AB3" i="83"/>
  <c r="AA3" i="83"/>
  <c r="Z3" i="83"/>
  <c r="E3" i="83"/>
  <c r="E33" i="83" s="1"/>
  <c r="D3" i="83"/>
  <c r="D33" i="83" s="1"/>
  <c r="C3" i="83"/>
  <c r="C33" i="83" s="1"/>
  <c r="D7" i="17"/>
  <c r="E11" i="17"/>
  <c r="D11" i="17"/>
  <c r="J6" i="79"/>
  <c r="B6" i="79"/>
  <c r="C6" i="79"/>
  <c r="T87" i="102" l="1"/>
  <c r="S89" i="102"/>
  <c r="S90" i="102" s="1"/>
  <c r="S91" i="102" s="1"/>
  <c r="T87" i="103"/>
  <c r="S89" i="103"/>
  <c r="S90" i="103" s="1"/>
  <c r="S91" i="103" s="1"/>
  <c r="R112" i="103"/>
  <c r="R113" i="103" s="1"/>
  <c r="S89" i="104"/>
  <c r="S90" i="104" s="1"/>
  <c r="S91" i="104" s="1"/>
  <c r="T87" i="104"/>
  <c r="T105" i="92"/>
  <c r="S108" i="92"/>
  <c r="S109" i="92" s="1"/>
  <c r="S111" i="92" s="1"/>
  <c r="S112" i="92" s="1"/>
  <c r="S113" i="92" s="1"/>
  <c r="S89" i="92"/>
  <c r="S90" i="92" s="1"/>
  <c r="S91" i="92" s="1"/>
  <c r="T87" i="92"/>
  <c r="R90" i="104"/>
  <c r="R91" i="104" s="1"/>
  <c r="T105" i="103"/>
  <c r="S108" i="103"/>
  <c r="S109" i="103" s="1"/>
  <c r="S111" i="103" s="1"/>
  <c r="S112" i="103" s="1"/>
  <c r="S113" i="103" s="1"/>
  <c r="S108" i="101"/>
  <c r="S109" i="101" s="1"/>
  <c r="S111" i="101" s="1"/>
  <c r="S112" i="101" s="1"/>
  <c r="S113" i="101" s="1"/>
  <c r="T105" i="101"/>
  <c r="S89" i="97"/>
  <c r="S90" i="97" s="1"/>
  <c r="S91" i="97" s="1"/>
  <c r="T87" i="97"/>
  <c r="T87" i="101"/>
  <c r="S89" i="101"/>
  <c r="S90" i="101" s="1"/>
  <c r="S91" i="101" s="1"/>
  <c r="T105" i="96"/>
  <c r="S108" i="96"/>
  <c r="S109" i="96" s="1"/>
  <c r="S111" i="96" s="1"/>
  <c r="S112" i="96" s="1"/>
  <c r="S113" i="96" s="1"/>
  <c r="T87" i="99"/>
  <c r="S89" i="99"/>
  <c r="S90" i="99" s="1"/>
  <c r="S91" i="99" s="1"/>
  <c r="T87" i="98"/>
  <c r="S89" i="98"/>
  <c r="S90" i="98" s="1"/>
  <c r="S91" i="98" s="1"/>
  <c r="T105" i="102"/>
  <c r="S108" i="102"/>
  <c r="S109" i="102" s="1"/>
  <c r="S111" i="102" s="1"/>
  <c r="S112" i="102" s="1"/>
  <c r="S113" i="102" s="1"/>
  <c r="S108" i="98"/>
  <c r="S109" i="98" s="1"/>
  <c r="S111" i="98" s="1"/>
  <c r="S112" i="98" s="1"/>
  <c r="S113" i="98" s="1"/>
  <c r="T105" i="98"/>
  <c r="T105" i="99"/>
  <c r="S108" i="99"/>
  <c r="S109" i="99" s="1"/>
  <c r="S111" i="99" s="1"/>
  <c r="S112" i="99" s="1"/>
  <c r="S113" i="99" s="1"/>
  <c r="R90" i="103"/>
  <c r="R91" i="103" s="1"/>
  <c r="S89" i="96"/>
  <c r="S90" i="96" s="1"/>
  <c r="S91" i="96" s="1"/>
  <c r="T87" i="96"/>
  <c r="R112" i="104"/>
  <c r="R113" i="104" s="1"/>
  <c r="S108" i="97"/>
  <c r="S109" i="97" s="1"/>
  <c r="S111" i="97" s="1"/>
  <c r="S112" i="97" s="1"/>
  <c r="S113" i="97" s="1"/>
  <c r="T105" i="97"/>
  <c r="S108" i="104"/>
  <c r="S109" i="104" s="1"/>
  <c r="S111" i="104" s="1"/>
  <c r="S112" i="104" s="1"/>
  <c r="S113" i="104" s="1"/>
  <c r="T105" i="104"/>
  <c r="AN15" i="83"/>
  <c r="AN9" i="83"/>
  <c r="AN10" i="83"/>
  <c r="AN16" i="83"/>
  <c r="AN12" i="83"/>
  <c r="AN6" i="83"/>
  <c r="AN13" i="83"/>
  <c r="AN7" i="83"/>
  <c r="X16" i="83"/>
  <c r="X15" i="83"/>
  <c r="X13" i="83"/>
  <c r="X12" i="83"/>
  <c r="X10" i="83"/>
  <c r="X9" i="83"/>
  <c r="X7" i="83"/>
  <c r="X6" i="83"/>
  <c r="W7" i="83"/>
  <c r="W16" i="83"/>
  <c r="W15" i="83"/>
  <c r="W13" i="83"/>
  <c r="W12" i="83"/>
  <c r="W10" i="83"/>
  <c r="W9" i="83"/>
  <c r="W6" i="83"/>
  <c r="O108" i="81"/>
  <c r="O109" i="81" s="1"/>
  <c r="O111" i="81" s="1"/>
  <c r="P105" i="81"/>
  <c r="O89" i="81"/>
  <c r="O90" i="81" s="1"/>
  <c r="O91" i="81" s="1"/>
  <c r="P87" i="81"/>
  <c r="AW11" i="83"/>
  <c r="D6" i="79"/>
  <c r="AG6" i="83"/>
  <c r="AG9" i="83"/>
  <c r="AV12" i="83"/>
  <c r="X3" i="83"/>
  <c r="W3" i="83"/>
  <c r="Y3" i="83"/>
  <c r="AV6" i="83"/>
  <c r="AV10" i="83"/>
  <c r="T108" i="99" l="1"/>
  <c r="T109" i="99" s="1"/>
  <c r="T111" i="99" s="1"/>
  <c r="T112" i="99" s="1"/>
  <c r="T113" i="99" s="1"/>
  <c r="U105" i="99"/>
  <c r="T89" i="101"/>
  <c r="T90" i="101" s="1"/>
  <c r="T91" i="101" s="1"/>
  <c r="U87" i="101"/>
  <c r="U105" i="92"/>
  <c r="T108" i="92"/>
  <c r="T109" i="92" s="1"/>
  <c r="T111" i="92" s="1"/>
  <c r="T112" i="92" s="1"/>
  <c r="T113" i="92" s="1"/>
  <c r="T89" i="92"/>
  <c r="T90" i="92" s="1"/>
  <c r="T91" i="92" s="1"/>
  <c r="U87" i="92"/>
  <c r="U105" i="104"/>
  <c r="T108" i="104"/>
  <c r="T109" i="104" s="1"/>
  <c r="T111" i="104" s="1"/>
  <c r="T112" i="104" s="1"/>
  <c r="T113" i="104" s="1"/>
  <c r="T108" i="98"/>
  <c r="T109" i="98" s="1"/>
  <c r="T111" i="98" s="1"/>
  <c r="T112" i="98" s="1"/>
  <c r="T113" i="98" s="1"/>
  <c r="U105" i="98"/>
  <c r="U87" i="97"/>
  <c r="T89" i="97"/>
  <c r="T90" i="97" s="1"/>
  <c r="T91" i="97" s="1"/>
  <c r="U87" i="104"/>
  <c r="T89" i="104"/>
  <c r="T90" i="104" s="1"/>
  <c r="T91" i="104" s="1"/>
  <c r="T108" i="96"/>
  <c r="T109" i="96" s="1"/>
  <c r="T111" i="96" s="1"/>
  <c r="T112" i="96" s="1"/>
  <c r="T113" i="96" s="1"/>
  <c r="U105" i="96"/>
  <c r="U105" i="102"/>
  <c r="T108" i="102"/>
  <c r="T109" i="102" s="1"/>
  <c r="T111" i="102" s="1"/>
  <c r="T112" i="102" s="1"/>
  <c r="T113" i="102" s="1"/>
  <c r="U87" i="98"/>
  <c r="T89" i="98"/>
  <c r="T90" i="98" s="1"/>
  <c r="T91" i="98" s="1"/>
  <c r="U105" i="103"/>
  <c r="T108" i="103"/>
  <c r="T109" i="103" s="1"/>
  <c r="T111" i="103" s="1"/>
  <c r="U87" i="103"/>
  <c r="T89" i="103"/>
  <c r="T108" i="97"/>
  <c r="T109" i="97" s="1"/>
  <c r="T111" i="97" s="1"/>
  <c r="T112" i="97" s="1"/>
  <c r="T113" i="97" s="1"/>
  <c r="U105" i="97"/>
  <c r="T108" i="101"/>
  <c r="T109" i="101" s="1"/>
  <c r="T111" i="101" s="1"/>
  <c r="T112" i="101" s="1"/>
  <c r="T113" i="101" s="1"/>
  <c r="U105" i="101"/>
  <c r="T89" i="96"/>
  <c r="T90" i="96" s="1"/>
  <c r="T91" i="96" s="1"/>
  <c r="U87" i="96"/>
  <c r="T89" i="99"/>
  <c r="T90" i="99" s="1"/>
  <c r="T91" i="99" s="1"/>
  <c r="U87" i="99"/>
  <c r="U87" i="102"/>
  <c r="T89" i="102"/>
  <c r="T90" i="102" s="1"/>
  <c r="T91" i="102" s="1"/>
  <c r="O112" i="81"/>
  <c r="O113" i="81" s="1"/>
  <c r="P89" i="81"/>
  <c r="P90" i="81" s="1"/>
  <c r="P91" i="81" s="1"/>
  <c r="Q87" i="81"/>
  <c r="Q105" i="81"/>
  <c r="P108" i="81"/>
  <c r="P109" i="81" s="1"/>
  <c r="P111" i="81" s="1"/>
  <c r="P112" i="81" s="1"/>
  <c r="U89" i="96" l="1"/>
  <c r="U90" i="96" s="1"/>
  <c r="U91" i="96" s="1"/>
  <c r="V87" i="96"/>
  <c r="V105" i="104"/>
  <c r="U108" i="104"/>
  <c r="U109" i="104" s="1"/>
  <c r="U111" i="104" s="1"/>
  <c r="U112" i="104" s="1"/>
  <c r="U113" i="104" s="1"/>
  <c r="V87" i="92"/>
  <c r="U89" i="92"/>
  <c r="U90" i="92" s="1"/>
  <c r="U91" i="92" s="1"/>
  <c r="U108" i="101"/>
  <c r="U109" i="101" s="1"/>
  <c r="U111" i="101" s="1"/>
  <c r="U112" i="101" s="1"/>
  <c r="U113" i="101" s="1"/>
  <c r="V105" i="101"/>
  <c r="U108" i="102"/>
  <c r="U109" i="102" s="1"/>
  <c r="U111" i="102" s="1"/>
  <c r="U112" i="102" s="1"/>
  <c r="U113" i="102" s="1"/>
  <c r="V105" i="102"/>
  <c r="U108" i="98"/>
  <c r="U109" i="98" s="1"/>
  <c r="U111" i="98" s="1"/>
  <c r="U112" i="98" s="1"/>
  <c r="U113" i="98" s="1"/>
  <c r="V105" i="98"/>
  <c r="U108" i="92"/>
  <c r="U109" i="92" s="1"/>
  <c r="U111" i="92" s="1"/>
  <c r="U112" i="92" s="1"/>
  <c r="U113" i="92" s="1"/>
  <c r="V105" i="92"/>
  <c r="U89" i="99"/>
  <c r="U90" i="99" s="1"/>
  <c r="U91" i="99" s="1"/>
  <c r="V87" i="99"/>
  <c r="V87" i="101"/>
  <c r="U89" i="101"/>
  <c r="T90" i="103"/>
  <c r="T91" i="103" s="1"/>
  <c r="V87" i="104"/>
  <c r="U89" i="104"/>
  <c r="V105" i="97"/>
  <c r="U108" i="97"/>
  <c r="U109" i="97" s="1"/>
  <c r="U111" i="97" s="1"/>
  <c r="U112" i="97" s="1"/>
  <c r="U113" i="97" s="1"/>
  <c r="V87" i="103"/>
  <c r="U89" i="103"/>
  <c r="U90" i="103" s="1"/>
  <c r="U91" i="103" s="1"/>
  <c r="V105" i="99"/>
  <c r="U108" i="99"/>
  <c r="U109" i="99" s="1"/>
  <c r="U111" i="99" s="1"/>
  <c r="U112" i="99" s="1"/>
  <c r="U113" i="99" s="1"/>
  <c r="U108" i="103"/>
  <c r="U109" i="103" s="1"/>
  <c r="U111" i="103" s="1"/>
  <c r="V105" i="103"/>
  <c r="U89" i="98"/>
  <c r="U90" i="98" s="1"/>
  <c r="U91" i="98" s="1"/>
  <c r="V87" i="98"/>
  <c r="U108" i="96"/>
  <c r="U109" i="96" s="1"/>
  <c r="U111" i="96" s="1"/>
  <c r="U112" i="96" s="1"/>
  <c r="U113" i="96" s="1"/>
  <c r="V105" i="96"/>
  <c r="U89" i="102"/>
  <c r="U90" i="102" s="1"/>
  <c r="U91" i="102" s="1"/>
  <c r="V87" i="102"/>
  <c r="T112" i="103"/>
  <c r="T113" i="103" s="1"/>
  <c r="U89" i="97"/>
  <c r="U90" i="97" s="1"/>
  <c r="U91" i="97" s="1"/>
  <c r="V87" i="97"/>
  <c r="P113" i="81"/>
  <c r="M116" i="81" a="1"/>
  <c r="M116" i="81" s="1"/>
  <c r="N18" i="81" s="1"/>
  <c r="R105" i="81"/>
  <c r="Q108" i="81"/>
  <c r="Q109" i="81" s="1"/>
  <c r="Q111" i="81" s="1"/>
  <c r="Q112" i="81" s="1"/>
  <c r="Q89" i="81"/>
  <c r="R87" i="81"/>
  <c r="U112" i="103" l="1"/>
  <c r="U113" i="103" s="1"/>
  <c r="V89" i="104"/>
  <c r="V90" i="104" s="1"/>
  <c r="V91" i="104" s="1"/>
  <c r="W87" i="104"/>
  <c r="W105" i="101"/>
  <c r="V108" i="101"/>
  <c r="V109" i="101" s="1"/>
  <c r="V111" i="101" s="1"/>
  <c r="V112" i="101" s="1"/>
  <c r="V113" i="101" s="1"/>
  <c r="W105" i="103"/>
  <c r="V108" i="103"/>
  <c r="V109" i="103" s="1"/>
  <c r="V111" i="103" s="1"/>
  <c r="V112" i="103" s="1"/>
  <c r="V113" i="103" s="1"/>
  <c r="U90" i="101"/>
  <c r="U91" i="101" s="1"/>
  <c r="U90" i="104"/>
  <c r="U91" i="104" s="1"/>
  <c r="W87" i="99"/>
  <c r="V89" i="99"/>
  <c r="W105" i="99"/>
  <c r="V108" i="99"/>
  <c r="V109" i="99" s="1"/>
  <c r="V111" i="99" s="1"/>
  <c r="V112" i="99" s="1"/>
  <c r="V113" i="99" s="1"/>
  <c r="W105" i="104"/>
  <c r="V108" i="104"/>
  <c r="V109" i="104" s="1"/>
  <c r="V111" i="104" s="1"/>
  <c r="V112" i="104" s="1"/>
  <c r="V113" i="104" s="1"/>
  <c r="W105" i="96"/>
  <c r="V108" i="96"/>
  <c r="V109" i="96" s="1"/>
  <c r="V111" i="96" s="1"/>
  <c r="V112" i="96" s="1"/>
  <c r="V113" i="96" s="1"/>
  <c r="V89" i="92"/>
  <c r="V90" i="92" s="1"/>
  <c r="V91" i="92" s="1"/>
  <c r="W87" i="92"/>
  <c r="V108" i="92"/>
  <c r="V109" i="92" s="1"/>
  <c r="V111" i="92" s="1"/>
  <c r="V112" i="92" s="1"/>
  <c r="V113" i="92" s="1"/>
  <c r="W105" i="92"/>
  <c r="V108" i="97"/>
  <c r="V109" i="97" s="1"/>
  <c r="V111" i="97" s="1"/>
  <c r="W105" i="97"/>
  <c r="W105" i="102"/>
  <c r="V108" i="102"/>
  <c r="V109" i="102" s="1"/>
  <c r="V111" i="102" s="1"/>
  <c r="V112" i="102" s="1"/>
  <c r="V113" i="102" s="1"/>
  <c r="V89" i="102"/>
  <c r="W87" i="102"/>
  <c r="W87" i="103"/>
  <c r="V89" i="103"/>
  <c r="V89" i="96"/>
  <c r="V90" i="96" s="1"/>
  <c r="V91" i="96" s="1"/>
  <c r="W87" i="96"/>
  <c r="V89" i="98"/>
  <c r="V90" i="98" s="1"/>
  <c r="V91" i="98" s="1"/>
  <c r="W87" i="98"/>
  <c r="W87" i="97"/>
  <c r="V89" i="97"/>
  <c r="V90" i="97" s="1"/>
  <c r="V91" i="97" s="1"/>
  <c r="V89" i="101"/>
  <c r="V90" i="101" s="1"/>
  <c r="V91" i="101" s="1"/>
  <c r="W87" i="101"/>
  <c r="V108" i="98"/>
  <c r="V109" i="98" s="1"/>
  <c r="V111" i="98" s="1"/>
  <c r="V112" i="98" s="1"/>
  <c r="V113" i="98" s="1"/>
  <c r="W105" i="98"/>
  <c r="E6" i="79"/>
  <c r="E5" i="79"/>
  <c r="R89" i="81"/>
  <c r="R90" i="81" s="1"/>
  <c r="S87" i="81"/>
  <c r="Q90" i="81"/>
  <c r="Q91" i="81" s="1"/>
  <c r="R108" i="81"/>
  <c r="R109" i="81" s="1"/>
  <c r="R111" i="81" s="1"/>
  <c r="R112" i="81" s="1"/>
  <c r="S105" i="81"/>
  <c r="AG13" i="83"/>
  <c r="AV13" i="83"/>
  <c r="V90" i="103" l="1"/>
  <c r="V91" i="103" s="1"/>
  <c r="W108" i="98"/>
  <c r="W109" i="98" s="1"/>
  <c r="W111" i="98" s="1"/>
  <c r="W112" i="98" s="1"/>
  <c r="W113" i="98" s="1"/>
  <c r="X105" i="98"/>
  <c r="W89" i="103"/>
  <c r="W90" i="103" s="1"/>
  <c r="W91" i="103" s="1"/>
  <c r="X87" i="103"/>
  <c r="X87" i="102"/>
  <c r="W89" i="102"/>
  <c r="W90" i="102" s="1"/>
  <c r="W91" i="102" s="1"/>
  <c r="X105" i="96"/>
  <c r="W108" i="96"/>
  <c r="W109" i="96" s="1"/>
  <c r="W111" i="96" s="1"/>
  <c r="X87" i="96"/>
  <c r="W89" i="96"/>
  <c r="V90" i="102"/>
  <c r="V91" i="102" s="1"/>
  <c r="W108" i="103"/>
  <c r="W109" i="103" s="1"/>
  <c r="W111" i="103" s="1"/>
  <c r="W112" i="103" s="1"/>
  <c r="W113" i="103" s="1"/>
  <c r="X105" i="103"/>
  <c r="W108" i="104"/>
  <c r="W109" i="104" s="1"/>
  <c r="W111" i="104" s="1"/>
  <c r="W112" i="104" s="1"/>
  <c r="W113" i="104" s="1"/>
  <c r="X105" i="104"/>
  <c r="W108" i="101"/>
  <c r="W109" i="101" s="1"/>
  <c r="W111" i="101" s="1"/>
  <c r="X105" i="101"/>
  <c r="W108" i="97"/>
  <c r="W109" i="97" s="1"/>
  <c r="W111" i="97" s="1"/>
  <c r="W112" i="97" s="1"/>
  <c r="W113" i="97" s="1"/>
  <c r="X105" i="97"/>
  <c r="W108" i="99"/>
  <c r="W109" i="99" s="1"/>
  <c r="W111" i="99" s="1"/>
  <c r="W112" i="99" s="1"/>
  <c r="W113" i="99" s="1"/>
  <c r="X105" i="99"/>
  <c r="W89" i="104"/>
  <c r="X87" i="104"/>
  <c r="W89" i="92"/>
  <c r="W90" i="92" s="1"/>
  <c r="W91" i="92" s="1"/>
  <c r="X87" i="92"/>
  <c r="W108" i="102"/>
  <c r="W109" i="102" s="1"/>
  <c r="W111" i="102" s="1"/>
  <c r="W112" i="102" s="1"/>
  <c r="W113" i="102" s="1"/>
  <c r="X105" i="102"/>
  <c r="W89" i="97"/>
  <c r="X87" i="97"/>
  <c r="V112" i="97"/>
  <c r="V113" i="97" s="1"/>
  <c r="V90" i="99"/>
  <c r="V91" i="99" s="1"/>
  <c r="X87" i="101"/>
  <c r="W89" i="101"/>
  <c r="W89" i="98"/>
  <c r="X87" i="98"/>
  <c r="X105" i="92"/>
  <c r="W108" i="92"/>
  <c r="W109" i="92" s="1"/>
  <c r="W111" i="92" s="1"/>
  <c r="W112" i="92" s="1"/>
  <c r="W113" i="92" s="1"/>
  <c r="W89" i="99"/>
  <c r="W90" i="99" s="1"/>
  <c r="W91" i="99" s="1"/>
  <c r="X87" i="99"/>
  <c r="S89" i="81"/>
  <c r="S90" i="81" s="1"/>
  <c r="T87" i="81"/>
  <c r="S108" i="81"/>
  <c r="S109" i="81" s="1"/>
  <c r="S111" i="81" s="1"/>
  <c r="S112" i="81" s="1"/>
  <c r="T105" i="81"/>
  <c r="R91" i="81"/>
  <c r="Q113" i="81"/>
  <c r="R113" i="81" s="1"/>
  <c r="W112" i="96" l="1"/>
  <c r="W113" i="96" s="1"/>
  <c r="X108" i="92"/>
  <c r="X109" i="92" s="1"/>
  <c r="X111" i="92" s="1"/>
  <c r="X112" i="92" s="1"/>
  <c r="X113" i="92" s="1"/>
  <c r="Y105" i="92"/>
  <c r="X89" i="97"/>
  <c r="X90" i="97" s="1"/>
  <c r="X91" i="97" s="1"/>
  <c r="Y87" i="97"/>
  <c r="Y105" i="101"/>
  <c r="X108" i="101"/>
  <c r="X109" i="101" s="1"/>
  <c r="X111" i="101" s="1"/>
  <c r="X112" i="101" s="1"/>
  <c r="X113" i="101" s="1"/>
  <c r="X108" i="96"/>
  <c r="X109" i="96" s="1"/>
  <c r="X111" i="96" s="1"/>
  <c r="X112" i="96" s="1"/>
  <c r="X113" i="96" s="1"/>
  <c r="Y105" i="96"/>
  <c r="W90" i="96"/>
  <c r="W91" i="96" s="1"/>
  <c r="X89" i="98"/>
  <c r="X90" i="98" s="1"/>
  <c r="X91" i="98" s="1"/>
  <c r="Y87" i="98"/>
  <c r="W90" i="97"/>
  <c r="W91" i="97" s="1"/>
  <c r="W112" i="101"/>
  <c r="W113" i="101" s="1"/>
  <c r="W90" i="98"/>
  <c r="W91" i="98" s="1"/>
  <c r="Y105" i="102"/>
  <c r="X108" i="102"/>
  <c r="X109" i="102" s="1"/>
  <c r="X111" i="102" s="1"/>
  <c r="X112" i="102" s="1"/>
  <c r="X113" i="102" s="1"/>
  <c r="Y87" i="102"/>
  <c r="X89" i="102"/>
  <c r="X90" i="102" s="1"/>
  <c r="X91" i="102" s="1"/>
  <c r="Y105" i="104"/>
  <c r="X108" i="104"/>
  <c r="X109" i="104" s="1"/>
  <c r="X111" i="104" s="1"/>
  <c r="X112" i="104" s="1"/>
  <c r="X113" i="104" s="1"/>
  <c r="Y87" i="103"/>
  <c r="X89" i="103"/>
  <c r="X90" i="103" s="1"/>
  <c r="X91" i="103" s="1"/>
  <c r="X89" i="92"/>
  <c r="X90" i="92" s="1"/>
  <c r="X91" i="92" s="1"/>
  <c r="Y87" i="92"/>
  <c r="Y87" i="101"/>
  <c r="X89" i="101"/>
  <c r="X90" i="101" s="1"/>
  <c r="X91" i="101" s="1"/>
  <c r="X108" i="103"/>
  <c r="X109" i="103" s="1"/>
  <c r="X111" i="103" s="1"/>
  <c r="X112" i="103" s="1"/>
  <c r="X113" i="103" s="1"/>
  <c r="Y105" i="103"/>
  <c r="X108" i="98"/>
  <c r="X109" i="98" s="1"/>
  <c r="X111" i="98" s="1"/>
  <c r="Y105" i="98"/>
  <c r="X108" i="97"/>
  <c r="X109" i="97" s="1"/>
  <c r="X111" i="97" s="1"/>
  <c r="Y105" i="97"/>
  <c r="W90" i="101"/>
  <c r="W91" i="101" s="1"/>
  <c r="Y87" i="104"/>
  <c r="X89" i="104"/>
  <c r="X90" i="104" s="1"/>
  <c r="X91" i="104" s="1"/>
  <c r="X89" i="96"/>
  <c r="X90" i="96" s="1"/>
  <c r="X91" i="96" s="1"/>
  <c r="Y87" i="96"/>
  <c r="X89" i="99"/>
  <c r="X90" i="99" s="1"/>
  <c r="X91" i="99" s="1"/>
  <c r="Y87" i="99"/>
  <c r="W90" i="104"/>
  <c r="W91" i="104" s="1"/>
  <c r="Y105" i="99"/>
  <c r="X108" i="99"/>
  <c r="X109" i="99" s="1"/>
  <c r="X111" i="99" s="1"/>
  <c r="X112" i="99" s="1"/>
  <c r="X113" i="99" s="1"/>
  <c r="S91" i="81"/>
  <c r="M94" i="81" s="1" a="1"/>
  <c r="M94" i="81" s="1"/>
  <c r="N15" i="81" s="1"/>
  <c r="S113" i="81"/>
  <c r="U87" i="81"/>
  <c r="T89" i="81"/>
  <c r="T108" i="81"/>
  <c r="T109" i="81" s="1"/>
  <c r="T111" i="81" s="1"/>
  <c r="T112" i="81" s="1"/>
  <c r="U105" i="81"/>
  <c r="AV7" i="83"/>
  <c r="AG7" i="83"/>
  <c r="Y89" i="96" l="1"/>
  <c r="Z87" i="96"/>
  <c r="Z105" i="102"/>
  <c r="Y108" i="102"/>
  <c r="Y109" i="102" s="1"/>
  <c r="Y111" i="102" s="1"/>
  <c r="Y112" i="102" s="1"/>
  <c r="Y113" i="102" s="1"/>
  <c r="Y108" i="96"/>
  <c r="Y109" i="96" s="1"/>
  <c r="Y111" i="96" s="1"/>
  <c r="Y112" i="96" s="1"/>
  <c r="Y113" i="96" s="1"/>
  <c r="Z105" i="96"/>
  <c r="Z87" i="102"/>
  <c r="Y89" i="102"/>
  <c r="Z87" i="97"/>
  <c r="Y89" i="97"/>
  <c r="Y108" i="99"/>
  <c r="Y109" i="99" s="1"/>
  <c r="Y111" i="99" s="1"/>
  <c r="Y112" i="99" s="1"/>
  <c r="Y113" i="99" s="1"/>
  <c r="Z105" i="99"/>
  <c r="Z87" i="103"/>
  <c r="Y89" i="103"/>
  <c r="Y90" i="103" s="1"/>
  <c r="Y91" i="103" s="1"/>
  <c r="Z87" i="104"/>
  <c r="Y89" i="104"/>
  <c r="Y90" i="104" s="1"/>
  <c r="Y91" i="104" s="1"/>
  <c r="Z105" i="101"/>
  <c r="Y108" i="101"/>
  <c r="Y109" i="101" s="1"/>
  <c r="Y111" i="101" s="1"/>
  <c r="Y112" i="101" s="1"/>
  <c r="Y113" i="101" s="1"/>
  <c r="Z105" i="97"/>
  <c r="Y108" i="97"/>
  <c r="Y109" i="97" s="1"/>
  <c r="Y111" i="97" s="1"/>
  <c r="Y112" i="97" s="1"/>
  <c r="Y113" i="97" s="1"/>
  <c r="Y108" i="92"/>
  <c r="Y109" i="92" s="1"/>
  <c r="Y111" i="92" s="1"/>
  <c r="Z105" i="92"/>
  <c r="Z87" i="101"/>
  <c r="Y89" i="101"/>
  <c r="Y90" i="101" s="1"/>
  <c r="Y91" i="101" s="1"/>
  <c r="Y89" i="99"/>
  <c r="Z87" i="99"/>
  <c r="Y108" i="104"/>
  <c r="Y109" i="104" s="1"/>
  <c r="Y111" i="104" s="1"/>
  <c r="Y112" i="104" s="1"/>
  <c r="Y113" i="104" s="1"/>
  <c r="Z105" i="104"/>
  <c r="Y89" i="92"/>
  <c r="Z87" i="92"/>
  <c r="X112" i="97"/>
  <c r="X113" i="97" s="1"/>
  <c r="Z105" i="98"/>
  <c r="Y108" i="98"/>
  <c r="Y109" i="98" s="1"/>
  <c r="Y111" i="98" s="1"/>
  <c r="Y112" i="98" s="1"/>
  <c r="Y113" i="98" s="1"/>
  <c r="Z87" i="98"/>
  <c r="Y89" i="98"/>
  <c r="Z105" i="103"/>
  <c r="Y108" i="103"/>
  <c r="Y109" i="103" s="1"/>
  <c r="Y111" i="103" s="1"/>
  <c r="Y112" i="103" s="1"/>
  <c r="Y113" i="103" s="1"/>
  <c r="X112" i="98"/>
  <c r="X113" i="98" s="1"/>
  <c r="U108" i="81"/>
  <c r="U109" i="81" s="1"/>
  <c r="U111" i="81" s="1"/>
  <c r="U112" i="81" s="1"/>
  <c r="V105" i="81"/>
  <c r="T90" i="81"/>
  <c r="T91" i="81" s="1"/>
  <c r="V87" i="81"/>
  <c r="U89" i="81"/>
  <c r="U90" i="81" s="1"/>
  <c r="Y90" i="97" l="1"/>
  <c r="Y91" i="97" s="1"/>
  <c r="Z108" i="97"/>
  <c r="Z109" i="97" s="1"/>
  <c r="Z111" i="97" s="1"/>
  <c r="Z112" i="97" s="1"/>
  <c r="Z113" i="97" s="1"/>
  <c r="AA105" i="97"/>
  <c r="Z89" i="97"/>
  <c r="Z90" i="97" s="1"/>
  <c r="Z91" i="97" s="1"/>
  <c r="AA87" i="97"/>
  <c r="AA87" i="92"/>
  <c r="Z89" i="92"/>
  <c r="Z90" i="92" s="1"/>
  <c r="Z91" i="92" s="1"/>
  <c r="Z108" i="98"/>
  <c r="Z109" i="98" s="1"/>
  <c r="Z111" i="98" s="1"/>
  <c r="AA105" i="98"/>
  <c r="Z89" i="102"/>
  <c r="Z90" i="102" s="1"/>
  <c r="Z91" i="102" s="1"/>
  <c r="AA87" i="102"/>
  <c r="AA87" i="104"/>
  <c r="Z89" i="104"/>
  <c r="Z90" i="104" s="1"/>
  <c r="Z91" i="104" s="1"/>
  <c r="Y112" i="92"/>
  <c r="Y113" i="92" s="1"/>
  <c r="AA105" i="104"/>
  <c r="Z108" i="104"/>
  <c r="Z109" i="104" s="1"/>
  <c r="Z111" i="104" s="1"/>
  <c r="Z112" i="104" s="1"/>
  <c r="Z113" i="104" s="1"/>
  <c r="AA105" i="103"/>
  <c r="Z108" i="103"/>
  <c r="Z109" i="103" s="1"/>
  <c r="Z111" i="103" s="1"/>
  <c r="Z112" i="103" s="1"/>
  <c r="Z113" i="103" s="1"/>
  <c r="Y90" i="92"/>
  <c r="Y91" i="92" s="1"/>
  <c r="Y90" i="102"/>
  <c r="Y91" i="102" s="1"/>
  <c r="AA105" i="101"/>
  <c r="Z108" i="101"/>
  <c r="Z109" i="101" s="1"/>
  <c r="Z111" i="101" s="1"/>
  <c r="Z112" i="101" s="1"/>
  <c r="Z113" i="101" s="1"/>
  <c r="Z89" i="99"/>
  <c r="Z90" i="99" s="1"/>
  <c r="Z91" i="99" s="1"/>
  <c r="AA87" i="99"/>
  <c r="Y90" i="99"/>
  <c r="Y91" i="99" s="1"/>
  <c r="AA87" i="98"/>
  <c r="Z89" i="98"/>
  <c r="Z90" i="98" s="1"/>
  <c r="Z91" i="98" s="1"/>
  <c r="AA87" i="103"/>
  <c r="Z89" i="103"/>
  <c r="Z90" i="103" s="1"/>
  <c r="Z91" i="103" s="1"/>
  <c r="AA105" i="102"/>
  <c r="Z108" i="102"/>
  <c r="Z109" i="102" s="1"/>
  <c r="Z111" i="102" s="1"/>
  <c r="AA87" i="101"/>
  <c r="Z89" i="101"/>
  <c r="AA105" i="99"/>
  <c r="Z108" i="99"/>
  <c r="Z109" i="99" s="1"/>
  <c r="Z111" i="99" s="1"/>
  <c r="AA87" i="96"/>
  <c r="Z89" i="96"/>
  <c r="Z90" i="96" s="1"/>
  <c r="Z91" i="96" s="1"/>
  <c r="AA105" i="96"/>
  <c r="Z108" i="96"/>
  <c r="Z109" i="96" s="1"/>
  <c r="Z111" i="96" s="1"/>
  <c r="Z112" i="96" s="1"/>
  <c r="Z113" i="96" s="1"/>
  <c r="Y90" i="98"/>
  <c r="Y91" i="98" s="1"/>
  <c r="AA105" i="92"/>
  <c r="Z108" i="92"/>
  <c r="Z109" i="92" s="1"/>
  <c r="Z111" i="92" s="1"/>
  <c r="Z112" i="92" s="1"/>
  <c r="Z113" i="92" s="1"/>
  <c r="Y90" i="96"/>
  <c r="Y91" i="96" s="1"/>
  <c r="T113" i="81"/>
  <c r="U113" i="81" s="1"/>
  <c r="W105" i="81"/>
  <c r="V108" i="81"/>
  <c r="V109" i="81" s="1"/>
  <c r="V111" i="81" s="1"/>
  <c r="V112" i="81" s="1"/>
  <c r="V89" i="81"/>
  <c r="V90" i="81" s="1"/>
  <c r="W87" i="81"/>
  <c r="U91" i="81"/>
  <c r="AB87" i="98" l="1"/>
  <c r="AA89" i="98"/>
  <c r="AA90" i="98" s="1"/>
  <c r="AA91" i="98" s="1"/>
  <c r="AB87" i="96"/>
  <c r="AA89" i="96"/>
  <c r="AA90" i="96" s="1"/>
  <c r="AA91" i="96" s="1"/>
  <c r="AB105" i="103"/>
  <c r="AA108" i="103"/>
  <c r="AA109" i="103" s="1"/>
  <c r="AA111" i="103" s="1"/>
  <c r="AA112" i="103" s="1"/>
  <c r="AA113" i="103" s="1"/>
  <c r="AB87" i="92"/>
  <c r="AA89" i="92"/>
  <c r="AA89" i="103"/>
  <c r="AA90" i="103" s="1"/>
  <c r="AA91" i="103" s="1"/>
  <c r="AB87" i="103"/>
  <c r="AA108" i="98"/>
  <c r="AA109" i="98" s="1"/>
  <c r="AA111" i="98" s="1"/>
  <c r="AA112" i="98" s="1"/>
  <c r="AA113" i="98" s="1"/>
  <c r="AB105" i="98"/>
  <c r="AB87" i="97"/>
  <c r="AA89" i="97"/>
  <c r="AA90" i="97" s="1"/>
  <c r="AA91" i="97" s="1"/>
  <c r="Z112" i="99"/>
  <c r="Z113" i="99" s="1"/>
  <c r="AB87" i="99"/>
  <c r="AA89" i="99"/>
  <c r="AA108" i="104"/>
  <c r="AA109" i="104" s="1"/>
  <c r="AA111" i="104" s="1"/>
  <c r="AA112" i="104" s="1"/>
  <c r="AA113" i="104" s="1"/>
  <c r="AB105" i="104"/>
  <c r="Z90" i="101"/>
  <c r="Z91" i="101" s="1"/>
  <c r="AB87" i="101"/>
  <c r="AA89" i="101"/>
  <c r="AA90" i="101" s="1"/>
  <c r="AA91" i="101" s="1"/>
  <c r="AA108" i="97"/>
  <c r="AA109" i="97" s="1"/>
  <c r="AA111" i="97" s="1"/>
  <c r="AB105" i="97"/>
  <c r="AB105" i="96"/>
  <c r="AA108" i="96"/>
  <c r="AA109" i="96" s="1"/>
  <c r="AA111" i="96" s="1"/>
  <c r="AA112" i="96" s="1"/>
  <c r="AA113" i="96" s="1"/>
  <c r="AB105" i="99"/>
  <c r="AA108" i="99"/>
  <c r="AA109" i="99" s="1"/>
  <c r="AA111" i="99" s="1"/>
  <c r="AA112" i="99" s="1"/>
  <c r="AA113" i="99" s="1"/>
  <c r="Z112" i="98"/>
  <c r="Z113" i="98" s="1"/>
  <c r="AA108" i="101"/>
  <c r="AA109" i="101" s="1"/>
  <c r="AA111" i="101" s="1"/>
  <c r="AB105" i="101"/>
  <c r="AA108" i="92"/>
  <c r="AA109" i="92" s="1"/>
  <c r="AA111" i="92" s="1"/>
  <c r="AA112" i="92" s="1"/>
  <c r="AA113" i="92" s="1"/>
  <c r="AB105" i="92"/>
  <c r="Z112" i="102"/>
  <c r="Z113" i="102" s="1"/>
  <c r="AB87" i="104"/>
  <c r="AA89" i="104"/>
  <c r="AA90" i="104" s="1"/>
  <c r="AA91" i="104" s="1"/>
  <c r="AB105" i="102"/>
  <c r="AA108" i="102"/>
  <c r="AA109" i="102" s="1"/>
  <c r="AA111" i="102" s="1"/>
  <c r="AA112" i="102" s="1"/>
  <c r="AA113" i="102" s="1"/>
  <c r="AA89" i="102"/>
  <c r="AA90" i="102" s="1"/>
  <c r="AA91" i="102" s="1"/>
  <c r="AB87" i="102"/>
  <c r="X87" i="81"/>
  <c r="W89" i="81"/>
  <c r="V113" i="81"/>
  <c r="W108" i="81"/>
  <c r="W109" i="81" s="1"/>
  <c r="W111" i="81" s="1"/>
  <c r="W112" i="81" s="1"/>
  <c r="X105" i="81"/>
  <c r="V91" i="81"/>
  <c r="AA112" i="101" l="1"/>
  <c r="AA113" i="101" s="1"/>
  <c r="AB89" i="92"/>
  <c r="AB90" i="92" s="1"/>
  <c r="AB91" i="92" s="1"/>
  <c r="AC87" i="92"/>
  <c r="AC89" i="92" s="1"/>
  <c r="AC90" i="92" s="1"/>
  <c r="AC91" i="92" s="1"/>
  <c r="AB108" i="96"/>
  <c r="AB109" i="96" s="1"/>
  <c r="AB111" i="96" s="1"/>
  <c r="AB112" i="96" s="1"/>
  <c r="AB113" i="96" s="1"/>
  <c r="AC105" i="96"/>
  <c r="AC108" i="96" s="1"/>
  <c r="AC109" i="96" s="1"/>
  <c r="AC111" i="96" s="1"/>
  <c r="AA90" i="99"/>
  <c r="AA91" i="99" s="1"/>
  <c r="AC87" i="99"/>
  <c r="AC89" i="99" s="1"/>
  <c r="AC90" i="99" s="1"/>
  <c r="AC91" i="99" s="1"/>
  <c r="AB89" i="99"/>
  <c r="AB90" i="99" s="1"/>
  <c r="AB91" i="99" s="1"/>
  <c r="AA90" i="92"/>
  <c r="AA91" i="92" s="1"/>
  <c r="AC105" i="104"/>
  <c r="AC108" i="104" s="1"/>
  <c r="AC109" i="104" s="1"/>
  <c r="AC111" i="104" s="1"/>
  <c r="AB108" i="104"/>
  <c r="AB109" i="104" s="1"/>
  <c r="AB111" i="104" s="1"/>
  <c r="AB112" i="104" s="1"/>
  <c r="AB113" i="104" s="1"/>
  <c r="AA112" i="97"/>
  <c r="AA113" i="97" s="1"/>
  <c r="AC105" i="103"/>
  <c r="AC108" i="103" s="1"/>
  <c r="AC109" i="103" s="1"/>
  <c r="AC111" i="103" s="1"/>
  <c r="AB108" i="103"/>
  <c r="AB109" i="103" s="1"/>
  <c r="AB111" i="103" s="1"/>
  <c r="AB112" i="103" s="1"/>
  <c r="AB113" i="103" s="1"/>
  <c r="AC87" i="102"/>
  <c r="AC89" i="102" s="1"/>
  <c r="AC90" i="102" s="1"/>
  <c r="AC91" i="102" s="1"/>
  <c r="AB89" i="102"/>
  <c r="AB108" i="101"/>
  <c r="AB109" i="101" s="1"/>
  <c r="AB111" i="101" s="1"/>
  <c r="AB112" i="101" s="1"/>
  <c r="AB113" i="101" s="1"/>
  <c r="AC105" i="101"/>
  <c r="AC108" i="101" s="1"/>
  <c r="AC109" i="101" s="1"/>
  <c r="AC111" i="101" s="1"/>
  <c r="AC112" i="101" s="1"/>
  <c r="AC113" i="101" s="1"/>
  <c r="AC87" i="101"/>
  <c r="AC89" i="101" s="1"/>
  <c r="AC90" i="101" s="1"/>
  <c r="AC91" i="101" s="1"/>
  <c r="AB89" i="101"/>
  <c r="AB89" i="96"/>
  <c r="AC87" i="96"/>
  <c r="AC89" i="96" s="1"/>
  <c r="AC90" i="96" s="1"/>
  <c r="AC91" i="96" s="1"/>
  <c r="AC105" i="97"/>
  <c r="AC108" i="97" s="1"/>
  <c r="AC109" i="97" s="1"/>
  <c r="AC111" i="97" s="1"/>
  <c r="AC112" i="97" s="1"/>
  <c r="AC113" i="97" s="1"/>
  <c r="AB108" i="97"/>
  <c r="AB109" i="97" s="1"/>
  <c r="AB111" i="97" s="1"/>
  <c r="AB112" i="97" s="1"/>
  <c r="AB113" i="97" s="1"/>
  <c r="AB89" i="97"/>
  <c r="AC87" i="97"/>
  <c r="AC89" i="97" s="1"/>
  <c r="AC90" i="97" s="1"/>
  <c r="AC91" i="97" s="1"/>
  <c r="AB108" i="99"/>
  <c r="AB109" i="99" s="1"/>
  <c r="AB111" i="99" s="1"/>
  <c r="AB112" i="99" s="1"/>
  <c r="AB113" i="99" s="1"/>
  <c r="AC105" i="99"/>
  <c r="AC108" i="99" s="1"/>
  <c r="AC109" i="99" s="1"/>
  <c r="AC111" i="99" s="1"/>
  <c r="AC112" i="99" s="1"/>
  <c r="AC113" i="99" s="1"/>
  <c r="AC105" i="92"/>
  <c r="AB108" i="92"/>
  <c r="AB109" i="92" s="1"/>
  <c r="AB111" i="92" s="1"/>
  <c r="AB112" i="92" s="1"/>
  <c r="AB113" i="92" s="1"/>
  <c r="M115" i="99"/>
  <c r="N17" i="99" s="1"/>
  <c r="AC105" i="102"/>
  <c r="AC108" i="102" s="1"/>
  <c r="AC109" i="102" s="1"/>
  <c r="AC111" i="102" s="1"/>
  <c r="AC112" i="102" s="1"/>
  <c r="AC113" i="102" s="1"/>
  <c r="AB108" i="102"/>
  <c r="AB109" i="102" s="1"/>
  <c r="AB111" i="102" s="1"/>
  <c r="AB112" i="102" s="1"/>
  <c r="AB113" i="102" s="1"/>
  <c r="AC105" i="98"/>
  <c r="AC108" i="98" s="1"/>
  <c r="AC109" i="98" s="1"/>
  <c r="AC111" i="98" s="1"/>
  <c r="AC112" i="98" s="1"/>
  <c r="AC113" i="98" s="1"/>
  <c r="AB108" i="98"/>
  <c r="AB109" i="98" s="1"/>
  <c r="AB111" i="98" s="1"/>
  <c r="AB89" i="98"/>
  <c r="AC87" i="98"/>
  <c r="AC89" i="98" s="1"/>
  <c r="AC90" i="98" s="1"/>
  <c r="AC91" i="98" s="1"/>
  <c r="AC87" i="103"/>
  <c r="AC89" i="103" s="1"/>
  <c r="AB89" i="103"/>
  <c r="AB90" i="103" s="1"/>
  <c r="AB91" i="103" s="1"/>
  <c r="AC87" i="104"/>
  <c r="AC89" i="104" s="1"/>
  <c r="AB89" i="104"/>
  <c r="AB90" i="104" s="1"/>
  <c r="AB91" i="104" s="1"/>
  <c r="W90" i="81"/>
  <c r="W91" i="81" s="1"/>
  <c r="X108" i="81"/>
  <c r="X109" i="81" s="1"/>
  <c r="X111" i="81" s="1"/>
  <c r="X112" i="81" s="1"/>
  <c r="Y105" i="81"/>
  <c r="Y87" i="81"/>
  <c r="X89" i="81"/>
  <c r="X90" i="81" s="1"/>
  <c r="X91" i="81" s="1"/>
  <c r="W113" i="81"/>
  <c r="M115" i="102" l="1"/>
  <c r="N17" i="102" s="1"/>
  <c r="AC108" i="92"/>
  <c r="AC109" i="92" s="1"/>
  <c r="AC111" i="92" s="1"/>
  <c r="AB90" i="102"/>
  <c r="AB91" i="102" s="1"/>
  <c r="M93" i="102"/>
  <c r="N10" i="102" s="1"/>
  <c r="M93" i="99"/>
  <c r="N10" i="99" s="1"/>
  <c r="AC90" i="104"/>
  <c r="AC91" i="104" s="1"/>
  <c r="M93" i="104"/>
  <c r="N10" i="104" s="1"/>
  <c r="AC90" i="103"/>
  <c r="AC91" i="103" s="1"/>
  <c r="M93" i="103"/>
  <c r="N10" i="103" s="1"/>
  <c r="AC112" i="96"/>
  <c r="AC113" i="96" s="1"/>
  <c r="M115" i="96"/>
  <c r="N17" i="96" s="1"/>
  <c r="AB112" i="98"/>
  <c r="AB113" i="98" s="1"/>
  <c r="M115" i="98"/>
  <c r="N17" i="98" s="1"/>
  <c r="AB90" i="98"/>
  <c r="AB91" i="98" s="1"/>
  <c r="M93" i="98"/>
  <c r="N10" i="98" s="1"/>
  <c r="AB90" i="97"/>
  <c r="AB91" i="97" s="1"/>
  <c r="M93" i="97"/>
  <c r="N10" i="97" s="1"/>
  <c r="AC112" i="103"/>
  <c r="AC113" i="103" s="1"/>
  <c r="M115" i="103"/>
  <c r="N17" i="103" s="1"/>
  <c r="M115" i="97"/>
  <c r="N17" i="97" s="1"/>
  <c r="AB90" i="96"/>
  <c r="AB91" i="96" s="1"/>
  <c r="M93" i="96"/>
  <c r="N10" i="96" s="1"/>
  <c r="AC112" i="104"/>
  <c r="AC113" i="104" s="1"/>
  <c r="M115" i="104"/>
  <c r="N17" i="104" s="1"/>
  <c r="M115" i="101"/>
  <c r="N17" i="101" s="1"/>
  <c r="AB90" i="101"/>
  <c r="AB91" i="101" s="1"/>
  <c r="M93" i="101"/>
  <c r="N10" i="101" s="1"/>
  <c r="M93" i="92"/>
  <c r="N10" i="92" s="1"/>
  <c r="X113" i="81"/>
  <c r="Z105" i="81"/>
  <c r="Y108" i="81"/>
  <c r="Y109" i="81" s="1"/>
  <c r="Y111" i="81" s="1"/>
  <c r="Y112" i="81" s="1"/>
  <c r="Y113" i="81" s="1"/>
  <c r="Z87" i="81"/>
  <c r="Y89" i="81"/>
  <c r="Y90" i="81" s="1"/>
  <c r="Y91" i="81" s="1"/>
  <c r="AC112" i="92" l="1"/>
  <c r="AC113" i="92" s="1"/>
  <c r="M115" i="92"/>
  <c r="N17" i="92" s="1"/>
  <c r="Z89" i="81"/>
  <c r="AA87" i="81"/>
  <c r="AA105" i="81"/>
  <c r="Z108" i="81"/>
  <c r="Z109" i="81" s="1"/>
  <c r="Z111" i="81" s="1"/>
  <c r="Z112" i="81" s="1"/>
  <c r="AB105" i="81" l="1"/>
  <c r="AA108" i="81"/>
  <c r="AA109" i="81" s="1"/>
  <c r="AA111" i="81" s="1"/>
  <c r="AA112" i="81" s="1"/>
  <c r="AB87" i="81"/>
  <c r="AA89" i="81"/>
  <c r="AA90" i="81" s="1"/>
  <c r="Z90" i="81"/>
  <c r="Z91" i="81" s="1"/>
  <c r="Z113" i="81" l="1"/>
  <c r="AA91" i="81"/>
  <c r="AA113" i="81"/>
  <c r="AC87" i="81"/>
  <c r="AC89" i="81" s="1"/>
  <c r="AB89" i="81"/>
  <c r="AB90" i="81" s="1"/>
  <c r="AB108" i="81"/>
  <c r="AB109" i="81" s="1"/>
  <c r="AB111" i="81" s="1"/>
  <c r="AB112" i="81" s="1"/>
  <c r="AC105" i="81"/>
  <c r="AC108" i="81" s="1"/>
  <c r="AC109" i="81" s="1"/>
  <c r="AC111" i="81" s="1"/>
  <c r="AB91" i="81" l="1"/>
  <c r="AC90" i="81"/>
  <c r="AC91" i="81" s="1"/>
  <c r="M93" i="81"/>
  <c r="N10" i="81" s="1"/>
  <c r="AC112" i="81"/>
  <c r="M115" i="81"/>
  <c r="N17" i="81" s="1"/>
  <c r="AB113" i="81"/>
  <c r="F5" i="79" l="1"/>
  <c r="F6" i="79"/>
  <c r="AC113" i="81"/>
  <c r="B3" i="17"/>
  <c r="C1" i="83" l="1"/>
  <c r="C1" i="105"/>
  <c r="F7" i="17"/>
  <c r="F30" i="83" l="1"/>
  <c r="Z7" i="83" l="1"/>
  <c r="Z16" i="83"/>
  <c r="Z12" i="83"/>
  <c r="Z9" i="83"/>
  <c r="Z15" i="83"/>
  <c r="Z13" i="83"/>
  <c r="Z10" i="83"/>
  <c r="Z6" i="83"/>
  <c r="E7" i="17"/>
  <c r="F8" i="17"/>
  <c r="F11" i="17" s="1"/>
  <c r="C18" i="44"/>
  <c r="C31" i="83" l="1"/>
  <c r="D31" i="83"/>
  <c r="AL16" i="83" l="1"/>
  <c r="AL12" i="83"/>
  <c r="AL6" i="83"/>
  <c r="AL10" i="83"/>
  <c r="AL13" i="83"/>
  <c r="AL7" i="83"/>
  <c r="AL15" i="83"/>
  <c r="AL9" i="83"/>
  <c r="AK10" i="83"/>
  <c r="AK13" i="83"/>
  <c r="AK15" i="83"/>
  <c r="AK9" i="83"/>
  <c r="AK16" i="83"/>
  <c r="AK12" i="83"/>
  <c r="AK6" i="83"/>
  <c r="AK7" i="83"/>
  <c r="E31" i="83"/>
  <c r="H31" i="83" s="1"/>
  <c r="E30" i="83"/>
  <c r="H30" i="83" l="1"/>
  <c r="G30" i="83"/>
  <c r="G31" i="83"/>
  <c r="AM13" i="83"/>
  <c r="AM7" i="83"/>
  <c r="AM16" i="83"/>
  <c r="AM12" i="83"/>
  <c r="AM15" i="83"/>
  <c r="AM9" i="83"/>
  <c r="AM10" i="83"/>
  <c r="AM6" i="83"/>
  <c r="Y16" i="83"/>
  <c r="Y15" i="83"/>
  <c r="Y13" i="83"/>
  <c r="Y12" i="83"/>
  <c r="Y10" i="83"/>
  <c r="Y9" i="83"/>
  <c r="Y7" i="83"/>
  <c r="Y6" i="83"/>
  <c r="E35" i="83"/>
  <c r="E36" i="83"/>
  <c r="AO10" i="83" l="1"/>
  <c r="AO7" i="83"/>
  <c r="AO16" i="83"/>
  <c r="AO12" i="83"/>
  <c r="AO6" i="83"/>
  <c r="AO13" i="83"/>
  <c r="AO15" i="83"/>
  <c r="AO9" i="83"/>
  <c r="AA13" i="83"/>
  <c r="AA6" i="83"/>
  <c r="AA7" i="83"/>
  <c r="AA16" i="83"/>
  <c r="AA10" i="83"/>
  <c r="AA12" i="83"/>
  <c r="AA9" i="83"/>
  <c r="AA15" i="83"/>
  <c r="E37" i="83"/>
  <c r="L6" i="79" l="1"/>
  <c r="K6" i="79"/>
  <c r="D15" i="79" l="1"/>
  <c r="AD15" i="84"/>
  <c r="AD26" i="84" s="1"/>
  <c r="F15" i="79"/>
  <c r="X15" i="84"/>
  <c r="X26" i="84" s="1"/>
  <c r="AT11" i="83"/>
  <c r="AT8" i="83"/>
  <c r="T13" i="83" l="1"/>
  <c r="T10" i="83"/>
  <c r="U13" i="83"/>
  <c r="U9" i="83"/>
  <c r="U12" i="83"/>
  <c r="T12" i="83"/>
  <c r="T9" i="83"/>
  <c r="U10" i="83"/>
  <c r="AI11" i="83" l="1"/>
  <c r="AI8" i="83"/>
  <c r="AX11" i="83" l="1"/>
  <c r="AX8" i="83"/>
  <c r="D17" i="83" l="1"/>
  <c r="D25" i="83" s="1"/>
  <c r="C17" i="83"/>
  <c r="C25" i="83" s="1"/>
  <c r="F17" i="83"/>
  <c r="E27" i="83"/>
  <c r="H17" i="83"/>
  <c r="F38" i="83" l="1"/>
  <c r="F36" i="83"/>
  <c r="F35" i="83"/>
  <c r="F11" i="84" s="1"/>
  <c r="G39" i="84" s="1"/>
  <c r="I39" i="84" s="1"/>
  <c r="J39" i="84" s="1"/>
  <c r="K39" i="84" s="1"/>
  <c r="C38" i="83"/>
  <c r="C35" i="83"/>
  <c r="C36" i="83"/>
  <c r="F7" i="84" s="1"/>
  <c r="Z17" i="83"/>
  <c r="AN18" i="83"/>
  <c r="Z18" i="83"/>
  <c r="AK17" i="83"/>
  <c r="X17" i="83"/>
  <c r="W18" i="83"/>
  <c r="F27" i="83"/>
  <c r="W17" i="83"/>
  <c r="Y17" i="83"/>
  <c r="X18" i="83"/>
  <c r="AM18" i="83"/>
  <c r="AM17" i="83"/>
  <c r="AL17" i="83"/>
  <c r="AL18" i="83"/>
  <c r="AN17" i="83"/>
  <c r="Y18" i="83"/>
  <c r="AK18" i="83"/>
  <c r="G7" i="84" l="1"/>
  <c r="F36" i="84" s="1"/>
  <c r="F37" i="84" s="1"/>
  <c r="G36" i="84"/>
  <c r="I36" i="84" s="1"/>
  <c r="AC18" i="83"/>
  <c r="AR18" i="83"/>
  <c r="AP16" i="83"/>
  <c r="AP12" i="83"/>
  <c r="AP6" i="83"/>
  <c r="AS6" i="83" s="1"/>
  <c r="AP9" i="83"/>
  <c r="AP13" i="83"/>
  <c r="AP7" i="83"/>
  <c r="AS7" i="83" s="1"/>
  <c r="AP15" i="83"/>
  <c r="AP10" i="83"/>
  <c r="AB16" i="83"/>
  <c r="AB6" i="83"/>
  <c r="AB10" i="83"/>
  <c r="AB13" i="83"/>
  <c r="AB9" i="83"/>
  <c r="AB7" i="83"/>
  <c r="AD7" i="83" s="1"/>
  <c r="AB15" i="83"/>
  <c r="AB12" i="83"/>
  <c r="F37" i="83"/>
  <c r="D38" i="83"/>
  <c r="H38" i="83" s="1"/>
  <c r="D35" i="83"/>
  <c r="H35" i="83" s="1"/>
  <c r="D36" i="83"/>
  <c r="D27" i="83"/>
  <c r="C37" i="83"/>
  <c r="AW13" i="83"/>
  <c r="AU12" i="83"/>
  <c r="AD12" i="83"/>
  <c r="AI12" i="83" s="1"/>
  <c r="AD13" i="83"/>
  <c r="AH13" i="83" s="1"/>
  <c r="AD10" i="83"/>
  <c r="AH10" i="83" s="1"/>
  <c r="AD9" i="83"/>
  <c r="AH9" i="83" s="1"/>
  <c r="AU9" i="83"/>
  <c r="AX10" i="83"/>
  <c r="AF12" i="83"/>
  <c r="AH12" i="83"/>
  <c r="AX9" i="83"/>
  <c r="AF9" i="83"/>
  <c r="AU10" i="83"/>
  <c r="AW10" i="83"/>
  <c r="AI10" i="83"/>
  <c r="AF10" i="83"/>
  <c r="C27" i="83"/>
  <c r="G78" i="104" l="1"/>
  <c r="G78" i="103"/>
  <c r="H36" i="83"/>
  <c r="H88" i="97" s="1"/>
  <c r="F4" i="84"/>
  <c r="G35" i="84" s="1"/>
  <c r="H88" i="102"/>
  <c r="H88" i="98"/>
  <c r="G88" i="98"/>
  <c r="G88" i="99"/>
  <c r="H88" i="99"/>
  <c r="G88" i="101"/>
  <c r="G88" i="102"/>
  <c r="H88" i="101"/>
  <c r="B45" i="83"/>
  <c r="F10" i="84"/>
  <c r="G78" i="101"/>
  <c r="G78" i="98"/>
  <c r="G78" i="102"/>
  <c r="G78" i="97"/>
  <c r="G78" i="99"/>
  <c r="G78" i="96"/>
  <c r="G78" i="81"/>
  <c r="AF7" i="83"/>
  <c r="P7" i="83" s="1"/>
  <c r="P7" i="105" s="1"/>
  <c r="T7" i="105" s="1"/>
  <c r="AU7" i="83"/>
  <c r="Q7" i="83" s="1"/>
  <c r="AU6" i="83"/>
  <c r="Q6" i="83" s="1"/>
  <c r="U6" i="83" s="1"/>
  <c r="D37" i="83"/>
  <c r="B44" i="83"/>
  <c r="H37" i="83"/>
  <c r="AP17" i="83"/>
  <c r="AI9" i="83"/>
  <c r="AF13" i="83"/>
  <c r="AI13" i="83"/>
  <c r="AU13" i="83"/>
  <c r="AW12" i="83"/>
  <c r="AX12" i="83"/>
  <c r="AX13" i="83"/>
  <c r="AW9" i="83"/>
  <c r="AO17" i="83"/>
  <c r="AA17" i="83"/>
  <c r="AB17" i="83"/>
  <c r="AD6" i="83"/>
  <c r="G88" i="81" l="1"/>
  <c r="G88" i="96"/>
  <c r="G88" i="97"/>
  <c r="G37" i="84"/>
  <c r="I35" i="84"/>
  <c r="I37" i="84" s="1"/>
  <c r="G88" i="104"/>
  <c r="H88" i="104"/>
  <c r="H88" i="103"/>
  <c r="G88" i="103"/>
  <c r="AH7" i="105"/>
  <c r="H88" i="96"/>
  <c r="AR17" i="83"/>
  <c r="U7" i="83"/>
  <c r="AW7" i="83" s="1"/>
  <c r="T7" i="83"/>
  <c r="AH7" i="83" s="1"/>
  <c r="AW6" i="83"/>
  <c r="F11" i="79"/>
  <c r="AS18" i="83"/>
  <c r="H88" i="81"/>
  <c r="AD14" i="83"/>
  <c r="AF6" i="83"/>
  <c r="P6" i="83" s="1"/>
  <c r="P6" i="105" s="1"/>
  <c r="T6" i="105" s="1"/>
  <c r="AS14" i="83"/>
  <c r="AC17" i="83"/>
  <c r="AD18" i="83"/>
  <c r="D11" i="79"/>
  <c r="AH6" i="105" l="1"/>
  <c r="T17" i="105"/>
  <c r="U17" i="83"/>
  <c r="AX7" i="83" s="1"/>
  <c r="T6" i="83"/>
  <c r="T17" i="83" s="1"/>
  <c r="AI7" i="83" s="1"/>
  <c r="F12" i="79"/>
  <c r="T5" i="79" s="1"/>
  <c r="AE6" i="83"/>
  <c r="AT7" i="83"/>
  <c r="AT13" i="83"/>
  <c r="AT9" i="83"/>
  <c r="AT12" i="83"/>
  <c r="AT6" i="83"/>
  <c r="AT10" i="83"/>
  <c r="AE13" i="83"/>
  <c r="AE9" i="83"/>
  <c r="AE12" i="83"/>
  <c r="AE7" i="83"/>
  <c r="AE10" i="83"/>
  <c r="B50" i="83" l="1"/>
  <c r="B51" i="83" s="1"/>
  <c r="AH6" i="83"/>
  <c r="B43" i="105"/>
  <c r="B49" i="105" s="1"/>
  <c r="AI7" i="105"/>
  <c r="AX6" i="83"/>
  <c r="AX14" i="83" s="1"/>
  <c r="AI6" i="105"/>
  <c r="AI14" i="105" s="1"/>
  <c r="H78" i="104"/>
  <c r="H78" i="103"/>
  <c r="H78" i="98"/>
  <c r="H78" i="99"/>
  <c r="H78" i="101"/>
  <c r="H78" i="102"/>
  <c r="F9" i="84"/>
  <c r="G38" i="84" s="1"/>
  <c r="H78" i="97"/>
  <c r="H78" i="96"/>
  <c r="T6" i="79"/>
  <c r="B43" i="83"/>
  <c r="B49" i="83" s="1"/>
  <c r="D12" i="79"/>
  <c r="S5" i="79" s="1"/>
  <c r="AI6" i="83"/>
  <c r="AI14" i="83" s="1"/>
  <c r="H78" i="81"/>
  <c r="F13" i="79"/>
  <c r="G15" i="79"/>
  <c r="H15" i="79" s="1"/>
  <c r="G13" i="79"/>
  <c r="AE14" i="83"/>
  <c r="AT14" i="83"/>
  <c r="G42" i="84" l="1"/>
  <c r="G44" i="84"/>
  <c r="I38" i="84"/>
  <c r="I44" i="84" s="1"/>
  <c r="G43" i="84"/>
  <c r="E13" i="79"/>
  <c r="E15" i="79"/>
  <c r="D13" i="79"/>
  <c r="S6" i="79"/>
  <c r="I42" i="84" l="1"/>
  <c r="I43" i="84"/>
  <c r="C72" i="92"/>
  <c r="C82" i="92" s="1"/>
  <c r="G82" i="92" s="1"/>
  <c r="G72" i="92" l="1"/>
  <c r="I16" i="84"/>
  <c r="Y16" i="84" s="1"/>
  <c r="C74" i="92"/>
  <c r="C84" i="92" s="1"/>
  <c r="G84" i="92" s="1"/>
  <c r="C73" i="92"/>
  <c r="G73" i="92" s="1"/>
  <c r="C83" i="92"/>
  <c r="G83" i="92" s="1"/>
  <c r="F23" i="92"/>
  <c r="Y26" i="84" l="1"/>
  <c r="J36" i="84" s="1"/>
  <c r="K36" i="84" s="1"/>
  <c r="F16" i="84"/>
  <c r="P16" i="84" s="1"/>
  <c r="G87" i="92"/>
  <c r="G74" i="92"/>
  <c r="G77" i="92" s="1"/>
  <c r="P26" i="84" l="1"/>
  <c r="J35" i="84" s="1"/>
  <c r="G78" i="92"/>
  <c r="H78" i="92"/>
  <c r="J16" i="84"/>
  <c r="AB16" i="84" s="1"/>
  <c r="AB26" i="84" s="1"/>
  <c r="H88" i="92"/>
  <c r="G88" i="92"/>
  <c r="K35" i="84" l="1"/>
  <c r="K37" i="84" s="1"/>
  <c r="J37" i="84"/>
  <c r="J38" i="84"/>
  <c r="J43" i="84" l="1"/>
  <c r="K38" i="84"/>
  <c r="K43" i="84" s="1"/>
  <c r="J42" i="84"/>
  <c r="J44" i="84"/>
  <c r="K44" i="84"/>
  <c r="K42" i="8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Jean-Benoit Verbeke</author>
  </authors>
  <commentList>
    <comment ref="F7" authorId="0" shapeId="0" xr:uid="{B49F6BF2-40F3-4C28-A8FF-A4206DE89E37}">
      <text>
        <r>
          <rPr>
            <b/>
            <sz val="9"/>
            <color indexed="81"/>
            <rFont val="Tahoma"/>
            <family val="2"/>
          </rPr>
          <t>Jean-Benoit Verbeke:</t>
        </r>
        <r>
          <rPr>
            <sz val="9"/>
            <color indexed="81"/>
            <rFont val="Tahoma"/>
            <family val="2"/>
          </rPr>
          <t xml:space="preserve">
Idem bois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tc={182FFEE0-0990-4151-BA76-2781471CF1D6}</author>
  </authors>
  <commentList>
    <comment ref="AI3" authorId="0" shapeId="0" xr:uid="{182FFEE0-0990-4151-BA76-2781471CF1D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(CRAp - CREp)/CRAg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tc={93C353C0-718A-430A-B604-64F4C10BAAFA}</author>
  </authors>
  <commentList>
    <comment ref="AI3" authorId="0" shapeId="0" xr:uid="{93C353C0-718A-430A-B604-64F4C10BAAFA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(CRAp - CREp)/CRAg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tc={9F5D987C-3A82-41BB-ACC9-116832BABFF4}</author>
  </authors>
  <commentList>
    <comment ref="F41" authorId="0" shapeId="0" xr:uid="{9F5D987C-3A82-41BB-ACC9-116832BABFF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mettre à jour éventuellement par retro-engineering sur ADB2 2023/2005 avec les coefficients CC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<sst xmlns="http://schemas.openxmlformats.org/spreadsheetml/2006/main" count="2226" uniqueCount="398">
  <si>
    <t>Template AMUREBA</t>
  </si>
  <si>
    <t>NOM DE L'ENTITE</t>
  </si>
  <si>
    <t>www.pirotech.be</t>
  </si>
  <si>
    <t>Facteur de conversion</t>
  </si>
  <si>
    <t>Nom de l'entité :</t>
  </si>
  <si>
    <t>Energies approvisionnées</t>
  </si>
  <si>
    <t>ELEC</t>
  </si>
  <si>
    <t>GZN</t>
  </si>
  <si>
    <t>MAZ</t>
  </si>
  <si>
    <t>SER</t>
  </si>
  <si>
    <t>Emissions process</t>
  </si>
  <si>
    <t>Electricité 
achetée</t>
  </si>
  <si>
    <t>Gaz Naturel</t>
  </si>
  <si>
    <t>Fuel léger</t>
  </si>
  <si>
    <t>Biogaz</t>
  </si>
  <si>
    <t>Elec SER</t>
  </si>
  <si>
    <t>Process</t>
  </si>
  <si>
    <t>kWh</t>
  </si>
  <si>
    <t>kWhs</t>
  </si>
  <si>
    <t>litres</t>
  </si>
  <si>
    <t>kgCO2</t>
  </si>
  <si>
    <t xml:space="preserve">Facteur de conversion en énergie primaire </t>
  </si>
  <si>
    <t>GJp/Unité</t>
  </si>
  <si>
    <t>Facteur d'émission CO2 sur PCI</t>
  </si>
  <si>
    <t>kgCO2/ GJi</t>
  </si>
  <si>
    <t>Rapport PCI/PCS</t>
  </si>
  <si>
    <t>kWhi/kWhf</t>
  </si>
  <si>
    <t xml:space="preserve">Facteur de conversion en énergie finale </t>
  </si>
  <si>
    <t>kWhf/Unité</t>
  </si>
  <si>
    <t>Facteur d'émission CO2 sur PCS</t>
  </si>
  <si>
    <t>kgCO2/ GJs</t>
  </si>
  <si>
    <t xml:space="preserve">Facteur de conversion en CO2 </t>
  </si>
  <si>
    <t>kgCO2/Unité</t>
  </si>
  <si>
    <t>Prix (moyenne 2023)</t>
  </si>
  <si>
    <t>€/Unité</t>
  </si>
  <si>
    <t>Paramètres économiques</t>
  </si>
  <si>
    <t>Paramètre</t>
  </si>
  <si>
    <t>Données</t>
  </si>
  <si>
    <t>Source</t>
  </si>
  <si>
    <t>Taux d'actualisation</t>
  </si>
  <si>
    <t>SPW</t>
  </si>
  <si>
    <t>Taux d'indexation</t>
  </si>
  <si>
    <t>Indice à la consommation lissé 2023</t>
  </si>
  <si>
    <t>Impot des sociétés</t>
  </si>
  <si>
    <t>ISOC</t>
  </si>
  <si>
    <t>Prix à la consommation | Statbel (fgov.be)</t>
  </si>
  <si>
    <t>Déductions fiscales</t>
  </si>
  <si>
    <t>SPF</t>
  </si>
  <si>
    <t>Durée de vie économique et d'amortissement de l'action d'amélioration</t>
  </si>
  <si>
    <t>Poste</t>
  </si>
  <si>
    <t>Descritption</t>
  </si>
  <si>
    <t>Durée de vie économique</t>
  </si>
  <si>
    <t>Durée d'amortissement conseillée</t>
  </si>
  <si>
    <t>Consommables &amp; comportements</t>
  </si>
  <si>
    <t>Eclairage, bureautique, automatisation, régulation, optimisation de process</t>
  </si>
  <si>
    <t>Elements techniques</t>
  </si>
  <si>
    <t xml:space="preserve">Eléments de production et procédés industriels ( moteur, bruleurs, compresseurs, ventilateurs, groupes frigorifiques, éléments de chauffage, isolation, réfractaire, PAC, Solaire thermique, cogénération,..) </t>
  </si>
  <si>
    <t>Infrastructures lourdes</t>
  </si>
  <si>
    <t>Travaux d’infrastructure lourde &amp; de génie civil (bâtiment, process industriel, réseau énergétique, PV, éolien, géothermie, hydroélectricité, Biométhanisation,…)</t>
  </si>
  <si>
    <t xml:space="preserve">DEGRES-JOURS 16.5 </t>
  </si>
  <si>
    <t>janvier</t>
  </si>
  <si>
    <t>fevrier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</si>
  <si>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</si>
  <si>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</si>
  <si>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</si>
  <si>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</si>
  <si>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</si>
  <si>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</si>
  <si>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</si>
  <si>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</si>
  <si>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</si>
  <si>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</si>
  <si>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année</t>
  </si>
  <si>
    <t>source:</t>
  </si>
  <si>
    <t>https://www.gas.be/fr/degr%C3%A9s-jours</t>
  </si>
  <si>
    <t>La liste peut être complétée</t>
  </si>
  <si>
    <t>Catégories d'AA</t>
  </si>
  <si>
    <t>Conditions préalables</t>
  </si>
  <si>
    <t>Classification</t>
  </si>
  <si>
    <t>Jalon</t>
  </si>
  <si>
    <t>CCS</t>
  </si>
  <si>
    <t>NA</t>
  </si>
  <si>
    <t>R</t>
  </si>
  <si>
    <t>CCU</t>
  </si>
  <si>
    <t>Absence impact sur produit à démontrer</t>
  </si>
  <si>
    <t>A</t>
  </si>
  <si>
    <t>Chaleur fatale</t>
  </si>
  <si>
    <t>Coût du vecteur énergétique</t>
  </si>
  <si>
    <t>B</t>
  </si>
  <si>
    <t>Changement procédé</t>
  </si>
  <si>
    <t>Disponibilité du vecteur énergétique</t>
  </si>
  <si>
    <t>Z</t>
  </si>
  <si>
    <t>COGEN  SER</t>
  </si>
  <si>
    <t>Infrastructure (disponibilité, coût, …)</t>
  </si>
  <si>
    <t>COGEN fossile</t>
  </si>
  <si>
    <t>Investissement disproportionné</t>
  </si>
  <si>
    <t>Economie circulaire</t>
  </si>
  <si>
    <t>Permis  environnement/unique</t>
  </si>
  <si>
    <t>Efficacité Energétique</t>
  </si>
  <si>
    <t xml:space="preserve">Poids C du mix électrique </t>
  </si>
  <si>
    <t>Electrification</t>
  </si>
  <si>
    <t>R&amp;D</t>
  </si>
  <si>
    <t>Fluide frigorigène</t>
  </si>
  <si>
    <t>Rentabilité économique à démontrer</t>
  </si>
  <si>
    <t>Fuel Switch</t>
  </si>
  <si>
    <t>Standstill législatif/norme nécessaire</t>
  </si>
  <si>
    <t>H2</t>
  </si>
  <si>
    <t>Modal shift transport</t>
  </si>
  <si>
    <t>PPA</t>
  </si>
  <si>
    <t>Réseau chaleur</t>
  </si>
  <si>
    <t>SER biomasse, biogaz, e-fuel</t>
  </si>
  <si>
    <t>SER PV, éolien, géothermie, solaire</t>
  </si>
  <si>
    <t>Energie finale</t>
  </si>
  <si>
    <t>Emissions CO2</t>
  </si>
  <si>
    <t>Année :</t>
  </si>
  <si>
    <t>Utilités</t>
  </si>
  <si>
    <t>Emissions Process</t>
  </si>
  <si>
    <t>Facteurs d'influence</t>
  </si>
  <si>
    <t>Spécifiques</t>
  </si>
  <si>
    <t>Actualisés</t>
  </si>
  <si>
    <t>Finale</t>
  </si>
  <si>
    <t>AEE partiel</t>
  </si>
  <si>
    <t>Procédé</t>
  </si>
  <si>
    <t>ACO2 partiel</t>
  </si>
  <si>
    <t>Utilité 1</t>
  </si>
  <si>
    <t>Utilité 2</t>
  </si>
  <si>
    <t>FI</t>
  </si>
  <si>
    <t>Description</t>
  </si>
  <si>
    <t>Valeur</t>
  </si>
  <si>
    <t>Unités</t>
  </si>
  <si>
    <t>CS Réf</t>
  </si>
  <si>
    <t>ES Réf</t>
  </si>
  <si>
    <t>Somme 
par usage</t>
  </si>
  <si>
    <t>%</t>
  </si>
  <si>
    <t>Consommations spécifiques</t>
  </si>
  <si>
    <t>Partiel</t>
  </si>
  <si>
    <t>Réparti</t>
  </si>
  <si>
    <t>Emissions spécifiques</t>
  </si>
  <si>
    <t>Unité 1</t>
  </si>
  <si>
    <t>Unité 2</t>
  </si>
  <si>
    <t>MWh/unité</t>
  </si>
  <si>
    <t>kgCO2/unité</t>
  </si>
  <si>
    <t>MWh</t>
  </si>
  <si>
    <t>Activité opérationnelle</t>
  </si>
  <si>
    <t>Usage 1</t>
  </si>
  <si>
    <t>Description 1</t>
  </si>
  <si>
    <t>tonnes</t>
  </si>
  <si>
    <t>Usage 2 - Froid</t>
  </si>
  <si>
    <t>Description 2</t>
  </si>
  <si>
    <t>Bâtiments</t>
  </si>
  <si>
    <t>Transport</t>
  </si>
  <si>
    <t>Utilité</t>
  </si>
  <si>
    <t>Totaux</t>
  </si>
  <si>
    <t>Factures / Compteur entrée</t>
  </si>
  <si>
    <t>Prix  (€/unité)</t>
  </si>
  <si>
    <t>Export</t>
  </si>
  <si>
    <r>
      <rPr>
        <sz val="10"/>
        <rFont val="Arial"/>
        <family val="2"/>
      </rPr>
      <t>Stock</t>
    </r>
    <r>
      <rPr>
        <sz val="10"/>
        <rFont val="Arial"/>
        <family val="1"/>
        <charset val="2"/>
      </rPr>
      <t xml:space="preserve"> final - Stock initial</t>
    </r>
  </si>
  <si>
    <t>Total du périmètre</t>
  </si>
  <si>
    <t>Difference Calcul / Factures</t>
  </si>
  <si>
    <t>Difference en %</t>
  </si>
  <si>
    <t>Facteur de conversion énergie finale (kWhf/Unité)</t>
  </si>
  <si>
    <t>Facteur de conversion CO2 (kgCO2/Unité)</t>
  </si>
  <si>
    <t>MWhf</t>
  </si>
  <si>
    <t>Emissions de CO2</t>
  </si>
  <si>
    <t>Intensité carbone</t>
  </si>
  <si>
    <t>kgCO2/MWhf</t>
  </si>
  <si>
    <t>Prix</t>
  </si>
  <si>
    <t>€</t>
  </si>
  <si>
    <t>Indices principaux</t>
  </si>
  <si>
    <t>IEE</t>
  </si>
  <si>
    <t>Intensité Carbone (IC)</t>
  </si>
  <si>
    <t>iSER</t>
  </si>
  <si>
    <t>Indices secondaires</t>
  </si>
  <si>
    <t>AEE</t>
  </si>
  <si>
    <t>iCO2</t>
  </si>
  <si>
    <t>ACO2</t>
  </si>
  <si>
    <t>année de référence</t>
  </si>
  <si>
    <t>émissions directes</t>
  </si>
  <si>
    <t>émissions directes CO2 (usages énergétiques)</t>
  </si>
  <si>
    <t>tCO2</t>
  </si>
  <si>
    <t>émissions directes CO2 de process et froid</t>
  </si>
  <si>
    <t>émissions indirectes</t>
  </si>
  <si>
    <t xml:space="preserve">émissions liées à l'électricité CO2 </t>
  </si>
  <si>
    <t>Consommations énergétiques</t>
  </si>
  <si>
    <t>consommations énergétiques théoriques</t>
  </si>
  <si>
    <t>consommations énergétiques réelles</t>
  </si>
  <si>
    <t>consommation SER</t>
  </si>
  <si>
    <t>Calcul à masquer</t>
  </si>
  <si>
    <t>émissions  dir process</t>
  </si>
  <si>
    <t>émissions  dir autres</t>
  </si>
  <si>
    <t>Amélioration</t>
  </si>
  <si>
    <t>Type d'amélioration</t>
  </si>
  <si>
    <t>Gain combustibles 
(tCO2)</t>
  </si>
  <si>
    <t>Réductions émissions directes process 
(tCO2eq)</t>
  </si>
  <si>
    <t>Gain élec 
(tCO2)</t>
  </si>
  <si>
    <t>Gain énergie 
(MWh)</t>
  </si>
  <si>
    <t>Gain SER 
(MWh)</t>
  </si>
  <si>
    <t>Condition préalable 1</t>
  </si>
  <si>
    <t>Condition préalable 2</t>
  </si>
  <si>
    <t>Condition préalable 3</t>
  </si>
  <si>
    <t>Vision neutralité carbone</t>
  </si>
  <si>
    <t>émissions combustibles</t>
  </si>
  <si>
    <t>tCO2eq</t>
  </si>
  <si>
    <t>émissions électricité</t>
  </si>
  <si>
    <t>émissions totales</t>
  </si>
  <si>
    <t>consommations énergétiques</t>
  </si>
  <si>
    <t>Consommation SER</t>
  </si>
  <si>
    <t>Indices</t>
  </si>
  <si>
    <t>IEE (%)</t>
  </si>
  <si>
    <t>Intensité carbone (tCO2/MWh)</t>
  </si>
  <si>
    <t>ISER (%)</t>
  </si>
  <si>
    <t>N° ordre</t>
  </si>
  <si>
    <t>N° référence amél</t>
  </si>
  <si>
    <t>Intitulé</t>
  </si>
  <si>
    <t>Invest.</t>
  </si>
  <si>
    <t>Economie</t>
  </si>
  <si>
    <t>Ef</t>
  </si>
  <si>
    <t>CO2</t>
  </si>
  <si>
    <t>Economies en vecteurs énergétiques</t>
  </si>
  <si>
    <t>Econo non-</t>
  </si>
  <si>
    <t>Éventuelle liaison</t>
  </si>
  <si>
    <t>Remarques et commentaires</t>
  </si>
  <si>
    <t>Gain sur énergie</t>
  </si>
  <si>
    <t>Gain sur CO2</t>
  </si>
  <si>
    <t>PBT</t>
  </si>
  <si>
    <t>IRR</t>
  </si>
  <si>
    <t>avec</t>
  </si>
  <si>
    <t>Euros</t>
  </si>
  <si>
    <t>année</t>
  </si>
  <si>
    <t>Faisabilité</t>
  </si>
  <si>
    <t>Type</t>
  </si>
  <si>
    <t>Energie</t>
  </si>
  <si>
    <t>Autres</t>
  </si>
  <si>
    <t>MWh/an</t>
  </si>
  <si>
    <r>
      <t>kg CO</t>
    </r>
    <r>
      <rPr>
        <b/>
        <vertAlign val="subscript"/>
        <sz val="10"/>
        <color indexed="13"/>
        <rFont val="Arial"/>
        <family val="2"/>
      </rPr>
      <t>2</t>
    </r>
    <r>
      <rPr>
        <b/>
        <sz val="10"/>
        <color indexed="13"/>
        <rFont val="Arial"/>
        <family val="2"/>
      </rPr>
      <t xml:space="preserve"> /an</t>
    </r>
  </si>
  <si>
    <t>amélioration réf.</t>
  </si>
  <si>
    <t>réf</t>
  </si>
  <si>
    <t>Rent</t>
  </si>
  <si>
    <t>C_Rent</t>
  </si>
  <si>
    <t>F_ADB</t>
  </si>
  <si>
    <t>Ep</t>
  </si>
  <si>
    <t>Total</t>
  </si>
  <si>
    <t>MWh / an</t>
  </si>
  <si>
    <t>gain iEE</t>
  </si>
  <si>
    <r>
      <t>kg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/ an</t>
    </r>
  </si>
  <si>
    <t>gain ACO2</t>
  </si>
  <si>
    <t>NB Pistes</t>
  </si>
  <si>
    <t>Consommation réelle</t>
  </si>
  <si>
    <t>Economie (GJp)</t>
  </si>
  <si>
    <t>Consommation référence</t>
  </si>
  <si>
    <t>Economie (kg CO2)</t>
  </si>
  <si>
    <t>Gain sur indices</t>
  </si>
  <si>
    <t>Investissement</t>
  </si>
  <si>
    <t>Nombre de C_Rent</t>
  </si>
  <si>
    <t>Gain calcul de l'amélioration</t>
  </si>
  <si>
    <t>Total NB Pistes</t>
  </si>
  <si>
    <t>Total Economie (GJp)</t>
  </si>
  <si>
    <t>Total Economie (kg CO2)</t>
  </si>
  <si>
    <t>Total Investissement</t>
  </si>
  <si>
    <t>Total Nombre de C_Rent</t>
  </si>
  <si>
    <t>Détermination du Taux de Rentabilité Interne (IRR) &amp; du Temps de Retour Actualisé (PBT)</t>
  </si>
  <si>
    <t>FICHE DE DESCRIPTION D'AMELIORATION</t>
  </si>
  <si>
    <t>N° amélioration</t>
  </si>
  <si>
    <t>AA0</t>
  </si>
  <si>
    <t>Données de l'action d'amélioration à compléter</t>
  </si>
  <si>
    <t>Intitulé / objet / Type d'amélioration</t>
  </si>
  <si>
    <t>1. Description de l'action d'amélioration</t>
  </si>
  <si>
    <t>4. Résultats</t>
  </si>
  <si>
    <t>Type d'investissement</t>
  </si>
  <si>
    <t>IRR avant impôt</t>
  </si>
  <si>
    <t>Liste déroulante</t>
  </si>
  <si>
    <t>Situation existante</t>
  </si>
  <si>
    <t>PBT avant impôt</t>
  </si>
  <si>
    <t>IRR après impôt</t>
  </si>
  <si>
    <t>Durée d'amortissement estimée</t>
  </si>
  <si>
    <t>PBT après impôt</t>
  </si>
  <si>
    <t>Description de l'amélioration</t>
  </si>
  <si>
    <t>Durée d'amortissement réelle</t>
  </si>
  <si>
    <t>Entreprise soumise aux ETS ?</t>
  </si>
  <si>
    <t>NON</t>
  </si>
  <si>
    <t>Economie annuelle attendue</t>
  </si>
  <si>
    <t>Projet donnant droit à des déduction fiscales ?</t>
  </si>
  <si>
    <t>OUI</t>
  </si>
  <si>
    <t>Investissement correspondant</t>
  </si>
  <si>
    <t>2. Données énergétiques</t>
  </si>
  <si>
    <t>Conditions préalables (si B)</t>
  </si>
  <si>
    <t>Condition 1</t>
  </si>
  <si>
    <t>Prix moyen HTVA tels que achetés par l'entité durant les 12 derniers mois</t>
  </si>
  <si>
    <t>Condition 2</t>
  </si>
  <si>
    <t>Condition 3</t>
  </si>
  <si>
    <t>Vecteur énergétique</t>
  </si>
  <si>
    <t xml:space="preserve">Coefficient d'émission CO2 (t/MWh) </t>
  </si>
  <si>
    <t>Consommation initiale (MWh)</t>
  </si>
  <si>
    <t>Consommation finale (MWh)</t>
  </si>
  <si>
    <t>Prix du combustible (€/MWh)</t>
  </si>
  <si>
    <t>Coût CO2</t>
  </si>
  <si>
    <t>Electricité réseau</t>
  </si>
  <si>
    <t>Mazout</t>
  </si>
  <si>
    <t>Remarques / commentaires</t>
  </si>
  <si>
    <t>Essence</t>
  </si>
  <si>
    <t>Diesel</t>
  </si>
  <si>
    <t>Charbon</t>
  </si>
  <si>
    <t>Bois</t>
  </si>
  <si>
    <t>Hypothèses de calcul</t>
  </si>
  <si>
    <t>Autres combustible</t>
  </si>
  <si>
    <t>Economies consommation énergétique</t>
  </si>
  <si>
    <t>Economies annuelle</t>
  </si>
  <si>
    <t>Economies émissions de CO2</t>
  </si>
  <si>
    <t>3. Données financières</t>
  </si>
  <si>
    <t>CAPEX</t>
  </si>
  <si>
    <t>Investissement initial (-)</t>
  </si>
  <si>
    <t>Investissement CAPEX</t>
  </si>
  <si>
    <t>k€</t>
  </si>
  <si>
    <t>Investissements</t>
  </si>
  <si>
    <t>Coûts d'installation</t>
  </si>
  <si>
    <t>Aides à l'investissment (+)</t>
  </si>
  <si>
    <t>Aides UDE</t>
  </si>
  <si>
    <t>Aides AMUREBA</t>
  </si>
  <si>
    <t>Fin de vie (+)</t>
  </si>
  <si>
    <t>Valeur résiduelle en fin de vie</t>
  </si>
  <si>
    <t>Total des investissements</t>
  </si>
  <si>
    <t>OPEX</t>
  </si>
  <si>
    <t>Dépenses autres qu'en capital (-)</t>
  </si>
  <si>
    <t>Nouveaux engagements liés à l'investissement</t>
  </si>
  <si>
    <t>k€/an</t>
  </si>
  <si>
    <t>Aides à la production (+)</t>
  </si>
  <si>
    <t>Certificats verts</t>
  </si>
  <si>
    <t>Autres économies (non énergétiques)</t>
  </si>
  <si>
    <t>Durée d'octroi</t>
  </si>
  <si>
    <t>années</t>
  </si>
  <si>
    <t>€/an</t>
  </si>
  <si>
    <t>Energie et CO2 (+)</t>
  </si>
  <si>
    <t>Variation des coûts énergétiques</t>
  </si>
  <si>
    <t>Variation des coûts CO2</t>
  </si>
  <si>
    <t>Coûts de Maintenance (+)</t>
  </si>
  <si>
    <t>Variation des coûts d'opération et de maintenance</t>
  </si>
  <si>
    <t>Total des autres économies (non énergétiques)</t>
  </si>
  <si>
    <t>Co-bénéfices ( autres gains liés aux investissments) (+)</t>
  </si>
  <si>
    <t>Positionnement stratégique de l'entreprise</t>
  </si>
  <si>
    <t>Augmenation de la qualité de l'environnement de travail</t>
  </si>
  <si>
    <t>Fiabilité de l'outil</t>
  </si>
  <si>
    <t>Economies de consommation en énergie finale (Ef)</t>
  </si>
  <si>
    <t>Renforcement de la sécurité</t>
  </si>
  <si>
    <t>Vecteurs énergétiques</t>
  </si>
  <si>
    <t>Quantités</t>
  </si>
  <si>
    <t>Coeff.E finale</t>
  </si>
  <si>
    <r>
      <t>Ef</t>
    </r>
    <r>
      <rPr>
        <sz val="10"/>
        <rFont val="Arial"/>
        <family val="2"/>
      </rPr>
      <t xml:space="preserve"> (MWh/an)</t>
    </r>
  </si>
  <si>
    <t>Rating ESG</t>
  </si>
  <si>
    <t>Total économies en énergie de l'amélioration (MWhf/an)</t>
  </si>
  <si>
    <t>Calcul avant impôt</t>
  </si>
  <si>
    <t>Années</t>
  </si>
  <si>
    <t>Réductions d'émissions de gaz à effet de serre</t>
  </si>
  <si>
    <r>
      <t>Coeff.Emissions CO</t>
    </r>
    <r>
      <rPr>
        <b/>
        <vertAlign val="subscript"/>
        <sz val="10"/>
        <rFont val="Arial"/>
        <family val="2"/>
      </rPr>
      <t>2</t>
    </r>
  </si>
  <si>
    <r>
      <t>kg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/an</t>
    </r>
  </si>
  <si>
    <t>Installation</t>
  </si>
  <si>
    <r>
      <t>kg CO</t>
    </r>
    <r>
      <rPr>
        <vertAlign val="subscript"/>
        <sz val="10"/>
        <rFont val="Arial"/>
        <family val="2"/>
      </rPr>
      <t xml:space="preserve">2 </t>
    </r>
    <r>
      <rPr>
        <sz val="10"/>
        <rFont val="Arial"/>
        <family val="2"/>
      </rPr>
      <t>/ an</t>
    </r>
  </si>
  <si>
    <t>Aides &amp; Primes</t>
  </si>
  <si>
    <t>Aides à l'investissement</t>
  </si>
  <si>
    <t>Aides à la production</t>
  </si>
  <si>
    <r>
      <t xml:space="preserve">Total réductions en GES de l'amélioration </t>
    </r>
    <r>
      <rPr>
        <sz val="10"/>
        <rFont val="Arial"/>
        <family val="2"/>
      </rPr>
      <t>(kg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/an) :</t>
    </r>
  </si>
  <si>
    <t>Variation OPEX</t>
  </si>
  <si>
    <t>Valeur résiduelle</t>
  </si>
  <si>
    <t>Flux de trésorerie</t>
  </si>
  <si>
    <t>Flux de trésorerie actualisé</t>
  </si>
  <si>
    <t>Flux de trésorerie actualisés cumulés</t>
  </si>
  <si>
    <t>Calcul après impôt</t>
  </si>
  <si>
    <t>Année</t>
  </si>
  <si>
    <t>Fiscalité</t>
  </si>
  <si>
    <t>Amortissements</t>
  </si>
  <si>
    <t>Base imposable</t>
  </si>
  <si>
    <t>Taxe sur les bénéfices (ISOC)</t>
  </si>
  <si>
    <t>AA1</t>
  </si>
  <si>
    <t>Extension PV</t>
  </si>
  <si>
    <t>Projet en cours déjà chiffré</t>
  </si>
  <si>
    <t>AA2</t>
  </si>
  <si>
    <t>Electrification 30 GWh de GN</t>
  </si>
  <si>
    <t>Electrication</t>
  </si>
  <si>
    <t>Faisabilité technologie à démontrer</t>
  </si>
  <si>
    <t>Coût électricité</t>
  </si>
  <si>
    <t>Infrastructure GRT</t>
  </si>
  <si>
    <t>30 GWh de GN (scénario Wallonie Entreprendre)</t>
  </si>
  <si>
    <t>AA3</t>
  </si>
  <si>
    <t>Eolienne</t>
  </si>
  <si>
    <t>AA4</t>
  </si>
  <si>
    <t>Capture carbone process</t>
  </si>
  <si>
    <t>AA5</t>
  </si>
  <si>
    <t>Efficacité energie 1 :- 2GWh GN</t>
  </si>
  <si>
    <t>AA6</t>
  </si>
  <si>
    <t>Efficacité energie 2 :- 2GWh Elec</t>
  </si>
  <si>
    <t>AA7</t>
  </si>
  <si>
    <t>Remplacement fluide frigorigène</t>
  </si>
  <si>
    <t>AA8</t>
  </si>
  <si>
    <t>PPA sur gaz naturel</t>
  </si>
  <si>
    <t xml:space="preserve">PPA Biogaz </t>
  </si>
  <si>
    <t>Disponibilité SER</t>
  </si>
  <si>
    <t>AA9</t>
  </si>
  <si>
    <t>N° TVA</t>
  </si>
  <si>
    <t>N° Unité établissement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</si>
</sst>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#,##0.00000"/>
    <numFmt numFmtId="165" formatCode="##,##0"/>
    <numFmt numFmtId="166" formatCode="#,##0.0"/>
    <numFmt numFmtId="167" formatCode="0.0"/>
    <numFmt numFmtId="168" formatCode="##,##0.0000"/>
    <numFmt numFmtId="169" formatCode="##,##0.0"/>
    <numFmt numFmtId="170" formatCode="0.0%"/>
    <numFmt numFmtId="171" formatCode="0.0000"/>
    <numFmt numFmtId="172" formatCode="#,##0.00000"/>
    <numFmt numFmtId="173" formatCode="##,##0.00"/>
    <numFmt numFmtId="174" formatCode="##,##0.000"/>
    <numFmt numFmtId="175" formatCode="#,##0.0000"/>
    <numFmt numFmtId="176" formatCode="_-* #,##0.00_-;_-* #,##0.00\-;_-* &quot;-&quot;??_-;_-@_-"/>
    <numFmt numFmtId="177" formatCode="#,##0\ &quot;€&quot;"/>
    <numFmt numFmtId="178" formatCode="&quot;€&quot;\ #,##0"/>
    <numFmt numFmtId="179" formatCode="#,##0.000"/>
    <numFmt numFmtId="180" formatCode="_-* #,##0.00\ _F_-;\-* #,##0.00\ _F_-;_-* &quot;-&quot;??\ _F_-;_-@_-"/>
    <numFmt numFmtId="181" formatCode="0.000"/>
    <numFmt numFmtId="182" formatCode="_-* #,##0.00\ _B_F_-;\-* #,##0.00\ _B_F_-;_-* &quot;-&quot;??\ _B_F_-;_-@_-"/>
    <numFmt numFmtId="183" formatCode="#,##0.00\ &quot;ans&quot;"/>
    <numFmt numFmtId="184" formatCode="#,##0\ &quot;ans&quot;"/>
    <numFmt numFmtId="185" formatCode="#,##0.00_ ;[Red]\-#,##0.00\ "/>
    <numFmt numFmtId="186" formatCode="#,##0.0;\(\-#,##0.0\)"/>
    <numFmt numFmtId="187" formatCode="#,###;\(\-#,###\);#,###"/>
    <numFmt numFmtId="188" formatCode="_-* #,##0\ &quot;€&quot;_-;\-* #,##0\ &quot;€&quot;_-;_-* &quot;-&quot;??\ &quot;€&quot;_-;_-@_-"/>
    <numFmt numFmtId="189" formatCode="#,##0\ &quot;€/TCO2&quot;"/>
    <numFmt numFmtId="190" formatCode="#,##0\ &quot;€/MWh&quot;"/>
    <numFmt numFmtId="191" formatCode="#,##0\ &quot;MWh&quot;"/>
    <numFmt numFmtId="192" formatCode="0\ &quot;ans&quot;"/>
    <numFmt numFmtId="193" formatCode="#,##0.0\ &quot;ans&quot;"/>
    <numFmt numFmtId="194" formatCode="#,##0.00\ &quot;€&quot;"/>
    <numFmt numFmtId="195" formatCode="#,##0.00\ \k&quot;€&quot;"/>
    <numFmt numFmtId="196" formatCode="_-* #,##0.000_-;\-* #,##0.000_-;_-* &quot;-&quot;??_-;_-@_-"/>
  </numFmts>
  <fonts count="10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u/>
      <sz val="10"/>
      <color indexed="12"/>
      <name val="MS Sans Serif"/>
      <family val="2"/>
    </font>
    <font>
      <sz val="12"/>
      <name val="Times New Roman"/>
      <family val="1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name val="Times New Roman"/>
      <family val="1"/>
    </font>
    <font>
      <sz val="12"/>
      <name val="Times New Roman"/>
      <family val="1"/>
    </font>
    <font>
      <b/>
      <sz val="10"/>
      <color indexed="12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4"/>
      <color indexed="12"/>
      <name val="Arial"/>
      <family val="2"/>
    </font>
    <font>
      <sz val="12"/>
      <name val="Comic Sans MS"/>
      <family val="4"/>
    </font>
    <font>
      <b/>
      <sz val="20"/>
      <name val="Comic Sans MS"/>
      <family val="4"/>
    </font>
    <font>
      <b/>
      <sz val="12"/>
      <name val="Comic Sans MS"/>
      <family val="4"/>
    </font>
    <font>
      <b/>
      <u/>
      <sz val="18"/>
      <name val="Comic Sans MS"/>
      <family val="4"/>
    </font>
    <font>
      <b/>
      <u/>
      <sz val="14"/>
      <name val="Comic Sans MS"/>
      <family val="4"/>
    </font>
    <font>
      <b/>
      <sz val="10"/>
      <color indexed="10"/>
      <name val="Comic Sans MS"/>
      <family val="4"/>
    </font>
    <font>
      <sz val="11"/>
      <name val="Times New Roman"/>
      <family val="1"/>
    </font>
    <font>
      <b/>
      <sz val="10"/>
      <name val="Comic Sans MS"/>
      <family val="4"/>
    </font>
    <font>
      <b/>
      <sz val="9"/>
      <color indexed="10"/>
      <name val="Comic Sans MS"/>
      <family val="4"/>
    </font>
    <font>
      <sz val="18"/>
      <name val="Arial"/>
      <family val="2"/>
    </font>
    <font>
      <b/>
      <sz val="11"/>
      <name val="Arial"/>
      <family val="2"/>
    </font>
    <font>
      <sz val="11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 tint="-0.14999847407452621"/>
      <name val="Tahoma"/>
      <family val="2"/>
    </font>
    <font>
      <sz val="10"/>
      <color theme="0" tint="-4.9989318521683403E-2"/>
      <name val="Tahoma"/>
      <family val="2"/>
    </font>
    <font>
      <sz val="12"/>
      <color theme="0" tint="-4.9989318521683403E-2"/>
      <name val="Comic Sans MS"/>
      <family val="4"/>
    </font>
    <font>
      <b/>
      <sz val="18"/>
      <color theme="0" tint="-4.9989318521683403E-2"/>
      <name val="Comic Sans MS"/>
      <family val="4"/>
    </font>
    <font>
      <b/>
      <u/>
      <sz val="18"/>
      <color theme="0" tint="-4.9989318521683403E-2"/>
      <name val="Comic Sans MS"/>
      <family val="4"/>
    </font>
    <font>
      <sz val="11"/>
      <color theme="0" tint="-4.9989318521683403E-2"/>
      <name val="Times New Roman"/>
      <family val="1"/>
    </font>
    <font>
      <b/>
      <sz val="12"/>
      <color theme="0" tint="-4.9989318521683403E-2"/>
      <name val="Comic Sans MS"/>
      <family val="4"/>
    </font>
    <font>
      <sz val="12"/>
      <color rgb="FF0000FF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charset val="186"/>
      <scheme val="minor"/>
    </font>
    <font>
      <sz val="10"/>
      <name val="Arial"/>
      <family val="2"/>
    </font>
    <font>
      <b/>
      <vertAlign val="subscript"/>
      <sz val="10"/>
      <name val="Arial"/>
      <family val="2"/>
    </font>
    <font>
      <b/>
      <sz val="10"/>
      <color rgb="FFFFFF00"/>
      <name val="Arial"/>
      <family val="2"/>
    </font>
    <font>
      <b/>
      <vertAlign val="subscript"/>
      <sz val="10"/>
      <color indexed="13"/>
      <name val="Arial"/>
      <family val="2"/>
    </font>
    <font>
      <b/>
      <sz val="10"/>
      <color indexed="13"/>
      <name val="Arial"/>
      <family val="2"/>
    </font>
    <font>
      <sz val="10"/>
      <color rgb="FFFFFF00"/>
      <name val="Arial"/>
      <family val="2"/>
    </font>
    <font>
      <vertAlign val="subscript"/>
      <sz val="10"/>
      <name val="Arial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sz val="10"/>
      <color rgb="FF0070C0"/>
      <name val="Arial"/>
      <family val="2"/>
    </font>
    <font>
      <b/>
      <sz val="10"/>
      <color rgb="FF0000FF"/>
      <name val="Arial"/>
      <family val="2"/>
    </font>
    <font>
      <sz val="11"/>
      <color rgb="FF000000"/>
      <name val="Calibri"/>
      <family val="2"/>
    </font>
    <font>
      <b/>
      <sz val="9"/>
      <name val="Arial"/>
      <family val="2"/>
    </font>
    <font>
      <i/>
      <sz val="9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b/>
      <sz val="10"/>
      <color rgb="FFFFFFFF"/>
      <name val="Arial"/>
      <family val="2"/>
    </font>
    <font>
      <sz val="10"/>
      <color rgb="FF0000FF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Arial"/>
      <family val="2"/>
    </font>
    <font>
      <sz val="10"/>
      <name val="Arial"/>
      <family val="1"/>
      <charset val="2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33CC"/>
      <name val="Calibri"/>
      <family val="2"/>
      <scheme val="minor"/>
    </font>
    <font>
      <sz val="10"/>
      <color rgb="FF0033CC"/>
      <name val="Arial"/>
    </font>
    <font>
      <b/>
      <sz val="10"/>
      <color rgb="FF0033CC"/>
      <name val="Arial"/>
      <family val="2"/>
    </font>
    <font>
      <sz val="11"/>
      <color rgb="FF0033CC"/>
      <name val="Arial"/>
      <family val="2"/>
    </font>
    <font>
      <b/>
      <sz val="11"/>
      <color rgb="FFFF000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rgb="FFABABAB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74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0" borderId="1" applyNumberFormat="0" applyAlignment="0" applyProtection="0"/>
    <xf numFmtId="0" fontId="21" fillId="0" borderId="2" applyNumberFormat="0" applyFill="0" applyAlignment="0" applyProtection="0"/>
    <xf numFmtId="0" fontId="22" fillId="21" borderId="3" applyNumberFormat="0" applyFont="0" applyAlignment="0" applyProtection="0"/>
    <xf numFmtId="0" fontId="23" fillId="7" borderId="1" applyNumberFormat="0" applyAlignment="0" applyProtection="0"/>
    <xf numFmtId="0" fontId="24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15" fillId="0" borderId="0"/>
    <xf numFmtId="0" fontId="26" fillId="0" borderId="0"/>
    <xf numFmtId="9" fontId="10" fillId="0" borderId="0" applyFont="0" applyFill="0" applyBorder="0" applyAlignment="0" applyProtection="0"/>
    <xf numFmtId="0" fontId="28" fillId="4" borderId="0" applyNumberFormat="0" applyBorder="0" applyAlignment="0" applyProtection="0"/>
    <xf numFmtId="0" fontId="29" fillId="20" borderId="4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5" applyNumberFormat="0" applyFill="0" applyAlignment="0" applyProtection="0"/>
    <xf numFmtId="0" fontId="33" fillId="0" borderId="6" applyNumberFormat="0" applyFill="0" applyAlignment="0" applyProtection="0"/>
    <xf numFmtId="0" fontId="34" fillId="0" borderId="7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8" applyNumberFormat="0" applyFill="0" applyAlignment="0" applyProtection="0"/>
    <xf numFmtId="0" fontId="36" fillId="23" borderId="9" applyNumberFormat="0" applyAlignment="0" applyProtection="0"/>
    <xf numFmtId="0" fontId="67" fillId="0" borderId="0"/>
    <xf numFmtId="0" fontId="9" fillId="0" borderId="0"/>
    <xf numFmtId="0" fontId="10" fillId="0" borderId="0"/>
    <xf numFmtId="176" fontId="10" fillId="0" borderId="0" applyFon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0" fontId="7" fillId="0" borderId="0"/>
    <xf numFmtId="0" fontId="6" fillId="0" borderId="0"/>
    <xf numFmtId="0" fontId="10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9" fontId="68" fillId="0" borderId="0" applyFont="0" applyFill="0" applyBorder="0" applyAlignment="0" applyProtection="0"/>
    <xf numFmtId="180" fontId="68" fillId="0" borderId="0" applyFont="0" applyFill="0" applyBorder="0" applyAlignment="0" applyProtection="0"/>
    <xf numFmtId="18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102" fillId="5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</cellStyleXfs>
  <cellXfs count="845">
    <xf numFmtId="0" fontId="0" fillId="0" borderId="0" xfId="0"/>
    <xf numFmtId="3" fontId="0" fillId="0" borderId="0" xfId="0" applyNumberFormat="1"/>
    <xf numFmtId="0" fontId="0" fillId="0" borderId="13" xfId="0" applyBorder="1"/>
    <xf numFmtId="0" fontId="40" fillId="0" borderId="0" xfId="0" applyFont="1"/>
    <xf numFmtId="0" fontId="0" fillId="0" borderId="32" xfId="0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27" xfId="0" applyBorder="1" applyAlignment="1">
      <alignment vertical="top"/>
    </xf>
    <xf numFmtId="0" fontId="0" fillId="0" borderId="21" xfId="0" applyBorder="1" applyAlignment="1">
      <alignment vertical="top"/>
    </xf>
    <xf numFmtId="0" fontId="0" fillId="27" borderId="0" xfId="0" applyFill="1"/>
    <xf numFmtId="0" fontId="0" fillId="27" borderId="24" xfId="0" applyFill="1" applyBorder="1" applyAlignment="1">
      <alignment vertical="top"/>
    </xf>
    <xf numFmtId="0" fontId="0" fillId="27" borderId="60" xfId="0" applyFill="1" applyBorder="1" applyAlignment="1">
      <alignment vertical="top"/>
    </xf>
    <xf numFmtId="0" fontId="0" fillId="27" borderId="45" xfId="0" applyFill="1" applyBorder="1" applyAlignment="1">
      <alignment vertical="top"/>
    </xf>
    <xf numFmtId="0" fontId="0" fillId="27" borderId="20" xfId="0" applyFill="1" applyBorder="1" applyAlignment="1">
      <alignment vertical="top"/>
    </xf>
    <xf numFmtId="0" fontId="16" fillId="27" borderId="0" xfId="0" applyFont="1" applyFill="1" applyAlignment="1">
      <alignment vertical="center"/>
    </xf>
    <xf numFmtId="0" fontId="0" fillId="27" borderId="44" xfId="0" applyFill="1" applyBorder="1" applyAlignment="1">
      <alignment vertical="top"/>
    </xf>
    <xf numFmtId="0" fontId="0" fillId="27" borderId="14" xfId="0" applyFill="1" applyBorder="1" applyAlignment="1">
      <alignment vertical="top"/>
    </xf>
    <xf numFmtId="0" fontId="0" fillId="27" borderId="35" xfId="0" applyFill="1" applyBorder="1" applyAlignment="1">
      <alignment vertical="top"/>
    </xf>
    <xf numFmtId="3" fontId="13" fillId="0" borderId="61" xfId="0" applyNumberFormat="1" applyFont="1" applyBorder="1" applyAlignment="1">
      <alignment vertical="top"/>
    </xf>
    <xf numFmtId="0" fontId="0" fillId="27" borderId="35" xfId="0" applyFill="1" applyBorder="1" applyAlignment="1">
      <alignment horizontal="center" vertical="top" wrapText="1"/>
    </xf>
    <xf numFmtId="3" fontId="0" fillId="0" borderId="15" xfId="0" applyNumberFormat="1" applyBorder="1"/>
    <xf numFmtId="0" fontId="13" fillId="27" borderId="12" xfId="0" applyFont="1" applyFill="1" applyBorder="1"/>
    <xf numFmtId="2" fontId="13" fillId="27" borderId="62" xfId="0" applyNumberFormat="1" applyFont="1" applyFill="1" applyBorder="1"/>
    <xf numFmtId="2" fontId="13" fillId="27" borderId="63" xfId="0" applyNumberFormat="1" applyFont="1" applyFill="1" applyBorder="1"/>
    <xf numFmtId="0" fontId="38" fillId="27" borderId="0" xfId="34" applyFont="1" applyFill="1"/>
    <xf numFmtId="0" fontId="0" fillId="27" borderId="60" xfId="0" applyFill="1" applyBorder="1" applyAlignment="1">
      <alignment horizontal="center" vertical="top" wrapText="1"/>
    </xf>
    <xf numFmtId="0" fontId="0" fillId="27" borderId="45" xfId="0" applyFill="1" applyBorder="1" applyAlignment="1">
      <alignment horizontal="center" vertical="top" wrapText="1"/>
    </xf>
    <xf numFmtId="0" fontId="44" fillId="27" borderId="0" xfId="33" applyFont="1" applyFill="1"/>
    <xf numFmtId="0" fontId="44" fillId="27" borderId="71" xfId="33" applyFont="1" applyFill="1" applyBorder="1"/>
    <xf numFmtId="0" fontId="44" fillId="27" borderId="72" xfId="33" applyFont="1" applyFill="1" applyBorder="1"/>
    <xf numFmtId="0" fontId="45" fillId="27" borderId="73" xfId="33" applyFont="1" applyFill="1" applyBorder="1"/>
    <xf numFmtId="0" fontId="44" fillId="27" borderId="74" xfId="33" applyFont="1" applyFill="1" applyBorder="1"/>
    <xf numFmtId="0" fontId="44" fillId="27" borderId="75" xfId="33" applyFont="1" applyFill="1" applyBorder="1"/>
    <xf numFmtId="0" fontId="44" fillId="27" borderId="76" xfId="33" applyFont="1" applyFill="1" applyBorder="1"/>
    <xf numFmtId="0" fontId="46" fillId="27" borderId="76" xfId="33" applyFont="1" applyFill="1" applyBorder="1" applyAlignment="1">
      <alignment horizontal="right"/>
    </xf>
    <xf numFmtId="0" fontId="44" fillId="27" borderId="0" xfId="33" applyFont="1" applyFill="1" applyAlignment="1">
      <alignment horizontal="left" indent="1"/>
    </xf>
    <xf numFmtId="0" fontId="44" fillId="27" borderId="77" xfId="33" applyFont="1" applyFill="1" applyBorder="1"/>
    <xf numFmtId="0" fontId="44" fillId="27" borderId="78" xfId="33" applyFont="1" applyFill="1" applyBorder="1"/>
    <xf numFmtId="0" fontId="53" fillId="27" borderId="0" xfId="0" applyFont="1" applyFill="1" applyAlignment="1">
      <alignment vertical="center"/>
    </xf>
    <xf numFmtId="0" fontId="22" fillId="27" borderId="0" xfId="0" applyFont="1" applyFill="1" applyAlignment="1">
      <alignment vertical="center"/>
    </xf>
    <xf numFmtId="0" fontId="50" fillId="27" borderId="0" xfId="34" applyFont="1" applyFill="1"/>
    <xf numFmtId="0" fontId="22" fillId="27" borderId="25" xfId="0" applyFont="1" applyFill="1" applyBorder="1" applyAlignment="1">
      <alignment vertical="center"/>
    </xf>
    <xf numFmtId="0" fontId="44" fillId="27" borderId="76" xfId="33" applyFont="1" applyFill="1" applyBorder="1" applyAlignment="1">
      <alignment horizontal="centerContinuous"/>
    </xf>
    <xf numFmtId="0" fontId="44" fillId="27" borderId="75" xfId="33" applyFont="1" applyFill="1" applyBorder="1" applyAlignment="1">
      <alignment horizontal="centerContinuous"/>
    </xf>
    <xf numFmtId="0" fontId="0" fillId="27" borderId="20" xfId="0" applyFill="1" applyBorder="1" applyAlignment="1">
      <alignment horizontal="center" vertical="top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13" fillId="0" borderId="0" xfId="0" applyNumberFormat="1" applyFont="1" applyAlignment="1">
      <alignment horizontal="center"/>
    </xf>
    <xf numFmtId="171" fontId="0" fillId="0" borderId="0" xfId="0" applyNumberFormat="1" applyAlignment="1">
      <alignment horizontal="center"/>
    </xf>
    <xf numFmtId="169" fontId="55" fillId="27" borderId="13" xfId="0" applyNumberFormat="1" applyFont="1" applyFill="1" applyBorder="1" applyAlignment="1">
      <alignment horizontal="center"/>
    </xf>
    <xf numFmtId="0" fontId="15" fillId="0" borderId="0" xfId="0" applyFont="1"/>
    <xf numFmtId="0" fontId="58" fillId="27" borderId="0" xfId="33" applyFont="1" applyFill="1"/>
    <xf numFmtId="0" fontId="59" fillId="27" borderId="0" xfId="33" applyFont="1" applyFill="1"/>
    <xf numFmtId="0" fontId="60" fillId="27" borderId="0" xfId="33" applyFont="1" applyFill="1"/>
    <xf numFmtId="0" fontId="61" fillId="27" borderId="0" xfId="33" applyFont="1" applyFill="1" applyAlignment="1">
      <alignment horizontal="center"/>
    </xf>
    <xf numFmtId="0" fontId="62" fillId="27" borderId="0" xfId="33" applyFont="1" applyFill="1" applyAlignment="1">
      <alignment horizontal="center"/>
    </xf>
    <xf numFmtId="0" fontId="63" fillId="27" borderId="0" xfId="33" applyFont="1" applyFill="1" applyAlignment="1">
      <alignment horizontal="justify"/>
    </xf>
    <xf numFmtId="0" fontId="63" fillId="27" borderId="0" xfId="33" applyFont="1" applyFill="1"/>
    <xf numFmtId="0" fontId="64" fillId="27" borderId="0" xfId="33" applyFont="1" applyFill="1"/>
    <xf numFmtId="0" fontId="14" fillId="27" borderId="25" xfId="0" applyFont="1" applyFill="1" applyBorder="1" applyAlignment="1">
      <alignment horizontal="right" vertical="top" wrapText="1"/>
    </xf>
    <xf numFmtId="0" fontId="0" fillId="27" borderId="0" xfId="0" applyFill="1" applyAlignment="1">
      <alignment wrapText="1"/>
    </xf>
    <xf numFmtId="3" fontId="39" fillId="0" borderId="0" xfId="0" applyNumberFormat="1" applyFont="1" applyAlignment="1">
      <alignment horizontal="center"/>
    </xf>
    <xf numFmtId="0" fontId="0" fillId="0" borderId="27" xfId="0" applyBorder="1"/>
    <xf numFmtId="0" fontId="0" fillId="27" borderId="32" xfId="0" applyFill="1" applyBorder="1"/>
    <xf numFmtId="0" fontId="13" fillId="27" borderId="48" xfId="0" applyFont="1" applyFill="1" applyBorder="1"/>
    <xf numFmtId="0" fontId="13" fillId="27" borderId="65" xfId="0" applyFont="1" applyFill="1" applyBorder="1"/>
    <xf numFmtId="9" fontId="13" fillId="0" borderId="0" xfId="35" applyFont="1" applyFill="1" applyBorder="1"/>
    <xf numFmtId="9" fontId="0" fillId="0" borderId="13" xfId="35" applyFont="1" applyBorder="1"/>
    <xf numFmtId="0" fontId="12" fillId="24" borderId="15" xfId="0" applyFont="1" applyFill="1" applyBorder="1" applyAlignment="1">
      <alignment horizontal="center" vertical="top"/>
    </xf>
    <xf numFmtId="0" fontId="12" fillId="24" borderId="67" xfId="0" applyFont="1" applyFill="1" applyBorder="1" applyAlignment="1">
      <alignment horizontal="center" vertical="top"/>
    </xf>
    <xf numFmtId="9" fontId="0" fillId="0" borderId="29" xfId="35" applyFont="1" applyBorder="1"/>
    <xf numFmtId="9" fontId="0" fillId="0" borderId="11" xfId="35" applyFont="1" applyBorder="1"/>
    <xf numFmtId="2" fontId="13" fillId="27" borderId="82" xfId="0" applyNumberFormat="1" applyFont="1" applyFill="1" applyBorder="1"/>
    <xf numFmtId="0" fontId="0" fillId="27" borderId="14" xfId="0" applyFill="1" applyBorder="1" applyAlignment="1">
      <alignment horizontal="center" vertical="top" wrapText="1"/>
    </xf>
    <xf numFmtId="0" fontId="44" fillId="29" borderId="76" xfId="33" applyFont="1" applyFill="1" applyBorder="1"/>
    <xf numFmtId="0" fontId="44" fillId="29" borderId="0" xfId="33" applyFont="1" applyFill="1"/>
    <xf numFmtId="0" fontId="44" fillId="29" borderId="75" xfId="33" applyFont="1" applyFill="1" applyBorder="1"/>
    <xf numFmtId="0" fontId="25" fillId="0" borderId="0" xfId="31" applyAlignment="1">
      <alignment horizontal="left" vertical="center"/>
    </xf>
    <xf numFmtId="0" fontId="10" fillId="0" borderId="0" xfId="48"/>
    <xf numFmtId="0" fontId="10" fillId="0" borderId="0" xfId="48" applyAlignment="1">
      <alignment horizontal="center"/>
    </xf>
    <xf numFmtId="3" fontId="10" fillId="26" borderId="13" xfId="0" applyNumberFormat="1" applyFont="1" applyFill="1" applyBorder="1" applyAlignment="1">
      <alignment horizontal="center" vertical="top"/>
    </xf>
    <xf numFmtId="1" fontId="0" fillId="0" borderId="0" xfId="0" applyNumberFormat="1"/>
    <xf numFmtId="0" fontId="13" fillId="0" borderId="0" xfId="34" applyFont="1" applyAlignment="1">
      <alignment horizontal="centerContinuous"/>
    </xf>
    <xf numFmtId="3" fontId="13" fillId="0" borderId="0" xfId="34" applyNumberFormat="1" applyFont="1" applyAlignment="1">
      <alignment horizontal="right"/>
    </xf>
    <xf numFmtId="3" fontId="13" fillId="0" borderId="0" xfId="34" applyNumberFormat="1" applyFont="1" applyAlignment="1">
      <alignment horizontal="left"/>
    </xf>
    <xf numFmtId="170" fontId="13" fillId="0" borderId="0" xfId="35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0" fillId="27" borderId="37" xfId="0" applyFill="1" applyBorder="1" applyAlignment="1">
      <alignment horizontal="center" vertical="top" wrapText="1"/>
    </xf>
    <xf numFmtId="3" fontId="13" fillId="27" borderId="42" xfId="0" applyNumberFormat="1" applyFont="1" applyFill="1" applyBorder="1" applyAlignment="1">
      <alignment horizontal="center" vertical="top"/>
    </xf>
    <xf numFmtId="0" fontId="10" fillId="0" borderId="13" xfId="0" applyFont="1" applyBorder="1" applyAlignment="1">
      <alignment vertical="top"/>
    </xf>
    <xf numFmtId="0" fontId="22" fillId="27" borderId="15" xfId="0" applyFont="1" applyFill="1" applyBorder="1" applyAlignment="1">
      <alignment horizontal="center" vertical="top" wrapText="1"/>
    </xf>
    <xf numFmtId="0" fontId="0" fillId="27" borderId="36" xfId="0" applyFill="1" applyBorder="1" applyAlignment="1">
      <alignment horizontal="center" vertical="top" wrapText="1"/>
    </xf>
    <xf numFmtId="0" fontId="0" fillId="27" borderId="0" xfId="0" applyFill="1" applyAlignment="1">
      <alignment horizontal="center"/>
    </xf>
    <xf numFmtId="172" fontId="0" fillId="0" borderId="15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170" fontId="12" fillId="0" borderId="0" xfId="35" applyNumberFormat="1" applyFont="1" applyFill="1" applyAlignment="1">
      <alignment horizontal="center"/>
    </xf>
    <xf numFmtId="3" fontId="13" fillId="0" borderId="41" xfId="0" applyNumberFormat="1" applyFont="1" applyBorder="1" applyAlignment="1">
      <alignment horizontal="center" vertical="top"/>
    </xf>
    <xf numFmtId="3" fontId="13" fillId="0" borderId="43" xfId="0" applyNumberFormat="1" applyFont="1" applyBorder="1" applyAlignment="1">
      <alignment horizontal="center" vertical="top"/>
    </xf>
    <xf numFmtId="3" fontId="13" fillId="0" borderId="39" xfId="0" applyNumberFormat="1" applyFont="1" applyBorder="1" applyAlignment="1">
      <alignment horizontal="center" vertical="top"/>
    </xf>
    <xf numFmtId="3" fontId="13" fillId="0" borderId="61" xfId="0" applyNumberFormat="1" applyFont="1" applyBorder="1" applyAlignment="1">
      <alignment horizontal="center" vertical="top"/>
    </xf>
    <xf numFmtId="3" fontId="13" fillId="0" borderId="40" xfId="0" applyNumberFormat="1" applyFont="1" applyBorder="1" applyAlignment="1">
      <alignment horizontal="center" vertical="top"/>
    </xf>
    <xf numFmtId="0" fontId="0" fillId="27" borderId="36" xfId="0" applyFill="1" applyBorder="1" applyAlignment="1">
      <alignment horizontal="center" vertical="top"/>
    </xf>
    <xf numFmtId="0" fontId="10" fillId="27" borderId="60" xfId="0" applyFont="1" applyFill="1" applyBorder="1" applyAlignment="1">
      <alignment horizontal="center" vertical="top" wrapText="1"/>
    </xf>
    <xf numFmtId="0" fontId="10" fillId="27" borderId="45" xfId="0" applyFont="1" applyFill="1" applyBorder="1" applyAlignment="1">
      <alignment horizontal="center" vertical="top" wrapText="1"/>
    </xf>
    <xf numFmtId="0" fontId="10" fillId="27" borderId="14" xfId="0" applyFont="1" applyFill="1" applyBorder="1" applyAlignment="1">
      <alignment horizontal="center" vertical="top" wrapText="1"/>
    </xf>
    <xf numFmtId="0" fontId="10" fillId="27" borderId="35" xfId="0" applyFont="1" applyFill="1" applyBorder="1" applyAlignment="1">
      <alignment horizontal="center" vertical="top" wrapText="1"/>
    </xf>
    <xf numFmtId="0" fontId="0" fillId="27" borderId="35" xfId="0" applyFill="1" applyBorder="1" applyAlignment="1">
      <alignment horizontal="center" vertical="top"/>
    </xf>
    <xf numFmtId="0" fontId="10" fillId="27" borderId="20" xfId="0" applyFont="1" applyFill="1" applyBorder="1" applyAlignment="1">
      <alignment horizontal="center" vertical="top" wrapText="1"/>
    </xf>
    <xf numFmtId="172" fontId="0" fillId="0" borderId="21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4" fontId="66" fillId="27" borderId="51" xfId="0" applyNumberFormat="1" applyFont="1" applyFill="1" applyBorder="1" applyAlignment="1">
      <alignment horizontal="center"/>
    </xf>
    <xf numFmtId="4" fontId="66" fillId="27" borderId="21" xfId="0" applyNumberFormat="1" applyFont="1" applyFill="1" applyBorder="1" applyAlignment="1">
      <alignment horizontal="center"/>
    </xf>
    <xf numFmtId="4" fontId="66" fillId="27" borderId="11" xfId="0" applyNumberFormat="1" applyFont="1" applyFill="1" applyBorder="1" applyAlignment="1">
      <alignment horizontal="center"/>
    </xf>
    <xf numFmtId="4" fontId="66" fillId="27" borderId="29" xfId="0" applyNumberFormat="1" applyFont="1" applyFill="1" applyBorder="1" applyAlignment="1">
      <alignment horizontal="center"/>
    </xf>
    <xf numFmtId="0" fontId="0" fillId="27" borderId="49" xfId="0" applyFill="1" applyBorder="1"/>
    <xf numFmtId="3" fontId="13" fillId="0" borderId="41" xfId="0" applyNumberFormat="1" applyFont="1" applyBorder="1" applyAlignment="1">
      <alignment horizontal="center"/>
    </xf>
    <xf numFmtId="3" fontId="13" fillId="0" borderId="40" xfId="0" applyNumberFormat="1" applyFont="1" applyBorder="1" applyAlignment="1">
      <alignment horizontal="center"/>
    </xf>
    <xf numFmtId="0" fontId="0" fillId="29" borderId="0" xfId="0" applyFill="1"/>
    <xf numFmtId="0" fontId="22" fillId="27" borderId="27" xfId="0" applyFont="1" applyFill="1" applyBorder="1" applyAlignment="1">
      <alignment horizontal="center" vertical="top" wrapText="1"/>
    </xf>
    <xf numFmtId="166" fontId="40" fillId="0" borderId="0" xfId="0" applyNumberFormat="1" applyFont="1" applyAlignment="1">
      <alignment horizontal="center"/>
    </xf>
    <xf numFmtId="0" fontId="14" fillId="29" borderId="24" xfId="0" applyFont="1" applyFill="1" applyBorder="1" applyAlignment="1">
      <alignment vertical="top"/>
    </xf>
    <xf numFmtId="0" fontId="0" fillId="29" borderId="24" xfId="0" applyFill="1" applyBorder="1" applyAlignment="1">
      <alignment vertical="top"/>
    </xf>
    <xf numFmtId="0" fontId="0" fillId="29" borderId="0" xfId="0" applyFill="1" applyAlignment="1">
      <alignment wrapText="1"/>
    </xf>
    <xf numFmtId="0" fontId="0" fillId="29" borderId="0" xfId="0" applyFill="1" applyAlignment="1">
      <alignment horizontal="center" vertical="top" wrapText="1"/>
    </xf>
    <xf numFmtId="0" fontId="12" fillId="29" borderId="0" xfId="0" applyFont="1" applyFill="1" applyAlignment="1">
      <alignment horizontal="center" vertical="top"/>
    </xf>
    <xf numFmtId="0" fontId="11" fillId="29" borderId="87" xfId="0" applyFont="1" applyFill="1" applyBorder="1" applyAlignment="1">
      <alignment horizontal="center" vertical="top"/>
    </xf>
    <xf numFmtId="0" fontId="11" fillId="29" borderId="0" xfId="0" applyFont="1" applyFill="1" applyAlignment="1">
      <alignment horizontal="center" vertical="top"/>
    </xf>
    <xf numFmtId="3" fontId="13" fillId="29" borderId="0" xfId="0" applyNumberFormat="1" applyFont="1" applyFill="1" applyAlignment="1">
      <alignment vertical="top"/>
    </xf>
    <xf numFmtId="0" fontId="10" fillId="0" borderId="0" xfId="0" applyFont="1" applyAlignment="1">
      <alignment horizontal="center"/>
    </xf>
    <xf numFmtId="170" fontId="13" fillId="0" borderId="0" xfId="0" applyNumberFormat="1" applyFont="1" applyAlignment="1">
      <alignment horizontal="center"/>
    </xf>
    <xf numFmtId="170" fontId="0" fillId="0" borderId="13" xfId="35" applyNumberFormat="1" applyFont="1" applyBorder="1" applyAlignment="1">
      <alignment horizontal="center"/>
    </xf>
    <xf numFmtId="9" fontId="13" fillId="0" borderId="0" xfId="35" applyFont="1" applyFill="1" applyBorder="1" applyAlignment="1">
      <alignment horizontal="center"/>
    </xf>
    <xf numFmtId="0" fontId="10" fillId="0" borderId="0" xfId="48" applyAlignment="1">
      <alignment horizontal="left" vertical="center"/>
    </xf>
    <xf numFmtId="0" fontId="10" fillId="0" borderId="61" xfId="48" applyBorder="1"/>
    <xf numFmtId="0" fontId="13" fillId="0" borderId="81" xfId="48" applyFont="1" applyBorder="1"/>
    <xf numFmtId="1" fontId="10" fillId="0" borderId="11" xfId="48" applyNumberFormat="1" applyBorder="1" applyAlignment="1">
      <alignment horizontal="center"/>
    </xf>
    <xf numFmtId="0" fontId="13" fillId="0" borderId="53" xfId="48" applyFont="1" applyBorder="1"/>
    <xf numFmtId="1" fontId="10" fillId="0" borderId="13" xfId="48" applyNumberFormat="1" applyBorder="1" applyAlignment="1">
      <alignment horizontal="center"/>
    </xf>
    <xf numFmtId="0" fontId="13" fillId="0" borderId="54" xfId="48" applyFont="1" applyBorder="1"/>
    <xf numFmtId="0" fontId="13" fillId="0" borderId="61" xfId="48" applyFont="1" applyBorder="1" applyAlignment="1">
      <alignment vertical="center"/>
    </xf>
    <xf numFmtId="3" fontId="13" fillId="27" borderId="40" xfId="0" applyNumberFormat="1" applyFont="1" applyFill="1" applyBorder="1" applyAlignment="1">
      <alignment horizontal="center" vertical="top"/>
    </xf>
    <xf numFmtId="0" fontId="40" fillId="0" borderId="0" xfId="0" applyFont="1" applyAlignment="1">
      <alignment horizontal="center"/>
    </xf>
    <xf numFmtId="4" fontId="66" fillId="27" borderId="79" xfId="0" applyNumberFormat="1" applyFont="1" applyFill="1" applyBorder="1" applyAlignment="1">
      <alignment horizontal="center"/>
    </xf>
    <xf numFmtId="4" fontId="66" fillId="27" borderId="63" xfId="0" applyNumberFormat="1" applyFont="1" applyFill="1" applyBorder="1" applyAlignment="1">
      <alignment horizontal="center"/>
    </xf>
    <xf numFmtId="170" fontId="0" fillId="0" borderId="0" xfId="35" applyNumberFormat="1" applyFont="1"/>
    <xf numFmtId="0" fontId="10" fillId="0" borderId="0" xfId="0" applyFont="1"/>
    <xf numFmtId="0" fontId="26" fillId="29" borderId="14" xfId="0" applyFont="1" applyFill="1" applyBorder="1"/>
    <xf numFmtId="0" fontId="26" fillId="29" borderId="13" xfId="0" applyFont="1" applyFill="1" applyBorder="1" applyAlignment="1">
      <alignment horizontal="center"/>
    </xf>
    <xf numFmtId="0" fontId="26" fillId="29" borderId="13" xfId="0" applyFont="1" applyFill="1" applyBorder="1"/>
    <xf numFmtId="0" fontId="0" fillId="0" borderId="0" xfId="0" applyAlignment="1">
      <alignment horizontal="left"/>
    </xf>
    <xf numFmtId="0" fontId="13" fillId="0" borderId="0" xfId="0" applyFont="1" applyAlignment="1">
      <alignment horizontal="left" vertical="center" wrapText="1"/>
    </xf>
    <xf numFmtId="3" fontId="10" fillId="0" borderId="0" xfId="0" applyNumberFormat="1" applyFont="1" applyAlignment="1">
      <alignment vertical="center"/>
    </xf>
    <xf numFmtId="170" fontId="10" fillId="0" borderId="44" xfId="58" applyNumberFormat="1" applyFont="1" applyBorder="1" applyAlignment="1">
      <alignment vertical="center"/>
    </xf>
    <xf numFmtId="166" fontId="10" fillId="0" borderId="45" xfId="0" applyNumberFormat="1" applyFont="1" applyBorder="1" applyAlignment="1">
      <alignment horizontal="center" vertical="center"/>
    </xf>
    <xf numFmtId="0" fontId="10" fillId="0" borderId="45" xfId="0" applyFont="1" applyBorder="1" applyAlignment="1">
      <alignment vertical="center" wrapText="1"/>
    </xf>
    <xf numFmtId="0" fontId="13" fillId="0" borderId="18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3" fontId="10" fillId="0" borderId="45" xfId="0" applyNumberFormat="1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178" fontId="10" fillId="0" borderId="45" xfId="0" applyNumberFormat="1" applyFont="1" applyBorder="1" applyAlignment="1">
      <alignment horizontal="center" vertical="center"/>
    </xf>
    <xf numFmtId="0" fontId="10" fillId="0" borderId="60" xfId="0" applyFont="1" applyBorder="1" applyAlignment="1">
      <alignment horizontal="left" vertical="center"/>
    </xf>
    <xf numFmtId="0" fontId="41" fillId="0" borderId="64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47" xfId="0" applyFont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0" fontId="41" fillId="0" borderId="24" xfId="0" applyFont="1" applyBorder="1" applyAlignment="1">
      <alignment horizontal="center" vertical="center"/>
    </xf>
    <xf numFmtId="0" fontId="70" fillId="30" borderId="45" xfId="0" applyFont="1" applyFill="1" applyBorder="1" applyAlignment="1">
      <alignment horizontal="center" vertical="center"/>
    </xf>
    <xf numFmtId="0" fontId="70" fillId="30" borderId="45" xfId="0" applyFont="1" applyFill="1" applyBorder="1"/>
    <xf numFmtId="0" fontId="70" fillId="30" borderId="60" xfId="0" applyFont="1" applyFill="1" applyBorder="1" applyAlignment="1">
      <alignment horizontal="left"/>
    </xf>
    <xf numFmtId="0" fontId="13" fillId="31" borderId="18" xfId="0" applyFont="1" applyFill="1" applyBorder="1"/>
    <xf numFmtId="0" fontId="70" fillId="30" borderId="47" xfId="0" applyFont="1" applyFill="1" applyBorder="1" applyAlignment="1">
      <alignment horizontal="center" vertical="center"/>
    </xf>
    <xf numFmtId="0" fontId="70" fillId="30" borderId="0" xfId="0" applyFont="1" applyFill="1" applyAlignment="1">
      <alignment horizontal="center" vertical="center"/>
    </xf>
    <xf numFmtId="0" fontId="70" fillId="30" borderId="86" xfId="0" applyFont="1" applyFill="1" applyBorder="1" applyAlignment="1">
      <alignment horizontal="center" vertical="center"/>
    </xf>
    <xf numFmtId="0" fontId="70" fillId="30" borderId="47" xfId="0" applyFont="1" applyFill="1" applyBorder="1"/>
    <xf numFmtId="0" fontId="13" fillId="31" borderId="24" xfId="0" applyFont="1" applyFill="1" applyBorder="1"/>
    <xf numFmtId="0" fontId="70" fillId="30" borderId="91" xfId="0" applyFont="1" applyFill="1" applyBorder="1" applyAlignment="1">
      <alignment horizontal="center" vertical="center" wrapText="1"/>
    </xf>
    <xf numFmtId="0" fontId="70" fillId="30" borderId="26" xfId="0" applyFont="1" applyFill="1" applyBorder="1" applyAlignment="1">
      <alignment horizontal="center" vertical="center" wrapText="1"/>
    </xf>
    <xf numFmtId="0" fontId="13" fillId="31" borderId="25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2" xfId="0" applyBorder="1"/>
    <xf numFmtId="3" fontId="13" fillId="0" borderId="10" xfId="0" applyNumberFormat="1" applyFont="1" applyBorder="1"/>
    <xf numFmtId="0" fontId="0" fillId="0" borderId="87" xfId="0" applyBorder="1"/>
    <xf numFmtId="3" fontId="68" fillId="0" borderId="0" xfId="59" applyNumberFormat="1" applyBorder="1"/>
    <xf numFmtId="3" fontId="10" fillId="0" borderId="0" xfId="0" applyNumberFormat="1" applyFont="1"/>
    <xf numFmtId="3" fontId="10" fillId="0" borderId="86" xfId="0" applyNumberFormat="1" applyFont="1" applyBorder="1"/>
    <xf numFmtId="0" fontId="13" fillId="0" borderId="13" xfId="0" applyFont="1" applyBorder="1" applyAlignment="1">
      <alignment horizontal="center"/>
    </xf>
    <xf numFmtId="0" fontId="13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75" fillId="0" borderId="0" xfId="0" applyFont="1" applyAlignment="1">
      <alignment horizontal="center"/>
    </xf>
    <xf numFmtId="175" fontId="10" fillId="0" borderId="0" xfId="0" applyNumberFormat="1" applyFont="1"/>
    <xf numFmtId="0" fontId="75" fillId="0" borderId="0" xfId="0" applyFont="1" applyAlignment="1">
      <alignment vertical="center"/>
    </xf>
    <xf numFmtId="3" fontId="13" fillId="25" borderId="13" xfId="0" applyNumberFormat="1" applyFont="1" applyFill="1" applyBorder="1" applyAlignment="1">
      <alignment vertical="center"/>
    </xf>
    <xf numFmtId="3" fontId="41" fillId="0" borderId="0" xfId="0" applyNumberFormat="1" applyFont="1" applyAlignment="1" applyProtection="1">
      <alignment vertical="center"/>
      <protection locked="0"/>
    </xf>
    <xf numFmtId="0" fontId="41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0" fillId="0" borderId="0" xfId="0" applyProtection="1">
      <protection locked="0"/>
    </xf>
    <xf numFmtId="3" fontId="41" fillId="0" borderId="0" xfId="0" applyNumberFormat="1" applyFont="1" applyProtection="1">
      <protection locked="0"/>
    </xf>
    <xf numFmtId="0" fontId="41" fillId="0" borderId="34" xfId="0" applyFont="1" applyBorder="1" applyAlignment="1" applyProtection="1">
      <alignment horizontal="center" vertical="center" wrapText="1"/>
      <protection locked="0"/>
    </xf>
    <xf numFmtId="0" fontId="76" fillId="0" borderId="0" xfId="0" applyFont="1"/>
    <xf numFmtId="0" fontId="39" fillId="0" borderId="0" xfId="0" applyFont="1" applyAlignment="1" applyProtection="1">
      <alignment horizontal="center" vertical="center"/>
      <protection locked="0"/>
    </xf>
    <xf numFmtId="0" fontId="26" fillId="29" borderId="93" xfId="0" applyFont="1" applyFill="1" applyBorder="1"/>
    <xf numFmtId="0" fontId="26" fillId="29" borderId="94" xfId="0" applyFont="1" applyFill="1" applyBorder="1"/>
    <xf numFmtId="0" fontId="26" fillId="29" borderId="97" xfId="0" applyFont="1" applyFill="1" applyBorder="1"/>
    <xf numFmtId="0" fontId="26" fillId="29" borderId="95" xfId="0" applyFont="1" applyFill="1" applyBorder="1"/>
    <xf numFmtId="0" fontId="26" fillId="29" borderId="96" xfId="0" applyFont="1" applyFill="1" applyBorder="1"/>
    <xf numFmtId="164" fontId="55" fillId="27" borderId="13" xfId="0" applyNumberFormat="1" applyFont="1" applyFill="1" applyBorder="1" applyAlignment="1">
      <alignment horizontal="center"/>
    </xf>
    <xf numFmtId="0" fontId="22" fillId="27" borderId="19" xfId="0" applyFont="1" applyFill="1" applyBorder="1"/>
    <xf numFmtId="0" fontId="10" fillId="27" borderId="44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1" fontId="0" fillId="0" borderId="15" xfId="0" applyNumberFormat="1" applyBorder="1" applyAlignment="1">
      <alignment horizontal="center"/>
    </xf>
    <xf numFmtId="0" fontId="22" fillId="27" borderId="13" xfId="0" applyFont="1" applyFill="1" applyBorder="1" applyAlignment="1">
      <alignment horizontal="center" vertical="top" wrapText="1"/>
    </xf>
    <xf numFmtId="179" fontId="10" fillId="0" borderId="0" xfId="0" applyNumberFormat="1" applyFont="1"/>
    <xf numFmtId="0" fontId="10" fillId="0" borderId="87" xfId="0" applyFont="1" applyBorder="1"/>
    <xf numFmtId="0" fontId="10" fillId="0" borderId="12" xfId="0" applyFont="1" applyBorder="1"/>
    <xf numFmtId="166" fontId="68" fillId="0" borderId="0" xfId="59" applyNumberFormat="1" applyBorder="1"/>
    <xf numFmtId="166" fontId="13" fillId="0" borderId="10" xfId="0" applyNumberFormat="1" applyFont="1" applyBorder="1"/>
    <xf numFmtId="170" fontId="13" fillId="0" borderId="0" xfId="35" applyNumberFormat="1" applyFont="1" applyBorder="1"/>
    <xf numFmtId="170" fontId="13" fillId="0" borderId="0" xfId="35" applyNumberFormat="1" applyFont="1"/>
    <xf numFmtId="0" fontId="0" fillId="0" borderId="13" xfId="0" applyBorder="1" applyAlignment="1">
      <alignment horizontal="center"/>
    </xf>
    <xf numFmtId="0" fontId="0" fillId="29" borderId="13" xfId="0" applyFill="1" applyBorder="1"/>
    <xf numFmtId="0" fontId="0" fillId="29" borderId="13" xfId="0" applyFill="1" applyBorder="1" applyAlignment="1">
      <alignment horizontal="center"/>
    </xf>
    <xf numFmtId="0" fontId="13" fillId="29" borderId="13" xfId="0" applyFont="1" applyFill="1" applyBorder="1" applyAlignment="1">
      <alignment horizontal="center"/>
    </xf>
    <xf numFmtId="0" fontId="10" fillId="29" borderId="13" xfId="0" applyFont="1" applyFill="1" applyBorder="1" applyAlignment="1">
      <alignment horizontal="left"/>
    </xf>
    <xf numFmtId="3" fontId="10" fillId="29" borderId="13" xfId="0" applyNumberFormat="1" applyFont="1" applyFill="1" applyBorder="1" applyAlignment="1">
      <alignment horizontal="center"/>
    </xf>
    <xf numFmtId="0" fontId="10" fillId="0" borderId="13" xfId="0" applyFont="1" applyBorder="1"/>
    <xf numFmtId="170" fontId="10" fillId="29" borderId="13" xfId="58" applyNumberFormat="1" applyFont="1" applyFill="1" applyBorder="1" applyAlignment="1">
      <alignment horizontal="center"/>
    </xf>
    <xf numFmtId="0" fontId="10" fillId="29" borderId="13" xfId="0" applyFont="1" applyFill="1" applyBorder="1"/>
    <xf numFmtId="3" fontId="10" fillId="0" borderId="0" xfId="35" applyNumberFormat="1" applyFont="1" applyFill="1" applyBorder="1" applyAlignment="1">
      <alignment horizontal="center"/>
    </xf>
    <xf numFmtId="170" fontId="10" fillId="0" borderId="0" xfId="35" applyNumberFormat="1" applyFont="1"/>
    <xf numFmtId="0" fontId="43" fillId="27" borderId="26" xfId="0" applyFont="1" applyFill="1" applyBorder="1" applyAlignment="1">
      <alignment vertical="center"/>
    </xf>
    <xf numFmtId="1" fontId="13" fillId="0" borderId="83" xfId="0" applyNumberFormat="1" applyFont="1" applyBorder="1" applyAlignment="1">
      <alignment horizontal="center" vertical="top"/>
    </xf>
    <xf numFmtId="1" fontId="0" fillId="0" borderId="28" xfId="0" applyNumberFormat="1" applyBorder="1" applyAlignment="1">
      <alignment horizontal="center"/>
    </xf>
    <xf numFmtId="0" fontId="0" fillId="29" borderId="0" xfId="0" applyFill="1" applyAlignment="1">
      <alignment vertical="top"/>
    </xf>
    <xf numFmtId="0" fontId="0" fillId="27" borderId="33" xfId="0" applyFill="1" applyBorder="1" applyAlignment="1">
      <alignment horizontal="center" vertical="top" wrapText="1"/>
    </xf>
    <xf numFmtId="0" fontId="0" fillId="27" borderId="18" xfId="0" applyFill="1" applyBorder="1" applyAlignment="1">
      <alignment horizontal="center" vertical="top" wrapText="1"/>
    </xf>
    <xf numFmtId="4" fontId="10" fillId="28" borderId="11" xfId="0" applyNumberFormat="1" applyFont="1" applyFill="1" applyBorder="1" applyAlignment="1">
      <alignment horizontal="center"/>
    </xf>
    <xf numFmtId="4" fontId="10" fillId="28" borderId="21" xfId="0" applyNumberFormat="1" applyFont="1" applyFill="1" applyBorder="1" applyAlignment="1">
      <alignment horizontal="center"/>
    </xf>
    <xf numFmtId="169" fontId="55" fillId="27" borderId="16" xfId="0" applyNumberFormat="1" applyFont="1" applyFill="1" applyBorder="1" applyAlignment="1">
      <alignment horizontal="center"/>
    </xf>
    <xf numFmtId="0" fontId="22" fillId="27" borderId="62" xfId="34" applyFont="1" applyFill="1" applyBorder="1"/>
    <xf numFmtId="168" fontId="55" fillId="27" borderId="15" xfId="0" applyNumberFormat="1" applyFont="1" applyFill="1" applyBorder="1" applyAlignment="1">
      <alignment horizontal="center"/>
    </xf>
    <xf numFmtId="169" fontId="55" fillId="27" borderId="15" xfId="0" applyNumberFormat="1" applyFont="1" applyFill="1" applyBorder="1" applyAlignment="1">
      <alignment horizontal="center"/>
    </xf>
    <xf numFmtId="0" fontId="66" fillId="32" borderId="18" xfId="0" applyFont="1" applyFill="1" applyBorder="1" applyAlignment="1">
      <alignment horizontal="center" vertical="top" wrapText="1"/>
    </xf>
    <xf numFmtId="0" fontId="66" fillId="32" borderId="69" xfId="0" applyFont="1" applyFill="1" applyBorder="1" applyAlignment="1">
      <alignment horizontal="center" vertical="top" wrapText="1"/>
    </xf>
    <xf numFmtId="3" fontId="13" fillId="27" borderId="19" xfId="34" applyNumberFormat="1" applyFont="1" applyFill="1" applyBorder="1" applyAlignment="1">
      <alignment horizontal="center"/>
    </xf>
    <xf numFmtId="3" fontId="13" fillId="27" borderId="48" xfId="34" applyNumberFormat="1" applyFont="1" applyFill="1" applyBorder="1" applyAlignment="1">
      <alignment horizontal="center"/>
    </xf>
    <xf numFmtId="3" fontId="13" fillId="27" borderId="98" xfId="34" applyNumberFormat="1" applyFont="1" applyFill="1" applyBorder="1" applyAlignment="1">
      <alignment horizontal="center"/>
    </xf>
    <xf numFmtId="3" fontId="13" fillId="27" borderId="65" xfId="34" applyNumberFormat="1" applyFont="1" applyFill="1" applyBorder="1" applyAlignment="1">
      <alignment horizontal="center"/>
    </xf>
    <xf numFmtId="0" fontId="22" fillId="27" borderId="98" xfId="0" applyFont="1" applyFill="1" applyBorder="1"/>
    <xf numFmtId="0" fontId="22" fillId="27" borderId="63" xfId="34" applyFont="1" applyFill="1" applyBorder="1"/>
    <xf numFmtId="0" fontId="10" fillId="0" borderId="0" xfId="0" applyFont="1" applyAlignment="1">
      <alignment horizontal="right"/>
    </xf>
    <xf numFmtId="0" fontId="10" fillId="0" borderId="0" xfId="48" applyProtection="1">
      <protection locked="0"/>
    </xf>
    <xf numFmtId="182" fontId="0" fillId="0" borderId="0" xfId="60" applyFont="1" applyProtection="1">
      <protection locked="0"/>
    </xf>
    <xf numFmtId="0" fontId="13" fillId="34" borderId="18" xfId="48" applyFont="1" applyFill="1" applyBorder="1" applyAlignment="1" applyProtection="1">
      <alignment horizontal="center" vertical="center"/>
      <protection locked="0"/>
    </xf>
    <xf numFmtId="170" fontId="13" fillId="34" borderId="64" xfId="48" applyNumberFormat="1" applyFont="1" applyFill="1" applyBorder="1" applyAlignment="1">
      <alignment horizontal="center" vertical="center"/>
    </xf>
    <xf numFmtId="0" fontId="13" fillId="34" borderId="25" xfId="48" applyFont="1" applyFill="1" applyBorder="1" applyAlignment="1" applyProtection="1">
      <alignment horizontal="center" vertical="center"/>
      <protection locked="0"/>
    </xf>
    <xf numFmtId="166" fontId="78" fillId="0" borderId="50" xfId="48" applyNumberFormat="1" applyFont="1" applyBorder="1" applyAlignment="1">
      <alignment horizontal="center" vertical="center"/>
    </xf>
    <xf numFmtId="166" fontId="78" fillId="0" borderId="39" xfId="48" applyNumberFormat="1" applyFont="1" applyBorder="1" applyAlignment="1">
      <alignment horizontal="center" vertical="center"/>
    </xf>
    <xf numFmtId="166" fontId="78" fillId="0" borderId="38" xfId="48" applyNumberFormat="1" applyFont="1" applyBorder="1" applyAlignment="1">
      <alignment horizontal="center" vertical="center"/>
    </xf>
    <xf numFmtId="166" fontId="78" fillId="0" borderId="64" xfId="48" applyNumberFormat="1" applyFont="1" applyBorder="1" applyAlignment="1">
      <alignment horizontal="center" vertical="center"/>
    </xf>
    <xf numFmtId="166" fontId="78" fillId="0" borderId="26" xfId="48" applyNumberFormat="1" applyFont="1" applyBorder="1" applyAlignment="1">
      <alignment horizontal="center" vertical="center"/>
    </xf>
    <xf numFmtId="166" fontId="78" fillId="0" borderId="25" xfId="48" applyNumberFormat="1" applyFont="1" applyBorder="1" applyAlignment="1">
      <alignment horizontal="center" vertical="center"/>
    </xf>
    <xf numFmtId="0" fontId="79" fillId="0" borderId="0" xfId="48" applyFont="1" applyAlignment="1" applyProtection="1">
      <alignment vertical="center"/>
      <protection locked="0"/>
    </xf>
    <xf numFmtId="0" fontId="80" fillId="29" borderId="0" xfId="48" applyFont="1" applyFill="1" applyAlignment="1" applyProtection="1">
      <alignment horizontal="center" vertical="center"/>
      <protection locked="0"/>
    </xf>
    <xf numFmtId="3" fontId="0" fillId="0" borderId="69" xfId="60" applyNumberFormat="1" applyFont="1" applyFill="1" applyBorder="1" applyAlignment="1" applyProtection="1">
      <alignment horizontal="center" vertical="center"/>
    </xf>
    <xf numFmtId="3" fontId="0" fillId="0" borderId="17" xfId="60" applyNumberFormat="1" applyFont="1" applyFill="1" applyBorder="1" applyAlignment="1" applyProtection="1">
      <alignment horizontal="center" vertical="center"/>
    </xf>
    <xf numFmtId="3" fontId="0" fillId="0" borderId="18" xfId="60" applyNumberFormat="1" applyFont="1" applyFill="1" applyBorder="1" applyAlignment="1" applyProtection="1">
      <alignment horizontal="center" vertical="center"/>
    </xf>
    <xf numFmtId="0" fontId="10" fillId="0" borderId="20" xfId="48" applyBorder="1" applyAlignment="1" applyProtection="1">
      <alignment horizontal="center" vertical="center"/>
      <protection locked="0"/>
    </xf>
    <xf numFmtId="0" fontId="10" fillId="0" borderId="60" xfId="48" applyBorder="1" applyAlignment="1" applyProtection="1">
      <alignment horizontal="center" vertical="center"/>
      <protection locked="0"/>
    </xf>
    <xf numFmtId="3" fontId="10" fillId="36" borderId="69" xfId="48" applyNumberFormat="1" applyFill="1" applyBorder="1" applyAlignment="1">
      <alignment horizontal="center" vertical="center"/>
    </xf>
    <xf numFmtId="3" fontId="10" fillId="36" borderId="17" xfId="48" applyNumberFormat="1" applyFill="1" applyBorder="1" applyAlignment="1">
      <alignment horizontal="center" vertical="center"/>
    </xf>
    <xf numFmtId="3" fontId="0" fillId="36" borderId="18" xfId="60" applyNumberFormat="1" applyFont="1" applyFill="1" applyBorder="1" applyAlignment="1" applyProtection="1">
      <alignment horizontal="center" vertical="center"/>
    </xf>
    <xf numFmtId="0" fontId="10" fillId="0" borderId="30" xfId="48" applyBorder="1" applyAlignment="1" applyProtection="1">
      <alignment horizontal="center" vertical="center"/>
      <protection locked="0"/>
    </xf>
    <xf numFmtId="1" fontId="10" fillId="0" borderId="69" xfId="48" applyNumberFormat="1" applyBorder="1" applyAlignment="1">
      <alignment horizontal="center" vertical="center"/>
    </xf>
    <xf numFmtId="1" fontId="10" fillId="0" borderId="17" xfId="48" applyNumberFormat="1" applyBorder="1" applyAlignment="1">
      <alignment horizontal="center" vertical="center"/>
    </xf>
    <xf numFmtId="3" fontId="0" fillId="0" borderId="18" xfId="60" applyNumberFormat="1" applyFont="1" applyFill="1" applyBorder="1" applyAlignment="1" applyProtection="1">
      <alignment horizontal="center" vertical="center"/>
      <protection locked="0"/>
    </xf>
    <xf numFmtId="0" fontId="10" fillId="0" borderId="35" xfId="48" applyBorder="1" applyAlignment="1" applyProtection="1">
      <alignment horizontal="center" vertical="center"/>
      <protection locked="0"/>
    </xf>
    <xf numFmtId="3" fontId="10" fillId="0" borderId="66" xfId="48" applyNumberFormat="1" applyBorder="1" applyAlignment="1">
      <alignment horizontal="center" vertical="center"/>
    </xf>
    <xf numFmtId="3" fontId="10" fillId="0" borderId="0" xfId="48" applyNumberFormat="1" applyAlignment="1">
      <alignment horizontal="center" vertical="center"/>
    </xf>
    <xf numFmtId="3" fontId="0" fillId="0" borderId="24" xfId="60" applyNumberFormat="1" applyFont="1" applyFill="1" applyBorder="1" applyAlignment="1" applyProtection="1">
      <alignment horizontal="center" vertical="center"/>
      <protection locked="0"/>
    </xf>
    <xf numFmtId="3" fontId="10" fillId="0" borderId="64" xfId="48" applyNumberFormat="1" applyBorder="1" applyAlignment="1">
      <alignment horizontal="center" vertical="center"/>
    </xf>
    <xf numFmtId="3" fontId="10" fillId="0" borderId="26" xfId="48" applyNumberFormat="1" applyBorder="1" applyAlignment="1">
      <alignment horizontal="center" vertical="center"/>
    </xf>
    <xf numFmtId="3" fontId="0" fillId="0" borderId="25" xfId="60" applyNumberFormat="1" applyFont="1" applyFill="1" applyBorder="1" applyAlignment="1" applyProtection="1">
      <alignment horizontal="center" vertical="center"/>
      <protection locked="0"/>
    </xf>
    <xf numFmtId="0" fontId="10" fillId="0" borderId="99" xfId="48" applyBorder="1" applyAlignment="1" applyProtection="1">
      <alignment horizontal="center" vertical="center"/>
      <protection locked="0"/>
    </xf>
    <xf numFmtId="3" fontId="10" fillId="0" borderId="69" xfId="48" applyNumberFormat="1" applyBorder="1" applyAlignment="1">
      <alignment horizontal="center" vertical="center"/>
    </xf>
    <xf numFmtId="3" fontId="10" fillId="0" borderId="17" xfId="48" applyNumberFormat="1" applyBorder="1" applyAlignment="1">
      <alignment horizontal="center" vertical="center"/>
    </xf>
    <xf numFmtId="0" fontId="10" fillId="0" borderId="100" xfId="48" applyBorder="1" applyAlignment="1" applyProtection="1">
      <alignment horizontal="center" vertical="center"/>
      <protection locked="0"/>
    </xf>
    <xf numFmtId="0" fontId="10" fillId="0" borderId="41" xfId="48" applyBorder="1" applyAlignment="1" applyProtection="1">
      <alignment horizontal="center" vertical="center"/>
      <protection locked="0"/>
    </xf>
    <xf numFmtId="0" fontId="10" fillId="0" borderId="85" xfId="48" applyBorder="1" applyAlignment="1" applyProtection="1">
      <alignment horizontal="center" vertical="center"/>
      <protection locked="0"/>
    </xf>
    <xf numFmtId="0" fontId="79" fillId="0" borderId="66" xfId="48" applyFont="1" applyBorder="1" applyAlignment="1" applyProtection="1">
      <alignment vertical="center"/>
      <protection locked="0"/>
    </xf>
    <xf numFmtId="3" fontId="10" fillId="0" borderId="0" xfId="48" applyNumberFormat="1" applyAlignment="1" applyProtection="1">
      <alignment horizontal="center" vertical="center"/>
      <protection locked="0"/>
    </xf>
    <xf numFmtId="3" fontId="0" fillId="0" borderId="24" xfId="60" applyNumberFormat="1" applyFont="1" applyFill="1" applyBorder="1" applyAlignment="1" applyProtection="1">
      <alignment horizontal="center" vertical="center"/>
    </xf>
    <xf numFmtId="0" fontId="10" fillId="0" borderId="89" xfId="48" applyBorder="1" applyAlignment="1" applyProtection="1">
      <alignment horizontal="center" vertical="center"/>
      <protection locked="0"/>
    </xf>
    <xf numFmtId="0" fontId="10" fillId="0" borderId="17" xfId="48" applyBorder="1" applyAlignment="1" applyProtection="1">
      <alignment horizontal="center" vertical="center"/>
      <protection locked="0"/>
    </xf>
    <xf numFmtId="0" fontId="79" fillId="0" borderId="64" xfId="48" applyFont="1" applyBorder="1" applyAlignment="1" applyProtection="1">
      <alignment vertical="center"/>
      <protection locked="0"/>
    </xf>
    <xf numFmtId="0" fontId="79" fillId="0" borderId="26" xfId="48" applyFont="1" applyBorder="1" applyAlignment="1" applyProtection="1">
      <alignment vertical="center"/>
      <protection locked="0"/>
    </xf>
    <xf numFmtId="3" fontId="10" fillId="0" borderId="26" xfId="48" applyNumberFormat="1" applyBorder="1" applyAlignment="1" applyProtection="1">
      <alignment horizontal="center" vertical="center"/>
      <protection locked="0"/>
    </xf>
    <xf numFmtId="3" fontId="0" fillId="0" borderId="25" xfId="60" applyNumberFormat="1" applyFont="1" applyFill="1" applyBorder="1" applyAlignment="1" applyProtection="1">
      <alignment horizontal="center" vertical="center"/>
    </xf>
    <xf numFmtId="0" fontId="10" fillId="0" borderId="26" xfId="48" applyBorder="1" applyAlignment="1" applyProtection="1">
      <alignment horizontal="center" vertical="center"/>
      <protection locked="0"/>
    </xf>
    <xf numFmtId="0" fontId="13" fillId="35" borderId="64" xfId="48" applyFont="1" applyFill="1" applyBorder="1" applyAlignment="1" applyProtection="1">
      <alignment horizontal="center" vertical="center"/>
      <protection locked="0"/>
    </xf>
    <xf numFmtId="0" fontId="13" fillId="35" borderId="26" xfId="48" applyFont="1" applyFill="1" applyBorder="1" applyAlignment="1" applyProtection="1">
      <alignment horizontal="center" vertical="center"/>
      <protection locked="0"/>
    </xf>
    <xf numFmtId="0" fontId="13" fillId="35" borderId="25" xfId="48" applyFont="1" applyFill="1" applyBorder="1" applyAlignment="1" applyProtection="1">
      <alignment horizontal="center" vertical="center"/>
      <protection locked="0"/>
    </xf>
    <xf numFmtId="182" fontId="0" fillId="0" borderId="0" xfId="60" applyFont="1" applyAlignment="1" applyProtection="1">
      <alignment vertical="center"/>
      <protection locked="0"/>
    </xf>
    <xf numFmtId="0" fontId="10" fillId="0" borderId="0" xfId="48" applyAlignment="1" applyProtection="1">
      <alignment vertical="center"/>
      <protection locked="0"/>
    </xf>
    <xf numFmtId="185" fontId="0" fillId="0" borderId="0" xfId="60" applyNumberFormat="1" applyFont="1" applyAlignment="1" applyProtection="1">
      <alignment vertical="center"/>
      <protection locked="0"/>
    </xf>
    <xf numFmtId="0" fontId="13" fillId="0" borderId="0" xfId="48" applyFont="1" applyAlignment="1" applyProtection="1">
      <alignment horizontal="center" vertical="center"/>
      <protection locked="0"/>
    </xf>
    <xf numFmtId="0" fontId="13" fillId="29" borderId="0" xfId="48" applyFont="1" applyFill="1" applyAlignment="1" applyProtection="1">
      <alignment vertical="center"/>
      <protection locked="0"/>
    </xf>
    <xf numFmtId="0" fontId="81" fillId="29" borderId="0" xfId="48" applyFont="1" applyFill="1" applyAlignment="1" applyProtection="1">
      <alignment vertical="center"/>
      <protection locked="0"/>
    </xf>
    <xf numFmtId="170" fontId="13" fillId="29" borderId="0" xfId="48" applyNumberFormat="1" applyFont="1" applyFill="1" applyAlignment="1" applyProtection="1">
      <alignment horizontal="left" vertical="center"/>
      <protection locked="0"/>
    </xf>
    <xf numFmtId="0" fontId="13" fillId="0" borderId="0" xfId="48" applyFont="1" applyAlignment="1" applyProtection="1">
      <alignment vertical="center"/>
      <protection locked="0"/>
    </xf>
    <xf numFmtId="9" fontId="13" fillId="29" borderId="0" xfId="48" applyNumberFormat="1" applyFont="1" applyFill="1" applyAlignment="1" applyProtection="1">
      <alignment vertical="center" wrapText="1"/>
      <protection locked="0"/>
    </xf>
    <xf numFmtId="0" fontId="10" fillId="0" borderId="0" xfId="48" applyAlignment="1" applyProtection="1">
      <alignment horizontal="center" vertical="center"/>
      <protection locked="0"/>
    </xf>
    <xf numFmtId="0" fontId="13" fillId="35" borderId="18" xfId="48" applyFont="1" applyFill="1" applyBorder="1" applyAlignment="1" applyProtection="1">
      <alignment horizontal="center" vertical="center"/>
      <protection locked="0"/>
    </xf>
    <xf numFmtId="0" fontId="10" fillId="0" borderId="83" xfId="48" applyBorder="1" applyAlignment="1" applyProtection="1">
      <alignment horizontal="center" vertical="center"/>
      <protection locked="0"/>
    </xf>
    <xf numFmtId="0" fontId="10" fillId="0" borderId="39" xfId="48" applyBorder="1" applyAlignment="1" applyProtection="1">
      <alignment horizontal="center" vertical="center"/>
      <protection locked="0"/>
    </xf>
    <xf numFmtId="0" fontId="10" fillId="0" borderId="61" xfId="48" applyBorder="1" applyAlignment="1" applyProtection="1">
      <alignment horizontal="center" vertical="center"/>
      <protection locked="0"/>
    </xf>
    <xf numFmtId="0" fontId="10" fillId="0" borderId="56" xfId="48" applyBorder="1" applyAlignment="1" applyProtection="1">
      <alignment horizontal="center" vertical="center"/>
      <protection locked="0"/>
    </xf>
    <xf numFmtId="0" fontId="10" fillId="0" borderId="66" xfId="48" applyBorder="1" applyAlignment="1" applyProtection="1">
      <alignment vertical="center"/>
      <protection locked="0"/>
    </xf>
    <xf numFmtId="0" fontId="10" fillId="0" borderId="64" xfId="48" applyBorder="1" applyAlignment="1" applyProtection="1">
      <alignment vertical="center"/>
      <protection locked="0"/>
    </xf>
    <xf numFmtId="0" fontId="10" fillId="0" borderId="26" xfId="48" applyBorder="1" applyAlignment="1" applyProtection="1">
      <alignment vertical="center"/>
      <protection locked="0"/>
    </xf>
    <xf numFmtId="9" fontId="82" fillId="0" borderId="0" xfId="35" applyFont="1" applyFill="1" applyBorder="1" applyAlignment="1" applyProtection="1">
      <alignment horizontal="center" vertical="center"/>
      <protection locked="0"/>
    </xf>
    <xf numFmtId="0" fontId="83" fillId="0" borderId="0" xfId="48" applyFont="1"/>
    <xf numFmtId="0" fontId="10" fillId="0" borderId="0" xfId="48" applyAlignment="1" applyProtection="1">
      <alignment vertical="center" wrapText="1"/>
      <protection locked="0"/>
    </xf>
    <xf numFmtId="0" fontId="10" fillId="29" borderId="83" xfId="48" applyFill="1" applyBorder="1" applyAlignment="1">
      <alignment horizontal="center" vertical="center"/>
    </xf>
    <xf numFmtId="186" fontId="82" fillId="38" borderId="17" xfId="60" applyNumberFormat="1" applyFont="1" applyFill="1" applyBorder="1" applyAlignment="1" applyProtection="1">
      <alignment horizontal="center" vertical="center"/>
      <protection locked="0"/>
    </xf>
    <xf numFmtId="0" fontId="10" fillId="29" borderId="83" xfId="48" applyFill="1" applyBorder="1" applyAlignment="1">
      <alignment horizontal="center" vertical="center" wrapText="1"/>
    </xf>
    <xf numFmtId="0" fontId="13" fillId="29" borderId="18" xfId="48" applyFont="1" applyFill="1" applyBorder="1" applyAlignment="1">
      <alignment horizontal="center" vertical="center"/>
    </xf>
    <xf numFmtId="0" fontId="10" fillId="29" borderId="90" xfId="48" applyFill="1" applyBorder="1" applyAlignment="1">
      <alignment horizontal="center" vertical="center"/>
    </xf>
    <xf numFmtId="186" fontId="82" fillId="38" borderId="0" xfId="60" applyNumberFormat="1" applyFont="1" applyFill="1" applyBorder="1" applyAlignment="1" applyProtection="1">
      <alignment horizontal="center" vertical="center"/>
      <protection locked="0"/>
    </xf>
    <xf numFmtId="0" fontId="10" fillId="29" borderId="90" xfId="48" applyFill="1" applyBorder="1" applyAlignment="1">
      <alignment horizontal="center" vertical="center" wrapText="1"/>
    </xf>
    <xf numFmtId="0" fontId="13" fillId="29" borderId="24" xfId="48" applyFont="1" applyFill="1" applyBorder="1" applyAlignment="1">
      <alignment horizontal="center" vertical="center"/>
    </xf>
    <xf numFmtId="0" fontId="10" fillId="29" borderId="52" xfId="48" applyFill="1" applyBorder="1" applyAlignment="1">
      <alignment horizontal="center" vertical="center" wrapText="1"/>
    </xf>
    <xf numFmtId="0" fontId="10" fillId="29" borderId="61" xfId="48" applyFill="1" applyBorder="1" applyAlignment="1">
      <alignment horizontal="center" vertical="center"/>
    </xf>
    <xf numFmtId="187" fontId="82" fillId="38" borderId="39" xfId="60" applyNumberFormat="1" applyFont="1" applyFill="1" applyBorder="1" applyAlignment="1" applyProtection="1">
      <alignment horizontal="center" vertical="center"/>
      <protection locked="0"/>
    </xf>
    <xf numFmtId="0" fontId="10" fillId="29" borderId="52" xfId="48" applyFill="1" applyBorder="1" applyAlignment="1">
      <alignment horizontal="center" vertical="center"/>
    </xf>
    <xf numFmtId="0" fontId="10" fillId="29" borderId="38" xfId="48" applyFill="1" applyBorder="1" applyAlignment="1">
      <alignment horizontal="center" vertical="center" wrapText="1"/>
    </xf>
    <xf numFmtId="166" fontId="78" fillId="29" borderId="0" xfId="60" applyNumberFormat="1" applyFont="1" applyFill="1" applyBorder="1" applyAlignment="1" applyProtection="1">
      <alignment horizontal="center" vertical="center"/>
    </xf>
    <xf numFmtId="166" fontId="78" fillId="29" borderId="26" xfId="60" applyNumberFormat="1" applyFont="1" applyFill="1" applyBorder="1" applyAlignment="1" applyProtection="1">
      <alignment horizontal="center" vertical="center"/>
    </xf>
    <xf numFmtId="0" fontId="10" fillId="29" borderId="84" xfId="48" applyFill="1" applyBorder="1" applyAlignment="1">
      <alignment horizontal="center" vertical="center" wrapText="1"/>
    </xf>
    <xf numFmtId="184" fontId="82" fillId="38" borderId="17" xfId="60" applyNumberFormat="1" applyFont="1" applyFill="1" applyBorder="1" applyAlignment="1" applyProtection="1">
      <alignment horizontal="center" vertical="center"/>
      <protection locked="0"/>
    </xf>
    <xf numFmtId="0" fontId="10" fillId="29" borderId="81" xfId="48" applyFill="1" applyBorder="1" applyAlignment="1">
      <alignment horizontal="center" vertical="center"/>
    </xf>
    <xf numFmtId="166" fontId="82" fillId="38" borderId="26" xfId="60" applyNumberFormat="1" applyFont="1" applyFill="1" applyBorder="1" applyAlignment="1" applyProtection="1">
      <alignment horizontal="center" vertical="center"/>
      <protection locked="0"/>
    </xf>
    <xf numFmtId="0" fontId="10" fillId="29" borderId="84" xfId="48" applyFill="1" applyBorder="1" applyAlignment="1">
      <alignment horizontal="center" vertical="center"/>
    </xf>
    <xf numFmtId="186" fontId="82" fillId="38" borderId="61" xfId="60" applyNumberFormat="1" applyFont="1" applyFill="1" applyBorder="1" applyAlignment="1" applyProtection="1">
      <alignment horizontal="center" vertical="center"/>
      <protection locked="0"/>
    </xf>
    <xf numFmtId="0" fontId="10" fillId="0" borderId="52" xfId="48" applyBorder="1" applyAlignment="1">
      <alignment horizontal="center" vertical="center"/>
    </xf>
    <xf numFmtId="0" fontId="10" fillId="29" borderId="58" xfId="48" applyFill="1" applyBorder="1" applyAlignment="1">
      <alignment horizontal="center" vertical="center"/>
    </xf>
    <xf numFmtId="0" fontId="13" fillId="29" borderId="25" xfId="48" applyFont="1" applyFill="1" applyBorder="1" applyAlignment="1">
      <alignment horizontal="center" vertical="center"/>
    </xf>
    <xf numFmtId="0" fontId="10" fillId="29" borderId="0" xfId="48" applyFill="1" applyAlignment="1">
      <alignment horizontal="center" vertical="center"/>
    </xf>
    <xf numFmtId="166" fontId="82" fillId="29" borderId="0" xfId="60" applyNumberFormat="1" applyFont="1" applyFill="1" applyBorder="1" applyAlignment="1" applyProtection="1">
      <alignment horizontal="center" vertical="center"/>
      <protection locked="0"/>
    </xf>
    <xf numFmtId="0" fontId="13" fillId="29" borderId="0" xfId="48" applyFont="1" applyFill="1" applyAlignment="1">
      <alignment horizontal="center" vertical="center" wrapText="1"/>
    </xf>
    <xf numFmtId="166" fontId="82" fillId="38" borderId="39" xfId="60" applyNumberFormat="1" applyFont="1" applyFill="1" applyBorder="1" applyAlignment="1" applyProtection="1">
      <alignment horizontal="center" vertical="center"/>
      <protection locked="0"/>
    </xf>
    <xf numFmtId="0" fontId="10" fillId="29" borderId="98" xfId="48" applyFill="1" applyBorder="1" applyAlignment="1">
      <alignment horizontal="center" vertical="center"/>
    </xf>
    <xf numFmtId="166" fontId="82" fillId="38" borderId="0" xfId="60" applyNumberFormat="1" applyFont="1" applyFill="1" applyBorder="1" applyAlignment="1" applyProtection="1">
      <alignment horizontal="center" vertical="center"/>
      <protection locked="0"/>
    </xf>
    <xf numFmtId="186" fontId="82" fillId="38" borderId="26" xfId="60" applyNumberFormat="1" applyFont="1" applyFill="1" applyBorder="1" applyAlignment="1" applyProtection="1">
      <alignment horizontal="center" vertical="center"/>
      <protection locked="0"/>
    </xf>
    <xf numFmtId="188" fontId="78" fillId="0" borderId="0" xfId="61" applyNumberFormat="1" applyFont="1" applyBorder="1" applyAlignment="1" applyProtection="1">
      <alignment horizontal="center" vertical="center"/>
    </xf>
    <xf numFmtId="9" fontId="78" fillId="0" borderId="0" xfId="35" applyFont="1" applyFill="1" applyBorder="1" applyAlignment="1" applyProtection="1">
      <alignment horizontal="center" vertical="center"/>
      <protection locked="0"/>
    </xf>
    <xf numFmtId="9" fontId="78" fillId="0" borderId="38" xfId="35" applyFont="1" applyFill="1" applyBorder="1" applyAlignment="1" applyProtection="1">
      <alignment horizontal="center" vertical="center"/>
      <protection locked="0"/>
    </xf>
    <xf numFmtId="9" fontId="78" fillId="0" borderId="25" xfId="35" applyFont="1" applyFill="1" applyBorder="1" applyAlignment="1" applyProtection="1">
      <alignment horizontal="center" vertical="center"/>
      <protection locked="0"/>
    </xf>
    <xf numFmtId="190" fontId="82" fillId="38" borderId="102" xfId="60" applyNumberFormat="1" applyFont="1" applyFill="1" applyBorder="1" applyAlignment="1" applyProtection="1">
      <alignment horizontal="center" vertical="center"/>
      <protection locked="0"/>
    </xf>
    <xf numFmtId="191" fontId="82" fillId="38" borderId="103" xfId="60" applyNumberFormat="1" applyFont="1" applyFill="1" applyBorder="1" applyAlignment="1" applyProtection="1">
      <alignment horizontal="center" vertical="center"/>
      <protection locked="0"/>
    </xf>
    <xf numFmtId="2" fontId="82" fillId="38" borderId="101" xfId="60" applyNumberFormat="1" applyFont="1" applyFill="1" applyBorder="1" applyAlignment="1" applyProtection="1">
      <alignment horizontal="center" vertical="center"/>
      <protection locked="0"/>
    </xf>
    <xf numFmtId="0" fontId="10" fillId="0" borderId="102" xfId="48" applyBorder="1" applyAlignment="1" applyProtection="1">
      <alignment horizontal="center" vertical="center"/>
      <protection locked="0"/>
    </xf>
    <xf numFmtId="190" fontId="82" fillId="38" borderId="105" xfId="60" applyNumberFormat="1" applyFont="1" applyFill="1" applyBorder="1" applyAlignment="1" applyProtection="1">
      <alignment horizontal="center" vertical="center"/>
      <protection locked="0"/>
    </xf>
    <xf numFmtId="191" fontId="82" fillId="38" borderId="106" xfId="60" applyNumberFormat="1" applyFont="1" applyFill="1" applyBorder="1" applyAlignment="1" applyProtection="1">
      <alignment horizontal="center" vertical="center"/>
      <protection locked="0"/>
    </xf>
    <xf numFmtId="2" fontId="82" fillId="38" borderId="104" xfId="60" applyNumberFormat="1" applyFont="1" applyFill="1" applyBorder="1" applyAlignment="1" applyProtection="1">
      <alignment horizontal="center" vertical="center"/>
      <protection locked="0"/>
    </xf>
    <xf numFmtId="0" fontId="10" fillId="0" borderId="105" xfId="48" applyBorder="1" applyAlignment="1" applyProtection="1">
      <alignment horizontal="center" vertical="center"/>
      <protection locked="0"/>
    </xf>
    <xf numFmtId="181" fontId="10" fillId="0" borderId="104" xfId="48" applyNumberFormat="1" applyBorder="1" applyAlignment="1">
      <alignment horizontal="center" vertical="center"/>
    </xf>
    <xf numFmtId="190" fontId="82" fillId="38" borderId="108" xfId="60" applyNumberFormat="1" applyFont="1" applyFill="1" applyBorder="1" applyAlignment="1" applyProtection="1">
      <alignment horizontal="center" vertical="center"/>
      <protection locked="0"/>
    </xf>
    <xf numFmtId="191" fontId="82" fillId="38" borderId="109" xfId="60" applyNumberFormat="1" applyFont="1" applyFill="1" applyBorder="1" applyAlignment="1" applyProtection="1">
      <alignment horizontal="center" vertical="center"/>
      <protection locked="0"/>
    </xf>
    <xf numFmtId="181" fontId="10" fillId="0" borderId="107" xfId="48" applyNumberFormat="1" applyBorder="1" applyAlignment="1">
      <alignment horizontal="center" vertical="center"/>
    </xf>
    <xf numFmtId="0" fontId="10" fillId="0" borderId="108" xfId="48" applyBorder="1" applyAlignment="1" applyProtection="1">
      <alignment horizontal="center" vertical="center"/>
      <protection locked="0"/>
    </xf>
    <xf numFmtId="0" fontId="84" fillId="0" borderId="61" xfId="48" applyFont="1" applyBorder="1" applyAlignment="1" applyProtection="1">
      <alignment horizontal="center" vertical="center" wrapText="1"/>
      <protection locked="0"/>
    </xf>
    <xf numFmtId="0" fontId="84" fillId="0" borderId="38" xfId="48" applyFont="1" applyBorder="1" applyAlignment="1" applyProtection="1">
      <alignment horizontal="center" vertical="center" wrapText="1"/>
      <protection locked="0"/>
    </xf>
    <xf numFmtId="0" fontId="84" fillId="0" borderId="39" xfId="48" applyFont="1" applyBorder="1" applyAlignment="1" applyProtection="1">
      <alignment horizontal="center" vertical="center" wrapText="1"/>
      <protection locked="0"/>
    </xf>
    <xf numFmtId="0" fontId="10" fillId="0" borderId="0" xfId="48" applyAlignment="1">
      <alignment horizontal="justify" vertical="center"/>
    </xf>
    <xf numFmtId="0" fontId="80" fillId="29" borderId="0" xfId="48" applyFont="1" applyFill="1" applyAlignment="1" applyProtection="1">
      <alignment vertical="center"/>
      <protection locked="0"/>
    </xf>
    <xf numFmtId="0" fontId="10" fillId="29" borderId="0" xfId="48" applyFill="1" applyAlignment="1" applyProtection="1">
      <alignment vertical="center"/>
      <protection locked="0"/>
    </xf>
    <xf numFmtId="191" fontId="82" fillId="38" borderId="61" xfId="60" applyNumberFormat="1" applyFont="1" applyFill="1" applyBorder="1" applyAlignment="1" applyProtection="1">
      <alignment horizontal="center" vertical="center"/>
      <protection locked="0"/>
    </xf>
    <xf numFmtId="0" fontId="80" fillId="29" borderId="38" xfId="48" applyFont="1" applyFill="1" applyBorder="1" applyAlignment="1" applyProtection="1">
      <alignment horizontal="center" vertical="center"/>
      <protection locked="0"/>
    </xf>
    <xf numFmtId="0" fontId="80" fillId="29" borderId="61" xfId="48" applyFont="1" applyFill="1" applyBorder="1" applyAlignment="1" applyProtection="1">
      <alignment horizontal="center" vertical="center"/>
      <protection locked="0"/>
    </xf>
    <xf numFmtId="184" fontId="82" fillId="38" borderId="61" xfId="60" applyNumberFormat="1" applyFont="1" applyFill="1" applyBorder="1" applyAlignment="1" applyProtection="1">
      <alignment horizontal="center" vertical="center"/>
      <protection locked="0"/>
    </xf>
    <xf numFmtId="183" fontId="13" fillId="35" borderId="69" xfId="48" applyNumberFormat="1" applyFont="1" applyFill="1" applyBorder="1" applyAlignment="1">
      <alignment horizontal="center" vertical="center"/>
    </xf>
    <xf numFmtId="192" fontId="80" fillId="29" borderId="61" xfId="48" applyNumberFormat="1" applyFont="1" applyFill="1" applyBorder="1" applyAlignment="1">
      <alignment horizontal="center" vertical="center"/>
    </xf>
    <xf numFmtId="170" fontId="13" fillId="35" borderId="64" xfId="35" applyNumberFormat="1" applyFont="1" applyFill="1" applyBorder="1" applyAlignment="1" applyProtection="1">
      <alignment horizontal="center" vertical="center"/>
    </xf>
    <xf numFmtId="183" fontId="13" fillId="36" borderId="69" xfId="48" applyNumberFormat="1" applyFont="1" applyFill="1" applyBorder="1" applyAlignment="1">
      <alignment horizontal="center" vertical="center"/>
    </xf>
    <xf numFmtId="0" fontId="13" fillId="36" borderId="18" xfId="48" applyFont="1" applyFill="1" applyBorder="1" applyAlignment="1" applyProtection="1">
      <alignment horizontal="center" vertical="center"/>
      <protection locked="0"/>
    </xf>
    <xf numFmtId="170" fontId="84" fillId="36" borderId="64" xfId="48" applyNumberFormat="1" applyFont="1" applyFill="1" applyBorder="1" applyAlignment="1">
      <alignment horizontal="center" vertical="center"/>
    </xf>
    <xf numFmtId="0" fontId="13" fillId="36" borderId="25" xfId="48" applyFont="1" applyFill="1" applyBorder="1" applyAlignment="1" applyProtection="1">
      <alignment horizontal="center" vertical="center"/>
      <protection locked="0"/>
    </xf>
    <xf numFmtId="0" fontId="80" fillId="29" borderId="0" xfId="48" applyFont="1" applyFill="1" applyAlignment="1" applyProtection="1">
      <alignment vertical="center" wrapText="1"/>
      <protection locked="0"/>
    </xf>
    <xf numFmtId="191" fontId="82" fillId="29" borderId="0" xfId="60" applyNumberFormat="1" applyFont="1" applyFill="1" applyBorder="1" applyAlignment="1" applyProtection="1">
      <alignment horizontal="center" vertical="center"/>
      <protection locked="0"/>
    </xf>
    <xf numFmtId="191" fontId="13" fillId="29" borderId="0" xfId="60" applyNumberFormat="1" applyFont="1" applyFill="1" applyBorder="1" applyAlignment="1" applyProtection="1">
      <alignment horizontal="center" vertical="center"/>
      <protection locked="0"/>
    </xf>
    <xf numFmtId="0" fontId="87" fillId="29" borderId="69" xfId="62" applyFill="1" applyBorder="1" applyAlignment="1">
      <alignment horizontal="center" vertical="center"/>
    </xf>
    <xf numFmtId="9" fontId="13" fillId="29" borderId="17" xfId="48" applyNumberFormat="1" applyFont="1" applyFill="1" applyBorder="1" applyAlignment="1">
      <alignment horizontal="center" vertical="center"/>
    </xf>
    <xf numFmtId="192" fontId="13" fillId="0" borderId="83" xfId="48" applyNumberFormat="1" applyFont="1" applyBorder="1" applyAlignment="1">
      <alignment horizontal="center" vertical="center" wrapText="1"/>
    </xf>
    <xf numFmtId="0" fontId="10" fillId="0" borderId="18" xfId="48" applyBorder="1" applyAlignment="1">
      <alignment vertical="center" wrapText="1"/>
    </xf>
    <xf numFmtId="0" fontId="40" fillId="0" borderId="18" xfId="48" applyFont="1" applyBorder="1" applyAlignment="1">
      <alignment horizontal="center" vertical="center"/>
    </xf>
    <xf numFmtId="0" fontId="13" fillId="29" borderId="66" xfId="48" applyFont="1" applyFill="1" applyBorder="1" applyAlignment="1">
      <alignment horizontal="center" vertical="center"/>
    </xf>
    <xf numFmtId="9" fontId="13" fillId="29" borderId="0" xfId="48" applyNumberFormat="1" applyFont="1" applyFill="1" applyAlignment="1">
      <alignment horizontal="center" vertical="center"/>
    </xf>
    <xf numFmtId="192" fontId="13" fillId="0" borderId="61" xfId="48" applyNumberFormat="1" applyFont="1" applyBorder="1" applyAlignment="1">
      <alignment horizontal="center" vertical="center" wrapText="1"/>
    </xf>
    <xf numFmtId="0" fontId="10" fillId="0" borderId="61" xfId="48" applyBorder="1" applyAlignment="1">
      <alignment vertical="center" wrapText="1"/>
    </xf>
    <xf numFmtId="0" fontId="40" fillId="0" borderId="61" xfId="48" applyFont="1" applyBorder="1" applyAlignment="1">
      <alignment horizontal="center" vertical="center"/>
    </xf>
    <xf numFmtId="0" fontId="87" fillId="29" borderId="66" xfId="62" applyFill="1" applyBorder="1" applyAlignment="1">
      <alignment horizontal="center" vertical="center" wrapText="1"/>
    </xf>
    <xf numFmtId="192" fontId="13" fillId="0" borderId="52" xfId="48" applyNumberFormat="1" applyFont="1" applyBorder="1" applyAlignment="1">
      <alignment horizontal="center" vertical="center" wrapText="1"/>
    </xf>
    <xf numFmtId="0" fontId="10" fillId="0" borderId="25" xfId="48" applyBorder="1" applyAlignment="1">
      <alignment vertical="center" wrapText="1"/>
    </xf>
    <xf numFmtId="0" fontId="13" fillId="29" borderId="64" xfId="48" applyFont="1" applyFill="1" applyBorder="1" applyAlignment="1">
      <alignment horizontal="center" vertical="center"/>
    </xf>
    <xf numFmtId="9" fontId="13" fillId="29" borderId="26" xfId="48" applyNumberFormat="1" applyFont="1" applyFill="1" applyBorder="1" applyAlignment="1">
      <alignment horizontal="center" vertical="center"/>
    </xf>
    <xf numFmtId="0" fontId="88" fillId="41" borderId="50" xfId="48" applyFont="1" applyFill="1" applyBorder="1" applyAlignment="1">
      <alignment horizontal="center" vertical="center" wrapText="1"/>
    </xf>
    <xf numFmtId="0" fontId="88" fillId="41" borderId="61" xfId="48" applyFont="1" applyFill="1" applyBorder="1" applyAlignment="1">
      <alignment horizontal="center" vertical="center" wrapText="1"/>
    </xf>
    <xf numFmtId="0" fontId="10" fillId="29" borderId="0" xfId="48" applyFill="1"/>
    <xf numFmtId="0" fontId="88" fillId="41" borderId="52" xfId="48" applyFont="1" applyFill="1" applyBorder="1" applyAlignment="1">
      <alignment horizontal="center" vertical="center" wrapText="1"/>
    </xf>
    <xf numFmtId="0" fontId="88" fillId="41" borderId="64" xfId="48" applyFont="1" applyFill="1" applyBorder="1" applyAlignment="1">
      <alignment horizontal="center" vertical="center" wrapText="1"/>
    </xf>
    <xf numFmtId="0" fontId="13" fillId="29" borderId="0" xfId="48" applyFont="1" applyFill="1" applyAlignment="1">
      <alignment horizontal="center"/>
    </xf>
    <xf numFmtId="181" fontId="89" fillId="38" borderId="104" xfId="60" applyNumberFormat="1" applyFont="1" applyFill="1" applyBorder="1" applyAlignment="1" applyProtection="1">
      <alignment horizontal="center" vertical="center"/>
      <protection locked="0"/>
    </xf>
    <xf numFmtId="193" fontId="13" fillId="34" borderId="69" xfId="48" applyNumberFormat="1" applyFont="1" applyFill="1" applyBorder="1" applyAlignment="1">
      <alignment horizontal="center" vertical="center"/>
    </xf>
    <xf numFmtId="0" fontId="80" fillId="0" borderId="0" xfId="48" applyFont="1" applyAlignment="1" applyProtection="1">
      <alignment vertical="center" wrapText="1"/>
      <protection locked="0"/>
    </xf>
    <xf numFmtId="0" fontId="80" fillId="0" borderId="0" xfId="48" applyFont="1" applyAlignment="1" applyProtection="1">
      <alignment vertical="center"/>
      <protection locked="0"/>
    </xf>
    <xf numFmtId="0" fontId="80" fillId="0" borderId="0" xfId="48" applyFont="1" applyAlignment="1" applyProtection="1">
      <alignment horizontal="center" vertical="center"/>
      <protection locked="0"/>
    </xf>
    <xf numFmtId="182" fontId="0" fillId="29" borderId="0" xfId="60" applyFont="1" applyFill="1" applyAlignment="1" applyProtection="1">
      <alignment vertical="center"/>
      <protection locked="0"/>
    </xf>
    <xf numFmtId="182" fontId="0" fillId="29" borderId="0" xfId="60" applyFont="1" applyFill="1" applyBorder="1" applyAlignment="1" applyProtection="1">
      <alignment vertical="center"/>
      <protection locked="0"/>
    </xf>
    <xf numFmtId="192" fontId="13" fillId="29" borderId="0" xfId="48" applyNumberFormat="1" applyFont="1" applyFill="1" applyAlignment="1">
      <alignment horizontal="center" vertical="center" wrapText="1"/>
    </xf>
    <xf numFmtId="9" fontId="10" fillId="0" borderId="45" xfId="35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94" fontId="13" fillId="0" borderId="13" xfId="0" applyNumberFormat="1" applyFont="1" applyBorder="1" applyAlignment="1">
      <alignment horizontal="center" vertical="center"/>
    </xf>
    <xf numFmtId="194" fontId="41" fillId="0" borderId="0" xfId="0" applyNumberFormat="1" applyFont="1" applyAlignment="1" applyProtection="1">
      <alignment vertical="center"/>
      <protection locked="0"/>
    </xf>
    <xf numFmtId="0" fontId="75" fillId="0" borderId="0" xfId="0" applyFont="1"/>
    <xf numFmtId="0" fontId="87" fillId="29" borderId="0" xfId="62" applyFill="1"/>
    <xf numFmtId="170" fontId="0" fillId="0" borderId="29" xfId="35" applyNumberFormat="1" applyFont="1" applyBorder="1" applyAlignment="1">
      <alignment horizontal="center"/>
    </xf>
    <xf numFmtId="0" fontId="13" fillId="27" borderId="31" xfId="0" applyFont="1" applyFill="1" applyBorder="1"/>
    <xf numFmtId="3" fontId="41" fillId="28" borderId="13" xfId="0" applyNumberFormat="1" applyFont="1" applyFill="1" applyBorder="1" applyAlignment="1">
      <alignment horizontal="center"/>
    </xf>
    <xf numFmtId="2" fontId="41" fillId="28" borderId="13" xfId="0" applyNumberFormat="1" applyFont="1" applyFill="1" applyBorder="1" applyAlignment="1">
      <alignment horizontal="center"/>
    </xf>
    <xf numFmtId="3" fontId="13" fillId="0" borderId="13" xfId="0" applyNumberFormat="1" applyFont="1" applyBorder="1" applyAlignment="1">
      <alignment horizontal="center"/>
    </xf>
    <xf numFmtId="0" fontId="13" fillId="0" borderId="62" xfId="0" applyFont="1" applyBorder="1"/>
    <xf numFmtId="0" fontId="13" fillId="0" borderId="12" xfId="0" applyFont="1" applyBorder="1"/>
    <xf numFmtId="181" fontId="0" fillId="0" borderId="13" xfId="0" applyNumberFormat="1" applyBorder="1" applyAlignment="1">
      <alignment horizontal="center"/>
    </xf>
    <xf numFmtId="4" fontId="10" fillId="28" borderId="45" xfId="0" applyNumberFormat="1" applyFont="1" applyFill="1" applyBorder="1" applyAlignment="1">
      <alignment horizontal="center"/>
    </xf>
    <xf numFmtId="4" fontId="10" fillId="28" borderId="20" xfId="0" applyNumberFormat="1" applyFont="1" applyFill="1" applyBorder="1" applyAlignment="1">
      <alignment horizontal="center"/>
    </xf>
    <xf numFmtId="4" fontId="10" fillId="28" borderId="13" xfId="0" applyNumberFormat="1" applyFont="1" applyFill="1" applyBorder="1" applyAlignment="1">
      <alignment horizontal="center"/>
    </xf>
    <xf numFmtId="4" fontId="10" fillId="28" borderId="16" xfId="0" applyNumberFormat="1" applyFont="1" applyFill="1" applyBorder="1" applyAlignment="1">
      <alignment horizontal="center"/>
    </xf>
    <xf numFmtId="0" fontId="25" fillId="29" borderId="76" xfId="31" applyFill="1" applyBorder="1" applyAlignment="1"/>
    <xf numFmtId="0" fontId="52" fillId="29" borderId="0" xfId="33" applyFont="1" applyFill="1"/>
    <xf numFmtId="0" fontId="52" fillId="29" borderId="75" xfId="33" applyFont="1" applyFill="1" applyBorder="1"/>
    <xf numFmtId="170" fontId="82" fillId="38" borderId="0" xfId="35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horizontal="center" vertical="top"/>
    </xf>
    <xf numFmtId="0" fontId="0" fillId="0" borderId="28" xfId="0" applyBorder="1" applyAlignment="1">
      <alignment horizontal="center" vertical="top"/>
    </xf>
    <xf numFmtId="0" fontId="0" fillId="27" borderId="87" xfId="0" applyFill="1" applyBorder="1" applyAlignment="1">
      <alignment vertical="top"/>
    </xf>
    <xf numFmtId="0" fontId="0" fillId="27" borderId="32" xfId="0" applyFill="1" applyBorder="1" applyAlignment="1">
      <alignment vertical="top"/>
    </xf>
    <xf numFmtId="0" fontId="66" fillId="42" borderId="13" xfId="0" quotePrefix="1" applyFont="1" applyFill="1" applyBorder="1" applyAlignment="1">
      <alignment vertical="top"/>
    </xf>
    <xf numFmtId="0" fontId="0" fillId="27" borderId="11" xfId="0" applyFill="1" applyBorder="1" applyAlignment="1">
      <alignment horizontal="center" vertical="top" wrapText="1"/>
    </xf>
    <xf numFmtId="0" fontId="10" fillId="27" borderId="36" xfId="0" applyFont="1" applyFill="1" applyBorder="1" applyAlignment="1">
      <alignment horizontal="center" vertical="top"/>
    </xf>
    <xf numFmtId="3" fontId="41" fillId="28" borderId="0" xfId="0" applyNumberFormat="1" applyFont="1" applyFill="1" applyProtection="1">
      <protection locked="0"/>
    </xf>
    <xf numFmtId="195" fontId="13" fillId="25" borderId="13" xfId="0" applyNumberFormat="1" applyFont="1" applyFill="1" applyBorder="1" applyAlignment="1">
      <alignment vertical="center"/>
    </xf>
    <xf numFmtId="0" fontId="66" fillId="42" borderId="15" xfId="0" quotePrefix="1" applyFont="1" applyFill="1" applyBorder="1" applyAlignment="1">
      <alignment vertical="top"/>
    </xf>
    <xf numFmtId="0" fontId="66" fillId="42" borderId="16" xfId="0" quotePrefix="1" applyFont="1" applyFill="1" applyBorder="1" applyAlignment="1">
      <alignment vertical="top"/>
    </xf>
    <xf numFmtId="0" fontId="13" fillId="27" borderId="42" xfId="0" applyFont="1" applyFill="1" applyBorder="1" applyAlignment="1">
      <alignment vertical="top"/>
    </xf>
    <xf numFmtId="0" fontId="10" fillId="24" borderId="57" xfId="0" applyFont="1" applyFill="1" applyBorder="1" applyAlignment="1">
      <alignment horizontal="left" vertical="top"/>
    </xf>
    <xf numFmtId="0" fontId="10" fillId="24" borderId="16" xfId="0" applyFont="1" applyFill="1" applyBorder="1" applyAlignment="1">
      <alignment horizontal="left" vertical="top"/>
    </xf>
    <xf numFmtId="0" fontId="22" fillId="27" borderId="16" xfId="0" applyFont="1" applyFill="1" applyBorder="1" applyAlignment="1">
      <alignment horizontal="center" vertical="top" wrapText="1"/>
    </xf>
    <xf numFmtId="3" fontId="10" fillId="0" borderId="13" xfId="0" applyNumberFormat="1" applyFont="1" applyBorder="1" applyAlignment="1">
      <alignment horizontal="center" vertical="top"/>
    </xf>
    <xf numFmtId="3" fontId="10" fillId="0" borderId="15" xfId="0" applyNumberFormat="1" applyFont="1" applyBorder="1" applyAlignment="1">
      <alignment horizontal="center" vertical="top"/>
    </xf>
    <xf numFmtId="3" fontId="10" fillId="0" borderId="16" xfId="0" applyNumberFormat="1" applyFont="1" applyBorder="1" applyAlignment="1">
      <alignment horizontal="center" vertical="top"/>
    </xf>
    <xf numFmtId="3" fontId="10" fillId="0" borderId="28" xfId="0" applyNumberFormat="1" applyFont="1" applyBorder="1" applyAlignment="1">
      <alignment horizontal="center" vertical="top"/>
    </xf>
    <xf numFmtId="0" fontId="10" fillId="0" borderId="12" xfId="0" applyFont="1" applyBorder="1" applyAlignment="1">
      <alignment horizontal="center" vertical="top"/>
    </xf>
    <xf numFmtId="0" fontId="10" fillId="43" borderId="67" xfId="0" applyFont="1" applyFill="1" applyBorder="1" applyAlignment="1">
      <alignment horizontal="center" vertical="top"/>
    </xf>
    <xf numFmtId="0" fontId="10" fillId="43" borderId="51" xfId="0" applyFont="1" applyFill="1" applyBorder="1" applyAlignment="1">
      <alignment horizontal="center" vertical="top"/>
    </xf>
    <xf numFmtId="0" fontId="10" fillId="43" borderId="51" xfId="0" applyFont="1" applyFill="1" applyBorder="1" applyAlignment="1">
      <alignment horizontal="center"/>
    </xf>
    <xf numFmtId="0" fontId="10" fillId="43" borderId="99" xfId="0" applyFont="1" applyFill="1" applyBorder="1" applyAlignment="1">
      <alignment horizontal="center"/>
    </xf>
    <xf numFmtId="0" fontId="10" fillId="43" borderId="57" xfId="0" applyFont="1" applyFill="1" applyBorder="1" applyAlignment="1">
      <alignment horizontal="center" vertical="top"/>
    </xf>
    <xf numFmtId="0" fontId="10" fillId="43" borderId="15" xfId="0" applyFont="1" applyFill="1" applyBorder="1" applyAlignment="1">
      <alignment horizontal="center" vertical="top"/>
    </xf>
    <xf numFmtId="0" fontId="10" fillId="43" borderId="13" xfId="0" applyFont="1" applyFill="1" applyBorder="1" applyAlignment="1">
      <alignment horizontal="center" vertical="top"/>
    </xf>
    <xf numFmtId="0" fontId="10" fillId="43" borderId="13" xfId="0" applyFont="1" applyFill="1" applyBorder="1" applyAlignment="1">
      <alignment horizontal="center"/>
    </xf>
    <xf numFmtId="0" fontId="10" fillId="43" borderId="16" xfId="0" applyFont="1" applyFill="1" applyBorder="1" applyAlignment="1">
      <alignment horizontal="center"/>
    </xf>
    <xf numFmtId="0" fontId="10" fillId="43" borderId="16" xfId="0" applyFont="1" applyFill="1" applyBorder="1" applyAlignment="1">
      <alignment horizontal="center" vertical="top"/>
    </xf>
    <xf numFmtId="0" fontId="10" fillId="43" borderId="12" xfId="0" applyFont="1" applyFill="1" applyBorder="1" applyAlignment="1">
      <alignment horizontal="center" vertical="top"/>
    </xf>
    <xf numFmtId="0" fontId="10" fillId="24" borderId="70" xfId="0" applyFont="1" applyFill="1" applyBorder="1" applyAlignment="1">
      <alignment horizontal="center" vertical="top"/>
    </xf>
    <xf numFmtId="0" fontId="10" fillId="24" borderId="51" xfId="0" applyFont="1" applyFill="1" applyBorder="1" applyAlignment="1">
      <alignment horizontal="center" vertical="top"/>
    </xf>
    <xf numFmtId="0" fontId="10" fillId="24" borderId="51" xfId="0" applyFont="1" applyFill="1" applyBorder="1" applyAlignment="1">
      <alignment horizontal="center"/>
    </xf>
    <xf numFmtId="0" fontId="10" fillId="24" borderId="57" xfId="0" applyFont="1" applyFill="1" applyBorder="1" applyAlignment="1">
      <alignment horizontal="center" vertical="top"/>
    </xf>
    <xf numFmtId="0" fontId="10" fillId="0" borderId="0" xfId="0" applyFont="1" applyAlignment="1">
      <alignment vertical="center"/>
    </xf>
    <xf numFmtId="173" fontId="55" fillId="38" borderId="13" xfId="0" applyNumberFormat="1" applyFont="1" applyFill="1" applyBorder="1" applyAlignment="1">
      <alignment horizontal="center"/>
    </xf>
    <xf numFmtId="1" fontId="13" fillId="0" borderId="40" xfId="48" applyNumberFormat="1" applyFont="1" applyBorder="1" applyAlignment="1">
      <alignment horizontal="center" vertical="center"/>
    </xf>
    <xf numFmtId="0" fontId="77" fillId="32" borderId="42" xfId="48" applyFont="1" applyFill="1" applyBorder="1" applyAlignment="1">
      <alignment horizontal="center" vertical="center"/>
    </xf>
    <xf numFmtId="3" fontId="26" fillId="29" borderId="97" xfId="0" applyNumberFormat="1" applyFont="1" applyFill="1" applyBorder="1" applyAlignment="1">
      <alignment horizontal="center"/>
    </xf>
    <xf numFmtId="177" fontId="26" fillId="29" borderId="97" xfId="0" applyNumberFormat="1" applyFont="1" applyFill="1" applyBorder="1" applyAlignment="1">
      <alignment horizontal="center"/>
    </xf>
    <xf numFmtId="0" fontId="93" fillId="0" borderId="0" xfId="0" applyFont="1" applyAlignment="1">
      <alignment vertical="center"/>
    </xf>
    <xf numFmtId="3" fontId="0" fillId="0" borderId="31" xfId="0" applyNumberFormat="1" applyBorder="1" applyAlignment="1">
      <alignment horizontal="center"/>
    </xf>
    <xf numFmtId="3" fontId="0" fillId="0" borderId="30" xfId="0" applyNumberFormat="1" applyBorder="1" applyAlignment="1">
      <alignment horizontal="center"/>
    </xf>
    <xf numFmtId="0" fontId="10" fillId="28" borderId="16" xfId="0" quotePrefix="1" applyFont="1" applyFill="1" applyBorder="1" applyAlignment="1">
      <alignment horizontal="left" indent="2"/>
    </xf>
    <xf numFmtId="3" fontId="10" fillId="28" borderId="12" xfId="0" applyNumberFormat="1" applyFont="1" applyFill="1" applyBorder="1" applyAlignment="1">
      <alignment horizontal="center" vertical="top"/>
    </xf>
    <xf numFmtId="3" fontId="10" fillId="28" borderId="13" xfId="0" applyNumberFormat="1" applyFont="1" applyFill="1" applyBorder="1" applyAlignment="1">
      <alignment horizontal="center" vertical="top"/>
    </xf>
    <xf numFmtId="3" fontId="10" fillId="28" borderId="16" xfId="0" applyNumberFormat="1" applyFont="1" applyFill="1" applyBorder="1" applyAlignment="1">
      <alignment horizontal="center" vertical="top"/>
    </xf>
    <xf numFmtId="0" fontId="10" fillId="28" borderId="30" xfId="0" quotePrefix="1" applyFont="1" applyFill="1" applyBorder="1" applyAlignment="1">
      <alignment horizontal="left" indent="2"/>
    </xf>
    <xf numFmtId="0" fontId="10" fillId="28" borderId="32" xfId="0" applyFont="1" applyFill="1" applyBorder="1" applyAlignment="1">
      <alignment vertical="top"/>
    </xf>
    <xf numFmtId="0" fontId="65" fillId="28" borderId="88" xfId="0" applyFont="1" applyFill="1" applyBorder="1" applyAlignment="1">
      <alignment horizontal="left" vertical="top" wrapText="1"/>
    </xf>
    <xf numFmtId="0" fontId="0" fillId="27" borderId="22" xfId="0" applyFill="1" applyBorder="1" applyAlignment="1">
      <alignment vertical="top"/>
    </xf>
    <xf numFmtId="3" fontId="10" fillId="28" borderId="31" xfId="0" applyNumberFormat="1" applyFont="1" applyFill="1" applyBorder="1" applyAlignment="1">
      <alignment horizontal="center" vertical="top"/>
    </xf>
    <xf numFmtId="0" fontId="10" fillId="24" borderId="82" xfId="0" applyFont="1" applyFill="1" applyBorder="1" applyAlignment="1">
      <alignment horizontal="center"/>
    </xf>
    <xf numFmtId="0" fontId="10" fillId="24" borderId="67" xfId="0" applyFont="1" applyFill="1" applyBorder="1" applyAlignment="1">
      <alignment horizontal="center" vertical="top"/>
    </xf>
    <xf numFmtId="3" fontId="10" fillId="28" borderId="15" xfId="0" applyNumberFormat="1" applyFont="1" applyFill="1" applyBorder="1" applyAlignment="1">
      <alignment horizontal="center" vertical="top"/>
    </xf>
    <xf numFmtId="0" fontId="0" fillId="29" borderId="34" xfId="0" applyFill="1" applyBorder="1"/>
    <xf numFmtId="3" fontId="10" fillId="28" borderId="62" xfId="0" applyNumberFormat="1" applyFont="1" applyFill="1" applyBorder="1" applyAlignment="1">
      <alignment horizontal="center" vertical="top"/>
    </xf>
    <xf numFmtId="3" fontId="10" fillId="24" borderId="12" xfId="0" applyNumberFormat="1" applyFont="1" applyFill="1" applyBorder="1" applyAlignment="1">
      <alignment horizontal="center" vertical="top"/>
    </xf>
    <xf numFmtId="3" fontId="10" fillId="24" borderId="13" xfId="0" applyNumberFormat="1" applyFont="1" applyFill="1" applyBorder="1" applyAlignment="1">
      <alignment horizontal="center" vertical="top"/>
    </xf>
    <xf numFmtId="3" fontId="10" fillId="24" borderId="13" xfId="0" applyNumberFormat="1" applyFont="1" applyFill="1" applyBorder="1" applyAlignment="1">
      <alignment horizontal="center"/>
    </xf>
    <xf numFmtId="3" fontId="10" fillId="24" borderId="62" xfId="0" applyNumberFormat="1" applyFont="1" applyFill="1" applyBorder="1" applyAlignment="1">
      <alignment horizontal="center"/>
    </xf>
    <xf numFmtId="3" fontId="10" fillId="24" borderId="15" xfId="0" applyNumberFormat="1" applyFont="1" applyFill="1" applyBorder="1" applyAlignment="1">
      <alignment horizontal="center" vertical="top"/>
    </xf>
    <xf numFmtId="3" fontId="10" fillId="24" borderId="16" xfId="0" applyNumberFormat="1" applyFont="1" applyFill="1" applyBorder="1" applyAlignment="1">
      <alignment horizontal="center" vertical="top"/>
    </xf>
    <xf numFmtId="3" fontId="10" fillId="28" borderId="29" xfId="0" applyNumberFormat="1" applyFont="1" applyFill="1" applyBorder="1" applyAlignment="1">
      <alignment horizontal="center" vertical="top"/>
    </xf>
    <xf numFmtId="3" fontId="10" fillId="28" borderId="63" xfId="0" applyNumberFormat="1" applyFont="1" applyFill="1" applyBorder="1" applyAlignment="1">
      <alignment horizontal="center" vertical="top"/>
    </xf>
    <xf numFmtId="3" fontId="10" fillId="28" borderId="28" xfId="0" applyNumberFormat="1" applyFont="1" applyFill="1" applyBorder="1" applyAlignment="1">
      <alignment horizontal="center" vertical="top"/>
    </xf>
    <xf numFmtId="3" fontId="10" fillId="28" borderId="30" xfId="0" applyNumberFormat="1" applyFont="1" applyFill="1" applyBorder="1" applyAlignment="1">
      <alignment horizontal="center" vertical="top"/>
    </xf>
    <xf numFmtId="0" fontId="66" fillId="32" borderId="25" xfId="34" applyFont="1" applyFill="1" applyBorder="1" applyAlignment="1">
      <alignment horizontal="center" vertical="center"/>
    </xf>
    <xf numFmtId="0" fontId="66" fillId="32" borderId="64" xfId="34" applyFont="1" applyFill="1" applyBorder="1" applyAlignment="1">
      <alignment horizontal="center" vertical="center"/>
    </xf>
    <xf numFmtId="0" fontId="66" fillId="32" borderId="18" xfId="34" applyFont="1" applyFill="1" applyBorder="1" applyAlignment="1">
      <alignment horizontal="center"/>
    </xf>
    <xf numFmtId="0" fontId="66" fillId="32" borderId="69" xfId="34" applyFont="1" applyFill="1" applyBorder="1" applyAlignment="1">
      <alignment horizontal="center"/>
    </xf>
    <xf numFmtId="0" fontId="10" fillId="27" borderId="19" xfId="34" applyFont="1" applyFill="1" applyBorder="1" applyAlignment="1">
      <alignment horizontal="left"/>
    </xf>
    <xf numFmtId="0" fontId="10" fillId="27" borderId="48" xfId="34" applyFont="1" applyFill="1" applyBorder="1" applyAlignment="1">
      <alignment horizontal="center"/>
    </xf>
    <xf numFmtId="3" fontId="10" fillId="26" borderId="29" xfId="0" applyNumberFormat="1" applyFont="1" applyFill="1" applyBorder="1" applyAlignment="1">
      <alignment horizontal="center" vertical="top"/>
    </xf>
    <xf numFmtId="175" fontId="10" fillId="28" borderId="15" xfId="0" applyNumberFormat="1" applyFont="1" applyFill="1" applyBorder="1" applyAlignment="1">
      <alignment horizontal="center"/>
    </xf>
    <xf numFmtId="166" fontId="10" fillId="28" borderId="21" xfId="0" applyNumberFormat="1" applyFont="1" applyFill="1" applyBorder="1" applyAlignment="1">
      <alignment horizontal="center"/>
    </xf>
    <xf numFmtId="175" fontId="10" fillId="0" borderId="15" xfId="0" applyNumberFormat="1" applyFont="1" applyBorder="1" applyAlignment="1">
      <alignment horizontal="center"/>
    </xf>
    <xf numFmtId="166" fontId="10" fillId="0" borderId="21" xfId="0" applyNumberFormat="1" applyFont="1" applyBorder="1" applyAlignment="1">
      <alignment horizontal="center"/>
    </xf>
    <xf numFmtId="166" fontId="10" fillId="0" borderId="16" xfId="0" applyNumberFormat="1" applyFont="1" applyBorder="1" applyAlignment="1">
      <alignment horizontal="center"/>
    </xf>
    <xf numFmtId="175" fontId="10" fillId="28" borderId="28" xfId="0" applyNumberFormat="1" applyFont="1" applyFill="1" applyBorder="1" applyAlignment="1">
      <alignment horizontal="center"/>
    </xf>
    <xf numFmtId="166" fontId="10" fillId="28" borderId="20" xfId="0" applyNumberFormat="1" applyFont="1" applyFill="1" applyBorder="1" applyAlignment="1">
      <alignment horizontal="center"/>
    </xf>
    <xf numFmtId="0" fontId="95" fillId="32" borderId="61" xfId="34" applyFont="1" applyFill="1" applyBorder="1" applyAlignment="1">
      <alignment horizontal="center" vertical="center"/>
    </xf>
    <xf numFmtId="0" fontId="10" fillId="0" borderId="62" xfId="0" applyFont="1" applyBorder="1"/>
    <xf numFmtId="0" fontId="10" fillId="28" borderId="21" xfId="0" applyFont="1" applyFill="1" applyBorder="1" applyAlignment="1">
      <alignment vertical="top"/>
    </xf>
    <xf numFmtId="167" fontId="10" fillId="0" borderId="13" xfId="0" applyNumberFormat="1" applyFont="1" applyBorder="1" applyAlignment="1">
      <alignment horizontal="center"/>
    </xf>
    <xf numFmtId="0" fontId="94" fillId="0" borderId="0" xfId="0" applyFont="1" applyAlignment="1">
      <alignment vertical="center"/>
    </xf>
    <xf numFmtId="9" fontId="94" fillId="0" borderId="0" xfId="35" applyFont="1" applyFill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0" borderId="0" xfId="34" applyFont="1" applyAlignment="1">
      <alignment horizontal="left" vertical="center"/>
    </xf>
    <xf numFmtId="3" fontId="94" fillId="0" borderId="0" xfId="34" applyNumberFormat="1" applyFont="1" applyAlignment="1">
      <alignment horizontal="center" vertical="center"/>
    </xf>
    <xf numFmtId="0" fontId="93" fillId="0" borderId="0" xfId="48" applyFont="1" applyAlignment="1">
      <alignment horizontal="center" vertical="center"/>
    </xf>
    <xf numFmtId="0" fontId="94" fillId="0" borderId="0" xfId="48" applyFont="1" applyAlignment="1">
      <alignment horizontal="center" vertical="center"/>
    </xf>
    <xf numFmtId="0" fontId="13" fillId="0" borderId="0" xfId="0" applyFont="1"/>
    <xf numFmtId="0" fontId="10" fillId="28" borderId="36" xfId="0" applyFont="1" applyFill="1" applyBorder="1" applyAlignment="1">
      <alignment horizontal="center" vertical="top" wrapText="1"/>
    </xf>
    <xf numFmtId="0" fontId="10" fillId="28" borderId="35" xfId="0" applyFont="1" applyFill="1" applyBorder="1" applyAlignment="1">
      <alignment horizontal="center" vertical="top" wrapText="1"/>
    </xf>
    <xf numFmtId="0" fontId="10" fillId="28" borderId="27" xfId="0" applyFont="1" applyFill="1" applyBorder="1" applyAlignment="1">
      <alignment horizontal="center" vertical="top" wrapText="1"/>
    </xf>
    <xf numFmtId="0" fontId="10" fillId="28" borderId="21" xfId="0" applyFont="1" applyFill="1" applyBorder="1" applyAlignment="1">
      <alignment horizontal="center" vertical="top" wrapText="1"/>
    </xf>
    <xf numFmtId="0" fontId="66" fillId="32" borderId="92" xfId="0" applyFont="1" applyFill="1" applyBorder="1" applyAlignment="1">
      <alignment horizontal="center" vertical="center" wrapText="1"/>
    </xf>
    <xf numFmtId="0" fontId="66" fillId="32" borderId="91" xfId="0" applyFont="1" applyFill="1" applyBorder="1" applyAlignment="1">
      <alignment horizontal="center" vertical="center" wrapText="1"/>
    </xf>
    <xf numFmtId="0" fontId="66" fillId="32" borderId="99" xfId="0" applyFont="1" applyFill="1" applyBorder="1" applyAlignment="1">
      <alignment horizontal="center" vertical="center" wrapText="1"/>
    </xf>
    <xf numFmtId="0" fontId="66" fillId="32" borderId="60" xfId="0" applyFont="1" applyFill="1" applyBorder="1" applyAlignment="1">
      <alignment horizontal="center" vertical="top" wrapText="1"/>
    </xf>
    <xf numFmtId="0" fontId="66" fillId="32" borderId="45" xfId="0" applyFont="1" applyFill="1" applyBorder="1" applyAlignment="1">
      <alignment horizontal="center" vertical="top" wrapText="1"/>
    </xf>
    <xf numFmtId="0" fontId="66" fillId="32" borderId="20" xfId="0" applyFont="1" applyFill="1" applyBorder="1" applyAlignment="1">
      <alignment horizontal="center" vertical="top" wrapText="1"/>
    </xf>
    <xf numFmtId="3" fontId="10" fillId="27" borderId="15" xfId="34" applyNumberFormat="1" applyFont="1" applyFill="1" applyBorder="1" applyAlignment="1">
      <alignment horizontal="center"/>
    </xf>
    <xf numFmtId="3" fontId="10" fillId="27" borderId="13" xfId="34" applyNumberFormat="1" applyFont="1" applyFill="1" applyBorder="1" applyAlignment="1">
      <alignment horizontal="center"/>
    </xf>
    <xf numFmtId="3" fontId="10" fillId="27" borderId="16" xfId="34" applyNumberFormat="1" applyFont="1" applyFill="1" applyBorder="1" applyAlignment="1">
      <alignment horizontal="center"/>
    </xf>
    <xf numFmtId="2" fontId="41" fillId="0" borderId="0" xfId="0" applyNumberFormat="1" applyFont="1" applyAlignment="1">
      <alignment horizontal="center"/>
    </xf>
    <xf numFmtId="3" fontId="41" fillId="33" borderId="13" xfId="0" applyNumberFormat="1" applyFont="1" applyFill="1" applyBorder="1" applyAlignment="1">
      <alignment horizontal="center"/>
    </xf>
    <xf numFmtId="0" fontId="10" fillId="0" borderId="15" xfId="0" quotePrefix="1" applyFont="1" applyBorder="1" applyAlignment="1">
      <alignment horizontal="center"/>
    </xf>
    <xf numFmtId="0" fontId="0" fillId="27" borderId="41" xfId="0" applyFill="1" applyBorder="1" applyAlignment="1">
      <alignment horizontal="center" vertical="top"/>
    </xf>
    <xf numFmtId="3" fontId="13" fillId="28" borderId="13" xfId="0" applyNumberFormat="1" applyFont="1" applyFill="1" applyBorder="1" applyAlignment="1">
      <alignment horizontal="center"/>
    </xf>
    <xf numFmtId="170" fontId="10" fillId="0" borderId="13" xfId="35" applyNumberFormat="1" applyFont="1" applyFill="1" applyBorder="1" applyAlignment="1">
      <alignment horizontal="center"/>
    </xf>
    <xf numFmtId="0" fontId="14" fillId="27" borderId="61" xfId="0" applyFont="1" applyFill="1" applyBorder="1" applyAlignment="1">
      <alignment horizontal="center" vertical="top" wrapText="1"/>
    </xf>
    <xf numFmtId="3" fontId="41" fillId="0" borderId="0" xfId="0" applyNumberFormat="1" applyFont="1" applyAlignment="1">
      <alignment horizontal="center"/>
    </xf>
    <xf numFmtId="3" fontId="10" fillId="33" borderId="16" xfId="34" applyNumberFormat="1" applyFont="1" applyFill="1" applyBorder="1" applyAlignment="1">
      <alignment horizontal="center"/>
    </xf>
    <xf numFmtId="3" fontId="0" fillId="0" borderId="36" xfId="0" applyNumberFormat="1" applyBorder="1"/>
    <xf numFmtId="0" fontId="14" fillId="0" borderId="66" xfId="0" applyFont="1" applyBorder="1" applyAlignment="1">
      <alignment horizontal="center" vertical="top"/>
    </xf>
    <xf numFmtId="0" fontId="0" fillId="0" borderId="66" xfId="0" applyBorder="1" applyAlignment="1">
      <alignment vertical="top"/>
    </xf>
    <xf numFmtId="0" fontId="10" fillId="0" borderId="66" xfId="0" applyFont="1" applyBorder="1" applyAlignment="1">
      <alignment horizontal="center" vertical="top"/>
    </xf>
    <xf numFmtId="0" fontId="0" fillId="27" borderId="84" xfId="0" applyFill="1" applyBorder="1" applyAlignment="1">
      <alignment horizontal="center" vertical="top" wrapText="1"/>
    </xf>
    <xf numFmtId="0" fontId="0" fillId="27" borderId="83" xfId="0" applyFill="1" applyBorder="1" applyAlignment="1">
      <alignment horizontal="center" vertical="top" wrapText="1"/>
    </xf>
    <xf numFmtId="0" fontId="10" fillId="43" borderId="80" xfId="0" applyFont="1" applyFill="1" applyBorder="1" applyAlignment="1">
      <alignment horizontal="center" vertical="top"/>
    </xf>
    <xf numFmtId="3" fontId="10" fillId="0" borderId="53" xfId="0" applyNumberFormat="1" applyFont="1" applyBorder="1" applyAlignment="1">
      <alignment horizontal="center" vertical="top"/>
    </xf>
    <xf numFmtId="0" fontId="10" fillId="43" borderId="53" xfId="0" applyFont="1" applyFill="1" applyBorder="1" applyAlignment="1">
      <alignment horizontal="center" vertical="top"/>
    </xf>
    <xf numFmtId="3" fontId="10" fillId="0" borderId="54" xfId="0" applyNumberFormat="1" applyFont="1" applyBorder="1" applyAlignment="1">
      <alignment horizontal="center" vertical="top"/>
    </xf>
    <xf numFmtId="0" fontId="13" fillId="0" borderId="61" xfId="0" applyFont="1" applyBorder="1" applyAlignment="1">
      <alignment horizontal="center" vertical="top"/>
    </xf>
    <xf numFmtId="0" fontId="66" fillId="42" borderId="67" xfId="0" quotePrefix="1" applyFont="1" applyFill="1" applyBorder="1" applyAlignment="1">
      <alignment vertical="top"/>
    </xf>
    <xf numFmtId="0" fontId="66" fillId="42" borderId="57" xfId="0" quotePrefix="1" applyFont="1" applyFill="1" applyBorder="1" applyAlignment="1">
      <alignment vertical="top"/>
    </xf>
    <xf numFmtId="3" fontId="10" fillId="0" borderId="29" xfId="0" applyNumberFormat="1" applyFont="1" applyBorder="1" applyAlignment="1">
      <alignment horizontal="center" vertical="top"/>
    </xf>
    <xf numFmtId="3" fontId="10" fillId="0" borderId="30" xfId="0" applyNumberFormat="1" applyFont="1" applyBorder="1" applyAlignment="1">
      <alignment horizontal="center" vertical="top"/>
    </xf>
    <xf numFmtId="0" fontId="14" fillId="27" borderId="80" xfId="0" applyFont="1" applyFill="1" applyBorder="1" applyAlignment="1">
      <alignment horizontal="center" vertical="top"/>
    </xf>
    <xf numFmtId="0" fontId="10" fillId="0" borderId="26" xfId="0" applyFont="1" applyBorder="1" applyAlignment="1">
      <alignment horizontal="left" vertical="center"/>
    </xf>
    <xf numFmtId="0" fontId="10" fillId="0" borderId="26" xfId="0" applyFont="1" applyBorder="1" applyAlignment="1">
      <alignment vertical="center" wrapText="1"/>
    </xf>
    <xf numFmtId="178" fontId="10" fillId="0" borderId="26" xfId="0" applyNumberFormat="1" applyFont="1" applyBorder="1" applyAlignment="1">
      <alignment horizontal="center" vertical="center"/>
    </xf>
    <xf numFmtId="166" fontId="10" fillId="0" borderId="26" xfId="0" applyNumberFormat="1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3" fontId="10" fillId="0" borderId="26" xfId="0" applyNumberFormat="1" applyFont="1" applyBorder="1" applyAlignment="1">
      <alignment horizontal="center" vertical="center"/>
    </xf>
    <xf numFmtId="170" fontId="0" fillId="0" borderId="26" xfId="58" applyNumberFormat="1" applyFont="1" applyBorder="1"/>
    <xf numFmtId="170" fontId="10" fillId="0" borderId="26" xfId="58" applyNumberFormat="1" applyFont="1" applyBorder="1" applyAlignment="1">
      <alignment vertical="center"/>
    </xf>
    <xf numFmtId="0" fontId="26" fillId="29" borderId="14" xfId="0" applyFont="1" applyFill="1" applyBorder="1" applyAlignment="1">
      <alignment horizontal="center"/>
    </xf>
    <xf numFmtId="0" fontId="26" fillId="29" borderId="110" xfId="0" applyFont="1" applyFill="1" applyBorder="1"/>
    <xf numFmtId="0" fontId="26" fillId="29" borderId="97" xfId="0" applyFont="1" applyFill="1" applyBorder="1" applyAlignment="1">
      <alignment horizontal="center"/>
    </xf>
    <xf numFmtId="0" fontId="26" fillId="29" borderId="110" xfId="0" applyFont="1" applyFill="1" applyBorder="1" applyAlignment="1">
      <alignment horizontal="center"/>
    </xf>
    <xf numFmtId="0" fontId="3" fillId="29" borderId="0" xfId="63" applyFill="1"/>
    <xf numFmtId="43" fontId="0" fillId="29" borderId="0" xfId="64" applyFont="1" applyFill="1"/>
    <xf numFmtId="0" fontId="97" fillId="29" borderId="0" xfId="63" applyFont="1" applyFill="1"/>
    <xf numFmtId="3" fontId="3" fillId="29" borderId="0" xfId="63" applyNumberFormat="1" applyFill="1"/>
    <xf numFmtId="0" fontId="3" fillId="29" borderId="0" xfId="63" applyFill="1" applyAlignment="1">
      <alignment horizontal="center"/>
    </xf>
    <xf numFmtId="0" fontId="98" fillId="29" borderId="0" xfId="63" applyFont="1" applyFill="1"/>
    <xf numFmtId="0" fontId="3" fillId="39" borderId="32" xfId="63" applyFill="1" applyBorder="1"/>
    <xf numFmtId="0" fontId="3" fillId="39" borderId="23" xfId="63" applyFill="1" applyBorder="1"/>
    <xf numFmtId="0" fontId="3" fillId="39" borderId="79" xfId="63" applyFill="1" applyBorder="1"/>
    <xf numFmtId="0" fontId="3" fillId="39" borderId="87" xfId="63" applyFill="1" applyBorder="1"/>
    <xf numFmtId="0" fontId="3" fillId="39" borderId="0" xfId="63" applyFill="1"/>
    <xf numFmtId="0" fontId="3" fillId="39" borderId="86" xfId="63" applyFill="1" applyBorder="1"/>
    <xf numFmtId="0" fontId="99" fillId="29" borderId="13" xfId="63" applyFont="1" applyFill="1" applyBorder="1" applyAlignment="1">
      <alignment horizontal="left" indent="1"/>
    </xf>
    <xf numFmtId="3" fontId="99" fillId="29" borderId="13" xfId="63" applyNumberFormat="1" applyFont="1" applyFill="1" applyBorder="1"/>
    <xf numFmtId="0" fontId="99" fillId="29" borderId="13" xfId="63" applyFont="1" applyFill="1" applyBorder="1" applyAlignment="1">
      <alignment horizontal="center"/>
    </xf>
    <xf numFmtId="0" fontId="99" fillId="29" borderId="13" xfId="63" applyFont="1" applyFill="1" applyBorder="1"/>
    <xf numFmtId="0" fontId="97" fillId="39" borderId="87" xfId="63" applyFont="1" applyFill="1" applyBorder="1" applyAlignment="1">
      <alignment horizontal="center"/>
    </xf>
    <xf numFmtId="0" fontId="97" fillId="39" borderId="0" xfId="63" applyFont="1" applyFill="1" applyAlignment="1">
      <alignment horizontal="center"/>
    </xf>
    <xf numFmtId="0" fontId="97" fillId="39" borderId="86" xfId="63" applyFont="1" applyFill="1" applyBorder="1" applyAlignment="1">
      <alignment horizontal="center"/>
    </xf>
    <xf numFmtId="0" fontId="100" fillId="44" borderId="13" xfId="65" applyFont="1" applyBorder="1" applyAlignment="1">
      <alignment horizontal="left" wrapText="1" indent="1"/>
    </xf>
    <xf numFmtId="0" fontId="100" fillId="44" borderId="13" xfId="65" applyFont="1" applyBorder="1" applyAlignment="1">
      <alignment horizontal="center"/>
    </xf>
    <xf numFmtId="0" fontId="100" fillId="44" borderId="13" xfId="65" applyFont="1" applyBorder="1" applyAlignment="1">
      <alignment horizontal="left" indent="1"/>
    </xf>
    <xf numFmtId="0" fontId="3" fillId="39" borderId="13" xfId="63" applyFill="1" applyBorder="1"/>
    <xf numFmtId="0" fontId="97" fillId="39" borderId="13" xfId="63" applyFont="1" applyFill="1" applyBorder="1"/>
    <xf numFmtId="0" fontId="3" fillId="0" borderId="0" xfId="63"/>
    <xf numFmtId="0" fontId="97" fillId="0" borderId="0" xfId="63" applyFont="1"/>
    <xf numFmtId="0" fontId="98" fillId="0" borderId="0" xfId="72" applyFont="1"/>
    <xf numFmtId="0" fontId="3" fillId="0" borderId="0" xfId="72"/>
    <xf numFmtId="0" fontId="97" fillId="0" borderId="0" xfId="72" applyFont="1"/>
    <xf numFmtId="0" fontId="101" fillId="50" borderId="13" xfId="71" applyFont="1" applyBorder="1" applyAlignment="1">
      <alignment horizontal="center"/>
    </xf>
    <xf numFmtId="0" fontId="99" fillId="49" borderId="13" xfId="70" applyFont="1" applyBorder="1" applyAlignment="1">
      <alignment horizontal="center"/>
    </xf>
    <xf numFmtId="3" fontId="99" fillId="0" borderId="13" xfId="69" applyNumberFormat="1" applyFont="1" applyFill="1" applyBorder="1" applyAlignment="1">
      <alignment horizontal="center"/>
    </xf>
    <xf numFmtId="3" fontId="99" fillId="44" borderId="13" xfId="65" applyNumberFormat="1" applyFont="1" applyBorder="1" applyAlignment="1">
      <alignment horizontal="center"/>
    </xf>
    <xf numFmtId="3" fontId="99" fillId="0" borderId="13" xfId="68" applyNumberFormat="1" applyFont="1" applyFill="1" applyBorder="1" applyAlignment="1">
      <alignment horizontal="center"/>
    </xf>
    <xf numFmtId="3" fontId="99" fillId="46" borderId="13" xfId="67" applyNumberFormat="1" applyFont="1" applyBorder="1" applyAlignment="1">
      <alignment horizontal="center"/>
    </xf>
    <xf numFmtId="3" fontId="99" fillId="0" borderId="13" xfId="66" applyNumberFormat="1" applyFont="1" applyFill="1" applyBorder="1" applyAlignment="1">
      <alignment horizontal="center"/>
    </xf>
    <xf numFmtId="191" fontId="82" fillId="38" borderId="0" xfId="60" applyNumberFormat="1" applyFont="1" applyFill="1" applyBorder="1" applyAlignment="1" applyProtection="1">
      <alignment horizontal="center" vertical="center"/>
      <protection locked="0"/>
    </xf>
    <xf numFmtId="0" fontId="13" fillId="36" borderId="24" xfId="48" applyFont="1" applyFill="1" applyBorder="1" applyAlignment="1" applyProtection="1">
      <alignment horizontal="center" vertical="center"/>
      <protection locked="0"/>
    </xf>
    <xf numFmtId="170" fontId="84" fillId="36" borderId="66" xfId="48" applyNumberFormat="1" applyFont="1" applyFill="1" applyBorder="1" applyAlignment="1">
      <alignment horizontal="center" vertical="center"/>
    </xf>
    <xf numFmtId="0" fontId="26" fillId="27" borderId="0" xfId="34" applyFill="1"/>
    <xf numFmtId="0" fontId="104" fillId="0" borderId="0" xfId="0" applyFont="1"/>
    <xf numFmtId="0" fontId="105" fillId="0" borderId="0" xfId="0" applyFont="1" applyAlignment="1" applyProtection="1">
      <alignment horizontal="center" vertical="center"/>
      <protection locked="0"/>
    </xf>
    <xf numFmtId="0" fontId="97" fillId="0" borderId="0" xfId="72" applyFont="1" applyAlignment="1">
      <alignment horizontal="center"/>
    </xf>
    <xf numFmtId="0" fontId="41" fillId="28" borderId="13" xfId="0" applyFont="1" applyFill="1" applyBorder="1" applyAlignment="1" applyProtection="1">
      <alignment horizontal="center" vertical="center"/>
      <protection locked="0"/>
    </xf>
    <xf numFmtId="0" fontId="81" fillId="28" borderId="13" xfId="63" applyFont="1" applyFill="1" applyBorder="1" applyAlignment="1">
      <alignment horizontal="left" indent="1"/>
    </xf>
    <xf numFmtId="194" fontId="41" fillId="28" borderId="13" xfId="0" applyNumberFormat="1" applyFont="1" applyFill="1" applyBorder="1" applyAlignment="1" applyProtection="1">
      <alignment vertical="center"/>
      <protection locked="0"/>
    </xf>
    <xf numFmtId="0" fontId="100" fillId="44" borderId="13" xfId="65" applyFont="1" applyBorder="1" applyAlignment="1">
      <alignment horizontal="center" vertical="top" wrapText="1"/>
    </xf>
    <xf numFmtId="196" fontId="0" fillId="29" borderId="0" xfId="64" applyNumberFormat="1" applyFont="1" applyFill="1"/>
    <xf numFmtId="0" fontId="80" fillId="39" borderId="0" xfId="48" applyFont="1" applyFill="1" applyAlignment="1" applyProtection="1">
      <alignment horizontal="center" vertical="center"/>
      <protection locked="0"/>
    </xf>
    <xf numFmtId="179" fontId="10" fillId="28" borderId="15" xfId="0" applyNumberFormat="1" applyFont="1" applyFill="1" applyBorder="1" applyAlignment="1">
      <alignment horizontal="center"/>
    </xf>
    <xf numFmtId="0" fontId="85" fillId="0" borderId="0" xfId="0" applyFont="1"/>
    <xf numFmtId="0" fontId="100" fillId="0" borderId="13" xfId="69" applyFont="1" applyFill="1" applyBorder="1" applyAlignment="1">
      <alignment horizontal="center"/>
    </xf>
    <xf numFmtId="0" fontId="99" fillId="44" borderId="13" xfId="65" applyFont="1" applyBorder="1" applyAlignment="1">
      <alignment horizontal="center"/>
    </xf>
    <xf numFmtId="0" fontId="100" fillId="0" borderId="13" xfId="68" applyFont="1" applyFill="1" applyBorder="1" applyAlignment="1">
      <alignment horizontal="center"/>
    </xf>
    <xf numFmtId="0" fontId="99" fillId="46" borderId="13" xfId="67" applyFont="1" applyBorder="1" applyAlignment="1">
      <alignment horizontal="center"/>
    </xf>
    <xf numFmtId="0" fontId="100" fillId="0" borderId="13" xfId="66" applyFont="1" applyFill="1" applyBorder="1" applyAlignment="1">
      <alignment horizontal="center"/>
    </xf>
    <xf numFmtId="0" fontId="22" fillId="27" borderId="12" xfId="0" applyFont="1" applyFill="1" applyBorder="1" applyAlignment="1">
      <alignment horizontal="center" vertical="top" wrapText="1"/>
    </xf>
    <xf numFmtId="169" fontId="55" fillId="27" borderId="12" xfId="0" applyNumberFormat="1" applyFont="1" applyFill="1" applyBorder="1" applyAlignment="1">
      <alignment horizontal="center"/>
    </xf>
    <xf numFmtId="173" fontId="55" fillId="38" borderId="12" xfId="0" applyNumberFormat="1" applyFont="1" applyFill="1" applyBorder="1" applyAlignment="1">
      <alignment horizontal="center"/>
    </xf>
    <xf numFmtId="173" fontId="55" fillId="38" borderId="28" xfId="0" applyNumberFormat="1" applyFont="1" applyFill="1" applyBorder="1" applyAlignment="1">
      <alignment horizontal="center"/>
    </xf>
    <xf numFmtId="173" fontId="55" fillId="38" borderId="29" xfId="0" applyNumberFormat="1" applyFont="1" applyFill="1" applyBorder="1" applyAlignment="1">
      <alignment horizontal="center"/>
    </xf>
    <xf numFmtId="173" fontId="55" fillId="38" borderId="30" xfId="0" applyNumberFormat="1" applyFont="1" applyFill="1" applyBorder="1" applyAlignment="1">
      <alignment horizontal="center"/>
    </xf>
    <xf numFmtId="165" fontId="106" fillId="27" borderId="15" xfId="0" applyNumberFormat="1" applyFont="1" applyFill="1" applyBorder="1" applyAlignment="1">
      <alignment horizontal="center"/>
    </xf>
    <xf numFmtId="174" fontId="106" fillId="27" borderId="13" xfId="0" applyNumberFormat="1" applyFont="1" applyFill="1" applyBorder="1" applyAlignment="1">
      <alignment horizontal="center"/>
    </xf>
    <xf numFmtId="173" fontId="106" fillId="27" borderId="13" xfId="0" applyNumberFormat="1" applyFont="1" applyFill="1" applyBorder="1" applyAlignment="1">
      <alignment horizontal="center"/>
    </xf>
    <xf numFmtId="165" fontId="106" fillId="27" borderId="12" xfId="0" applyNumberFormat="1" applyFont="1" applyFill="1" applyBorder="1" applyAlignment="1">
      <alignment horizontal="center"/>
    </xf>
    <xf numFmtId="165" fontId="106" fillId="27" borderId="13" xfId="0" applyNumberFormat="1" applyFont="1" applyFill="1" applyBorder="1" applyAlignment="1">
      <alignment horizontal="center"/>
    </xf>
    <xf numFmtId="169" fontId="106" fillId="27" borderId="13" xfId="0" applyNumberFormat="1" applyFont="1" applyFill="1" applyBorder="1" applyAlignment="1">
      <alignment horizontal="center"/>
    </xf>
    <xf numFmtId="165" fontId="106" fillId="27" borderId="16" xfId="0" applyNumberFormat="1" applyFont="1" applyFill="1" applyBorder="1" applyAlignment="1">
      <alignment horizontal="center"/>
    </xf>
    <xf numFmtId="169" fontId="106" fillId="27" borderId="15" xfId="0" applyNumberFormat="1" applyFont="1" applyFill="1" applyBorder="1" applyAlignment="1">
      <alignment horizontal="center"/>
    </xf>
    <xf numFmtId="169" fontId="106" fillId="27" borderId="16" xfId="0" applyNumberFormat="1" applyFont="1" applyFill="1" applyBorder="1" applyAlignment="1">
      <alignment horizontal="center"/>
    </xf>
    <xf numFmtId="169" fontId="106" fillId="27" borderId="12" xfId="0" applyNumberFormat="1" applyFont="1" applyFill="1" applyBorder="1" applyAlignment="1">
      <alignment horizontal="center"/>
    </xf>
    <xf numFmtId="168" fontId="106" fillId="27" borderId="13" xfId="0" applyNumberFormat="1" applyFont="1" applyFill="1" applyBorder="1" applyAlignment="1">
      <alignment horizontal="center"/>
    </xf>
    <xf numFmtId="174" fontId="106" fillId="27" borderId="16" xfId="0" applyNumberFormat="1" applyFont="1" applyFill="1" applyBorder="1" applyAlignment="1">
      <alignment horizontal="center"/>
    </xf>
    <xf numFmtId="168" fontId="106" fillId="27" borderId="15" xfId="0" applyNumberFormat="1" applyFont="1" applyFill="1" applyBorder="1" applyAlignment="1">
      <alignment horizontal="center"/>
    </xf>
    <xf numFmtId="168" fontId="106" fillId="27" borderId="16" xfId="0" applyNumberFormat="1" applyFont="1" applyFill="1" applyBorder="1" applyAlignment="1">
      <alignment horizontal="center"/>
    </xf>
    <xf numFmtId="168" fontId="106" fillId="27" borderId="12" xfId="0" applyNumberFormat="1" applyFont="1" applyFill="1" applyBorder="1" applyAlignment="1">
      <alignment horizontal="center"/>
    </xf>
    <xf numFmtId="0" fontId="2" fillId="0" borderId="0" xfId="72" applyFont="1"/>
    <xf numFmtId="0" fontId="2" fillId="0" borderId="0" xfId="63" applyFont="1"/>
    <xf numFmtId="0" fontId="22" fillId="27" borderId="0" xfId="0" applyFont="1" applyFill="1" applyAlignment="1">
      <alignment vertical="top"/>
    </xf>
    <xf numFmtId="0" fontId="22" fillId="27" borderId="11" xfId="0" applyFont="1" applyFill="1" applyBorder="1" applyAlignment="1">
      <alignment horizontal="center" vertical="top" wrapText="1"/>
    </xf>
    <xf numFmtId="0" fontId="22" fillId="27" borderId="19" xfId="0" applyFont="1" applyFill="1" applyBorder="1" applyAlignment="1">
      <alignment vertical="top"/>
    </xf>
    <xf numFmtId="0" fontId="22" fillId="27" borderId="62" xfId="0" applyFont="1" applyFill="1" applyBorder="1" applyAlignment="1">
      <alignment vertical="top"/>
    </xf>
    <xf numFmtId="0" fontId="22" fillId="27" borderId="0" xfId="34" applyFont="1" applyFill="1" applyAlignment="1">
      <alignment horizontal="center"/>
    </xf>
    <xf numFmtId="0" fontId="26" fillId="27" borderId="0" xfId="34" applyFont="1" applyFill="1"/>
    <xf numFmtId="0" fontId="26" fillId="29" borderId="0" xfId="34" applyFont="1" applyFill="1"/>
    <xf numFmtId="0" fontId="26" fillId="27" borderId="0" xfId="34" applyFont="1" applyFill="1" applyAlignment="1">
      <alignment horizontal="center"/>
    </xf>
    <xf numFmtId="170" fontId="10" fillId="0" borderId="67" xfId="35" applyNumberFormat="1" applyFont="1" applyBorder="1" applyAlignment="1">
      <alignment horizontal="center"/>
    </xf>
    <xf numFmtId="170" fontId="10" fillId="0" borderId="57" xfId="35" applyNumberFormat="1" applyFont="1" applyBorder="1" applyAlignment="1">
      <alignment horizontal="center"/>
    </xf>
    <xf numFmtId="170" fontId="10" fillId="0" borderId="13" xfId="35" applyNumberFormat="1" applyFont="1" applyBorder="1" applyAlignment="1">
      <alignment horizontal="center"/>
    </xf>
    <xf numFmtId="170" fontId="10" fillId="0" borderId="16" xfId="35" applyNumberFormat="1" applyFont="1" applyBorder="1" applyAlignment="1">
      <alignment horizontal="center"/>
    </xf>
    <xf numFmtId="170" fontId="10" fillId="0" borderId="15" xfId="35" applyNumberFormat="1" applyFont="1" applyBorder="1" applyAlignment="1">
      <alignment horizontal="center"/>
    </xf>
    <xf numFmtId="0" fontId="10" fillId="0" borderId="21" xfId="0" applyFont="1" applyBorder="1" applyAlignment="1">
      <alignment vertical="top"/>
    </xf>
    <xf numFmtId="0" fontId="10" fillId="0" borderId="16" xfId="0" applyFont="1" applyBorder="1" applyAlignment="1">
      <alignment vertical="top"/>
    </xf>
    <xf numFmtId="0" fontId="10" fillId="28" borderId="44" xfId="0" applyFont="1" applyFill="1" applyBorder="1" applyAlignment="1">
      <alignment vertical="top"/>
    </xf>
    <xf numFmtId="0" fontId="10" fillId="28" borderId="20" xfId="0" applyFont="1" applyFill="1" applyBorder="1" applyAlignment="1">
      <alignment vertical="top"/>
    </xf>
    <xf numFmtId="170" fontId="10" fillId="0" borderId="29" xfId="35" applyNumberFormat="1" applyFont="1" applyBorder="1" applyAlignment="1">
      <alignment horizontal="center"/>
    </xf>
    <xf numFmtId="170" fontId="10" fillId="0" borderId="30" xfId="35" applyNumberFormat="1" applyFont="1" applyBorder="1" applyAlignment="1">
      <alignment horizontal="center"/>
    </xf>
    <xf numFmtId="170" fontId="10" fillId="0" borderId="28" xfId="35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4" fontId="10" fillId="0" borderId="0" xfId="0" applyNumberFormat="1" applyFont="1" applyAlignment="1">
      <alignment horizontal="center"/>
    </xf>
    <xf numFmtId="9" fontId="10" fillId="0" borderId="0" xfId="35" applyFont="1" applyFill="1" applyAlignment="1">
      <alignment horizontal="center"/>
    </xf>
    <xf numFmtId="3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181" fontId="10" fillId="0" borderId="13" xfId="0" applyNumberFormat="1" applyFont="1" applyBorder="1" applyAlignment="1">
      <alignment horizontal="center"/>
    </xf>
    <xf numFmtId="181" fontId="10" fillId="0" borderId="0" xfId="0" applyNumberFormat="1" applyFont="1" applyAlignment="1">
      <alignment horizontal="center"/>
    </xf>
    <xf numFmtId="0" fontId="10" fillId="27" borderId="98" xfId="34" applyFont="1" applyFill="1" applyBorder="1" applyAlignment="1">
      <alignment horizontal="left"/>
    </xf>
    <xf numFmtId="0" fontId="10" fillId="27" borderId="65" xfId="34" applyFont="1" applyFill="1" applyBorder="1" applyAlignment="1">
      <alignment horizontal="center"/>
    </xf>
    <xf numFmtId="3" fontId="10" fillId="27" borderId="28" xfId="34" applyNumberFormat="1" applyFont="1" applyFill="1" applyBorder="1" applyAlignment="1">
      <alignment horizontal="center"/>
    </xf>
    <xf numFmtId="3" fontId="10" fillId="27" borderId="29" xfId="34" applyNumberFormat="1" applyFont="1" applyFill="1" applyBorder="1" applyAlignment="1">
      <alignment horizontal="center"/>
    </xf>
    <xf numFmtId="3" fontId="10" fillId="27" borderId="30" xfId="34" applyNumberFormat="1" applyFont="1" applyFill="1" applyBorder="1" applyAlignment="1">
      <alignment horizontal="center"/>
    </xf>
    <xf numFmtId="0" fontId="10" fillId="0" borderId="0" xfId="34" applyFont="1" applyAlignment="1">
      <alignment horizontal="left"/>
    </xf>
    <xf numFmtId="0" fontId="10" fillId="0" borderId="0" xfId="0" applyFont="1" applyAlignment="1">
      <alignment horizontal="center" vertical="top" wrapText="1"/>
    </xf>
    <xf numFmtId="0" fontId="107" fillId="27" borderId="24" xfId="0" applyFont="1" applyFill="1" applyBorder="1" applyAlignment="1">
      <alignment vertical="top"/>
    </xf>
    <xf numFmtId="0" fontId="107" fillId="27" borderId="23" xfId="0" applyFont="1" applyFill="1" applyBorder="1" applyAlignment="1">
      <alignment vertical="top"/>
    </xf>
    <xf numFmtId="0" fontId="1" fillId="0" borderId="0" xfId="63" applyFont="1"/>
    <xf numFmtId="0" fontId="51" fillId="27" borderId="76" xfId="33" applyFont="1" applyFill="1" applyBorder="1" applyAlignment="1">
      <alignment horizontal="center"/>
    </xf>
    <xf numFmtId="0" fontId="51" fillId="27" borderId="0" xfId="33" applyFont="1" applyFill="1" applyAlignment="1">
      <alignment horizontal="center"/>
    </xf>
    <xf numFmtId="0" fontId="51" fillId="27" borderId="75" xfId="33" applyFont="1" applyFill="1" applyBorder="1" applyAlignment="1">
      <alignment horizontal="center"/>
    </xf>
    <xf numFmtId="0" fontId="48" fillId="27" borderId="0" xfId="33" applyFont="1" applyFill="1" applyAlignment="1">
      <alignment horizontal="center"/>
    </xf>
    <xf numFmtId="0" fontId="49" fillId="27" borderId="0" xfId="33" applyFont="1" applyFill="1" applyAlignment="1">
      <alignment horizontal="center"/>
    </xf>
    <xf numFmtId="0" fontId="52" fillId="29" borderId="76" xfId="33" applyFont="1" applyFill="1" applyBorder="1" applyAlignment="1">
      <alignment horizontal="center"/>
    </xf>
    <xf numFmtId="0" fontId="52" fillId="29" borderId="0" xfId="33" applyFont="1" applyFill="1" applyAlignment="1">
      <alignment horizontal="center"/>
    </xf>
    <xf numFmtId="0" fontId="52" fillId="29" borderId="75" xfId="33" applyFont="1" applyFill="1" applyBorder="1" applyAlignment="1">
      <alignment horizontal="center"/>
    </xf>
    <xf numFmtId="0" fontId="13" fillId="27" borderId="76" xfId="33" applyFont="1" applyFill="1" applyBorder="1" applyAlignment="1">
      <alignment horizontal="left" indent="5"/>
    </xf>
    <xf numFmtId="0" fontId="13" fillId="27" borderId="0" xfId="33" applyFont="1" applyFill="1" applyAlignment="1">
      <alignment horizontal="left" indent="5"/>
    </xf>
    <xf numFmtId="0" fontId="47" fillId="27" borderId="0" xfId="33" applyFont="1" applyFill="1" applyAlignment="1">
      <alignment horizontal="center"/>
    </xf>
    <xf numFmtId="0" fontId="47" fillId="27" borderId="0" xfId="33" applyFont="1" applyFill="1" applyAlignment="1">
      <alignment horizontal="center" vertical="top" wrapText="1"/>
    </xf>
    <xf numFmtId="0" fontId="13" fillId="35" borderId="38" xfId="48" applyFont="1" applyFill="1" applyBorder="1" applyAlignment="1">
      <alignment horizontal="center"/>
    </xf>
    <xf numFmtId="0" fontId="13" fillId="35" borderId="39" xfId="48" applyFont="1" applyFill="1" applyBorder="1" applyAlignment="1">
      <alignment horizontal="center"/>
    </xf>
    <xf numFmtId="0" fontId="13" fillId="35" borderId="50" xfId="48" applyFont="1" applyFill="1" applyBorder="1" applyAlignment="1">
      <alignment horizontal="center"/>
    </xf>
    <xf numFmtId="0" fontId="77" fillId="32" borderId="24" xfId="48" applyFont="1" applyFill="1" applyBorder="1" applyAlignment="1">
      <alignment horizontal="center"/>
    </xf>
    <xf numFmtId="0" fontId="77" fillId="32" borderId="0" xfId="48" applyFont="1" applyFill="1" applyAlignment="1">
      <alignment horizontal="center"/>
    </xf>
    <xf numFmtId="0" fontId="22" fillId="27" borderId="58" xfId="0" applyFont="1" applyFill="1" applyBorder="1" applyAlignment="1">
      <alignment horizontal="center" vertical="top"/>
    </xf>
    <xf numFmtId="0" fontId="22" fillId="27" borderId="55" xfId="0" applyFont="1" applyFill="1" applyBorder="1" applyAlignment="1">
      <alignment horizontal="center" vertical="top"/>
    </xf>
    <xf numFmtId="0" fontId="22" fillId="27" borderId="59" xfId="0" applyFont="1" applyFill="1" applyBorder="1" applyAlignment="1">
      <alignment horizontal="center" vertical="top"/>
    </xf>
    <xf numFmtId="0" fontId="14" fillId="27" borderId="51" xfId="0" applyFont="1" applyFill="1" applyBorder="1" applyAlignment="1">
      <alignment horizontal="center" vertical="top" wrapText="1"/>
    </xf>
    <xf numFmtId="0" fontId="14" fillId="27" borderId="82" xfId="0" applyFont="1" applyFill="1" applyBorder="1" applyAlignment="1">
      <alignment horizontal="center" vertical="top" wrapText="1"/>
    </xf>
    <xf numFmtId="0" fontId="66" fillId="32" borderId="52" xfId="34" applyFont="1" applyFill="1" applyBorder="1" applyAlignment="1">
      <alignment horizontal="center" vertical="center"/>
    </xf>
    <xf numFmtId="0" fontId="10" fillId="27" borderId="14" xfId="0" applyFont="1" applyFill="1" applyBorder="1" applyAlignment="1">
      <alignment horizontal="center" vertical="top" wrapText="1"/>
    </xf>
    <xf numFmtId="0" fontId="0" fillId="27" borderId="35" xfId="0" applyFill="1" applyBorder="1" applyAlignment="1">
      <alignment horizontal="center" vertical="top" wrapText="1"/>
    </xf>
    <xf numFmtId="0" fontId="0" fillId="27" borderId="14" xfId="0" applyFill="1" applyBorder="1" applyAlignment="1">
      <alignment horizontal="center" vertical="top" wrapText="1"/>
    </xf>
    <xf numFmtId="0" fontId="10" fillId="27" borderId="45" xfId="0" applyFont="1" applyFill="1" applyBorder="1" applyAlignment="1">
      <alignment horizontal="center" vertical="top" wrapText="1"/>
    </xf>
    <xf numFmtId="0" fontId="0" fillId="27" borderId="20" xfId="0" applyFill="1" applyBorder="1" applyAlignment="1">
      <alignment horizontal="center" vertical="top" wrapText="1"/>
    </xf>
    <xf numFmtId="0" fontId="0" fillId="27" borderId="45" xfId="0" applyFill="1" applyBorder="1" applyAlignment="1">
      <alignment horizontal="center" vertical="top" wrapText="1"/>
    </xf>
    <xf numFmtId="0" fontId="14" fillId="27" borderId="67" xfId="0" applyFont="1" applyFill="1" applyBorder="1" applyAlignment="1">
      <alignment horizontal="center" vertical="top" wrapText="1"/>
    </xf>
    <xf numFmtId="0" fontId="14" fillId="27" borderId="57" xfId="0" applyFont="1" applyFill="1" applyBorder="1" applyAlignment="1">
      <alignment horizontal="center" vertical="top" wrapText="1"/>
    </xf>
    <xf numFmtId="0" fontId="14" fillId="27" borderId="25" xfId="0" applyFont="1" applyFill="1" applyBorder="1" applyAlignment="1">
      <alignment horizontal="center" vertical="top" wrapText="1"/>
    </xf>
    <xf numFmtId="0" fontId="14" fillId="27" borderId="26" xfId="0" applyFont="1" applyFill="1" applyBorder="1" applyAlignment="1">
      <alignment horizontal="center" vertical="top" wrapText="1"/>
    </xf>
    <xf numFmtId="0" fontId="14" fillId="27" borderId="64" xfId="0" applyFont="1" applyFill="1" applyBorder="1" applyAlignment="1">
      <alignment horizontal="center" vertical="top" wrapText="1"/>
    </xf>
    <xf numFmtId="0" fontId="14" fillId="27" borderId="25" xfId="0" applyFont="1" applyFill="1" applyBorder="1" applyAlignment="1">
      <alignment horizontal="center" vertical="top"/>
    </xf>
    <xf numFmtId="0" fontId="14" fillId="27" borderId="64" xfId="0" applyFont="1" applyFill="1" applyBorder="1" applyAlignment="1">
      <alignment horizontal="center" vertical="top"/>
    </xf>
    <xf numFmtId="0" fontId="14" fillId="27" borderId="26" xfId="0" applyFont="1" applyFill="1" applyBorder="1" applyAlignment="1">
      <alignment horizontal="center" vertical="top"/>
    </xf>
    <xf numFmtId="0" fontId="14" fillId="27" borderId="67" xfId="0" applyFont="1" applyFill="1" applyBorder="1" applyAlignment="1">
      <alignment horizontal="center" vertical="top"/>
    </xf>
    <xf numFmtId="0" fontId="14" fillId="27" borderId="57" xfId="0" applyFont="1" applyFill="1" applyBorder="1" applyAlignment="1">
      <alignment horizontal="center" vertical="top"/>
    </xf>
    <xf numFmtId="0" fontId="14" fillId="27" borderId="51" xfId="0" applyFont="1" applyFill="1" applyBorder="1" applyAlignment="1">
      <alignment horizontal="center" vertical="top"/>
    </xf>
    <xf numFmtId="0" fontId="14" fillId="27" borderId="58" xfId="0" applyFont="1" applyFill="1" applyBorder="1" applyAlignment="1">
      <alignment horizontal="center" vertical="top"/>
    </xf>
    <xf numFmtId="0" fontId="14" fillId="27" borderId="55" xfId="0" applyFont="1" applyFill="1" applyBorder="1" applyAlignment="1">
      <alignment horizontal="center" vertical="top"/>
    </xf>
    <xf numFmtId="0" fontId="14" fillId="27" borderId="59" xfId="0" applyFont="1" applyFill="1" applyBorder="1" applyAlignment="1">
      <alignment horizontal="center" vertical="top"/>
    </xf>
    <xf numFmtId="0" fontId="97" fillId="39" borderId="68" xfId="63" applyFont="1" applyFill="1" applyBorder="1" applyAlignment="1">
      <alignment horizontal="center"/>
    </xf>
    <xf numFmtId="0" fontId="97" fillId="39" borderId="34" xfId="63" applyFont="1" applyFill="1" applyBorder="1" applyAlignment="1">
      <alignment horizontal="center"/>
    </xf>
    <xf numFmtId="0" fontId="97" fillId="39" borderId="37" xfId="63" applyFont="1" applyFill="1" applyBorder="1" applyAlignment="1">
      <alignment horizontal="center"/>
    </xf>
    <xf numFmtId="0" fontId="100" fillId="0" borderId="13" xfId="69" applyFont="1" applyFill="1" applyBorder="1" applyAlignment="1">
      <alignment horizontal="left" indent="1"/>
    </xf>
    <xf numFmtId="0" fontId="101" fillId="44" borderId="62" xfId="65" applyFont="1" applyBorder="1" applyAlignment="1">
      <alignment horizontal="left" indent="1"/>
    </xf>
    <xf numFmtId="0" fontId="101" fillId="44" borderId="12" xfId="65" applyFont="1" applyBorder="1" applyAlignment="1">
      <alignment horizontal="left" indent="1"/>
    </xf>
    <xf numFmtId="0" fontId="101" fillId="46" borderId="62" xfId="67" applyFont="1" applyBorder="1" applyAlignment="1">
      <alignment horizontal="left" indent="1"/>
    </xf>
    <xf numFmtId="0" fontId="101" fillId="46" borderId="12" xfId="67" applyFont="1" applyBorder="1" applyAlignment="1">
      <alignment horizontal="left" indent="1"/>
    </xf>
    <xf numFmtId="0" fontId="101" fillId="50" borderId="13" xfId="71" applyFont="1" applyBorder="1" applyAlignment="1">
      <alignment horizontal="left" indent="1"/>
    </xf>
    <xf numFmtId="0" fontId="97" fillId="39" borderId="68" xfId="63" applyFont="1" applyFill="1" applyBorder="1" applyAlignment="1"/>
    <xf numFmtId="0" fontId="97" fillId="39" borderId="34" xfId="63" applyFont="1" applyFill="1" applyBorder="1" applyAlignment="1"/>
    <xf numFmtId="0" fontId="97" fillId="39" borderId="37" xfId="63" applyFont="1" applyFill="1" applyBorder="1" applyAlignment="1"/>
    <xf numFmtId="0" fontId="101" fillId="49" borderId="62" xfId="70" applyFont="1" applyBorder="1" applyAlignment="1">
      <alignment horizontal="left" indent="1"/>
    </xf>
    <xf numFmtId="0" fontId="101" fillId="49" borderId="12" xfId="70" applyFont="1" applyBorder="1" applyAlignment="1">
      <alignment horizontal="left" indent="1"/>
    </xf>
    <xf numFmtId="0" fontId="3" fillId="29" borderId="0" xfId="63" applyFill="1" applyAlignment="1"/>
    <xf numFmtId="0" fontId="100" fillId="0" borderId="13" xfId="68" applyFont="1" applyFill="1" applyBorder="1" applyAlignment="1">
      <alignment horizontal="left" indent="1"/>
    </xf>
    <xf numFmtId="0" fontId="100" fillId="0" borderId="13" xfId="66" applyFont="1" applyFill="1" applyBorder="1" applyAlignment="1">
      <alignment horizontal="left" indent="1"/>
    </xf>
    <xf numFmtId="0" fontId="3" fillId="29" borderId="0" xfId="63" applyFill="1" applyAlignment="1">
      <alignment horizontal="left"/>
    </xf>
    <xf numFmtId="0" fontId="70" fillId="30" borderId="92" xfId="0" applyFont="1" applyFill="1" applyBorder="1" applyAlignment="1">
      <alignment horizontal="center" vertical="center" wrapText="1"/>
    </xf>
    <xf numFmtId="0" fontId="73" fillId="30" borderId="46" xfId="0" applyFont="1" applyFill="1" applyBorder="1" applyAlignment="1">
      <alignment horizontal="center"/>
    </xf>
    <xf numFmtId="0" fontId="70" fillId="30" borderId="89" xfId="0" applyFont="1" applyFill="1" applyBorder="1" applyAlignment="1">
      <alignment horizontal="center" vertical="center" wrapText="1"/>
    </xf>
    <xf numFmtId="0" fontId="70" fillId="30" borderId="26" xfId="0" applyFont="1" applyFill="1" applyBorder="1" applyAlignment="1">
      <alignment horizontal="center" vertical="center" wrapText="1"/>
    </xf>
    <xf numFmtId="0" fontId="70" fillId="30" borderId="89" xfId="0" applyFont="1" applyFill="1" applyBorder="1" applyAlignment="1">
      <alignment horizontal="center" vertical="center"/>
    </xf>
    <xf numFmtId="0" fontId="70" fillId="30" borderId="26" xfId="0" applyFont="1" applyFill="1" applyBorder="1" applyAlignment="1">
      <alignment horizontal="center" vertical="center"/>
    </xf>
    <xf numFmtId="0" fontId="70" fillId="30" borderId="88" xfId="0" applyFont="1" applyFill="1" applyBorder="1" applyAlignment="1">
      <alignment horizontal="center" vertical="center" wrapText="1"/>
    </xf>
    <xf numFmtId="0" fontId="41" fillId="28" borderId="62" xfId="0" applyFont="1" applyFill="1" applyBorder="1" applyAlignment="1" applyProtection="1">
      <alignment horizontal="left" vertical="center" wrapText="1"/>
      <protection locked="0"/>
    </xf>
    <xf numFmtId="0" fontId="41" fillId="28" borderId="10" xfId="0" applyFont="1" applyFill="1" applyBorder="1" applyAlignment="1" applyProtection="1">
      <alignment horizontal="left" vertical="center" wrapText="1"/>
      <protection locked="0"/>
    </xf>
    <xf numFmtId="0" fontId="41" fillId="28" borderId="12" xfId="0" applyFont="1" applyFill="1" applyBorder="1" applyAlignment="1" applyProtection="1">
      <alignment horizontal="left" vertical="center" wrapText="1"/>
      <protection locked="0"/>
    </xf>
    <xf numFmtId="0" fontId="91" fillId="32" borderId="25" xfId="0" applyFont="1" applyFill="1" applyBorder="1" applyAlignment="1" applyProtection="1">
      <alignment horizontal="center"/>
      <protection locked="0"/>
    </xf>
    <xf numFmtId="0" fontId="91" fillId="32" borderId="26" xfId="0" applyFont="1" applyFill="1" applyBorder="1" applyAlignment="1" applyProtection="1">
      <alignment horizontal="center"/>
      <protection locked="0"/>
    </xf>
    <xf numFmtId="0" fontId="91" fillId="32" borderId="64" xfId="0" applyFont="1" applyFill="1" applyBorder="1" applyAlignment="1" applyProtection="1">
      <alignment horizontal="center"/>
      <protection locked="0"/>
    </xf>
    <xf numFmtId="0" fontId="90" fillId="32" borderId="24" xfId="0" applyFont="1" applyFill="1" applyBorder="1" applyAlignment="1">
      <alignment horizontal="center"/>
    </xf>
    <xf numFmtId="0" fontId="90" fillId="32" borderId="0" xfId="0" applyFont="1" applyFill="1" applyAlignment="1">
      <alignment horizontal="center"/>
    </xf>
    <xf numFmtId="0" fontId="90" fillId="32" borderId="66" xfId="0" applyFont="1" applyFill="1" applyBorder="1" applyAlignment="1">
      <alignment horizontal="center"/>
    </xf>
    <xf numFmtId="0" fontId="86" fillId="40" borderId="24" xfId="48" applyFont="1" applyFill="1" applyBorder="1" applyAlignment="1" applyProtection="1">
      <alignment horizontal="center" vertical="center"/>
      <protection locked="0"/>
    </xf>
    <xf numFmtId="0" fontId="86" fillId="40" borderId="0" xfId="48" applyFont="1" applyFill="1" applyAlignment="1" applyProtection="1">
      <alignment horizontal="center" vertical="center"/>
      <protection locked="0"/>
    </xf>
    <xf numFmtId="0" fontId="92" fillId="32" borderId="18" xfId="0" applyFont="1" applyFill="1" applyBorder="1" applyAlignment="1">
      <alignment horizontal="center"/>
    </xf>
    <xf numFmtId="0" fontId="92" fillId="32" borderId="17" xfId="0" applyFont="1" applyFill="1" applyBorder="1" applyAlignment="1">
      <alignment horizontal="center"/>
    </xf>
    <xf numFmtId="0" fontId="92" fillId="32" borderId="69" xfId="0" applyFont="1" applyFill="1" applyBorder="1" applyAlignment="1">
      <alignment horizontal="center"/>
    </xf>
    <xf numFmtId="0" fontId="39" fillId="28" borderId="62" xfId="0" applyFont="1" applyFill="1" applyBorder="1" applyAlignment="1" applyProtection="1">
      <alignment horizontal="center" vertical="center"/>
      <protection locked="0"/>
    </xf>
    <xf numFmtId="0" fontId="39" fillId="28" borderId="12" xfId="0" applyFont="1" applyFill="1" applyBorder="1" applyAlignment="1" applyProtection="1">
      <alignment horizontal="center" vertical="center"/>
      <protection locked="0"/>
    </xf>
    <xf numFmtId="0" fontId="22" fillId="29" borderId="0" xfId="48" applyFont="1" applyFill="1" applyAlignment="1" applyProtection="1">
      <alignment horizontal="center" vertical="center" wrapText="1"/>
      <protection locked="0"/>
    </xf>
    <xf numFmtId="0" fontId="80" fillId="39" borderId="38" xfId="48" applyFont="1" applyFill="1" applyBorder="1" applyAlignment="1" applyProtection="1">
      <alignment horizontal="center" vertical="center"/>
      <protection locked="0"/>
    </xf>
    <xf numFmtId="0" fontId="80" fillId="39" borderId="50" xfId="48" applyFont="1" applyFill="1" applyBorder="1" applyAlignment="1" applyProtection="1">
      <alignment horizontal="center" vertical="center"/>
      <protection locked="0"/>
    </xf>
    <xf numFmtId="0" fontId="41" fillId="28" borderId="62" xfId="0" applyFont="1" applyFill="1" applyBorder="1" applyAlignment="1" applyProtection="1">
      <alignment horizontal="left" vertical="center" wrapText="1" indent="1"/>
      <protection locked="0"/>
    </xf>
    <xf numFmtId="0" fontId="41" fillId="28" borderId="10" xfId="0" applyFont="1" applyFill="1" applyBorder="1" applyAlignment="1" applyProtection="1">
      <alignment horizontal="left" vertical="center" wrapText="1" indent="1"/>
      <protection locked="0"/>
    </xf>
    <xf numFmtId="0" fontId="41" fillId="28" borderId="12" xfId="0" applyFont="1" applyFill="1" applyBorder="1" applyAlignment="1" applyProtection="1">
      <alignment horizontal="left" vertical="center" wrapText="1" indent="1"/>
      <protection locked="0"/>
    </xf>
    <xf numFmtId="188" fontId="78" fillId="0" borderId="38" xfId="61" applyNumberFormat="1" applyFont="1" applyBorder="1" applyAlignment="1" applyProtection="1">
      <alignment horizontal="center" vertical="center"/>
    </xf>
    <xf numFmtId="188" fontId="78" fillId="0" borderId="50" xfId="61" applyNumberFormat="1" applyFont="1" applyBorder="1" applyAlignment="1" applyProtection="1">
      <alignment horizontal="center" vertical="center"/>
    </xf>
    <xf numFmtId="0" fontId="80" fillId="39" borderId="39" xfId="48" applyFont="1" applyFill="1" applyBorder="1" applyAlignment="1" applyProtection="1">
      <alignment horizontal="center" vertical="center"/>
      <protection locked="0"/>
    </xf>
    <xf numFmtId="0" fontId="103" fillId="28" borderId="62" xfId="63" applyFont="1" applyFill="1" applyBorder="1" applyAlignment="1">
      <alignment horizontal="left" indent="1"/>
    </xf>
    <xf numFmtId="0" fontId="103" fillId="28" borderId="10" xfId="63" applyFont="1" applyFill="1" applyBorder="1" applyAlignment="1">
      <alignment horizontal="left" indent="1"/>
    </xf>
    <xf numFmtId="0" fontId="103" fillId="28" borderId="12" xfId="63" applyFont="1" applyFill="1" applyBorder="1" applyAlignment="1">
      <alignment horizontal="left" indent="1"/>
    </xf>
    <xf numFmtId="0" fontId="85" fillId="0" borderId="25" xfId="48" applyFont="1" applyBorder="1" applyAlignment="1" applyProtection="1">
      <alignment horizontal="center" vertical="center" wrapText="1"/>
      <protection locked="0"/>
    </xf>
    <xf numFmtId="0" fontId="85" fillId="0" borderId="64" xfId="48" applyFont="1" applyBorder="1" applyAlignment="1" applyProtection="1">
      <alignment horizontal="center" vertical="center" wrapText="1"/>
      <protection locked="0"/>
    </xf>
    <xf numFmtId="189" fontId="13" fillId="29" borderId="107" xfId="60" applyNumberFormat="1" applyFont="1" applyFill="1" applyBorder="1" applyAlignment="1" applyProtection="1">
      <alignment horizontal="center" vertical="center"/>
    </xf>
    <xf numFmtId="189" fontId="13" fillId="29" borderId="104" xfId="60" applyNumberFormat="1" applyFont="1" applyFill="1" applyBorder="1" applyAlignment="1" applyProtection="1">
      <alignment horizontal="center" vertical="center"/>
    </xf>
    <xf numFmtId="189" fontId="13" fillId="29" borderId="101" xfId="60" applyNumberFormat="1" applyFont="1" applyFill="1" applyBorder="1" applyAlignment="1" applyProtection="1">
      <alignment horizontal="center" vertical="center"/>
    </xf>
    <xf numFmtId="0" fontId="10" fillId="0" borderId="0" xfId="48" applyAlignment="1" applyProtection="1">
      <alignment horizontal="left" vertical="center"/>
      <protection locked="0"/>
    </xf>
    <xf numFmtId="0" fontId="13" fillId="29" borderId="25" xfId="48" applyFont="1" applyFill="1" applyBorder="1" applyAlignment="1">
      <alignment horizontal="center" vertical="center" wrapText="1"/>
    </xf>
    <xf numFmtId="0" fontId="13" fillId="29" borderId="24" xfId="48" applyFont="1" applyFill="1" applyBorder="1" applyAlignment="1">
      <alignment horizontal="center" vertical="center" wrapText="1"/>
    </xf>
    <xf numFmtId="0" fontId="13" fillId="29" borderId="18" xfId="48" applyFont="1" applyFill="1" applyBorder="1" applyAlignment="1">
      <alignment horizontal="center" vertical="center" wrapText="1"/>
    </xf>
    <xf numFmtId="0" fontId="10" fillId="29" borderId="58" xfId="48" applyFill="1" applyBorder="1" applyAlignment="1">
      <alignment horizontal="center" vertical="center" wrapText="1"/>
    </xf>
    <xf numFmtId="0" fontId="10" fillId="29" borderId="19" xfId="48" applyFill="1" applyBorder="1" applyAlignment="1">
      <alignment horizontal="center" vertical="center" wrapText="1"/>
    </xf>
    <xf numFmtId="0" fontId="41" fillId="0" borderId="0" xfId="0" applyFont="1" applyAlignment="1" applyProtection="1">
      <alignment vertical="center" wrapText="1"/>
      <protection locked="0"/>
    </xf>
    <xf numFmtId="0" fontId="10" fillId="29" borderId="33" xfId="48" applyFill="1" applyBorder="1" applyAlignment="1">
      <alignment horizontal="center" vertical="center" wrapText="1"/>
    </xf>
    <xf numFmtId="0" fontId="41" fillId="28" borderId="62" xfId="0" applyFont="1" applyFill="1" applyBorder="1" applyAlignment="1" applyProtection="1">
      <alignment horizontal="center" vertical="center" wrapText="1"/>
      <protection locked="0"/>
    </xf>
    <xf numFmtId="0" fontId="41" fillId="28" borderId="10" xfId="0" applyFont="1" applyFill="1" applyBorder="1" applyAlignment="1" applyProtection="1">
      <alignment horizontal="center" vertical="center" wrapText="1"/>
      <protection locked="0"/>
    </xf>
    <xf numFmtId="0" fontId="41" fillId="28" borderId="12" xfId="0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horizontal="center" vertical="center"/>
    </xf>
    <xf numFmtId="0" fontId="13" fillId="29" borderId="25" xfId="48" applyFont="1" applyFill="1" applyBorder="1" applyAlignment="1">
      <alignment horizontal="center" vertical="center"/>
    </xf>
    <xf numFmtId="0" fontId="13" fillId="29" borderId="24" xfId="48" applyFont="1" applyFill="1" applyBorder="1" applyAlignment="1">
      <alignment horizontal="center" vertical="center"/>
    </xf>
    <xf numFmtId="0" fontId="13" fillId="29" borderId="18" xfId="48" applyFont="1" applyFill="1" applyBorder="1" applyAlignment="1">
      <alignment horizontal="center" vertical="center"/>
    </xf>
    <xf numFmtId="0" fontId="10" fillId="29" borderId="22" xfId="48" applyFill="1" applyBorder="1" applyAlignment="1">
      <alignment horizontal="center" vertical="center" wrapText="1"/>
    </xf>
    <xf numFmtId="0" fontId="10" fillId="29" borderId="98" xfId="48" applyFill="1" applyBorder="1" applyAlignment="1">
      <alignment horizontal="center" vertical="center" wrapText="1"/>
    </xf>
    <xf numFmtId="0" fontId="13" fillId="0" borderId="62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3" fillId="0" borderId="62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80" fillId="37" borderId="38" xfId="48" applyFont="1" applyFill="1" applyBorder="1" applyAlignment="1" applyProtection="1">
      <alignment horizontal="center" vertical="center"/>
      <protection locked="0"/>
    </xf>
    <xf numFmtId="0" fontId="80" fillId="37" borderId="39" xfId="48" applyFont="1" applyFill="1" applyBorder="1" applyAlignment="1" applyProtection="1">
      <alignment horizontal="center" vertical="center"/>
      <protection locked="0"/>
    </xf>
    <xf numFmtId="0" fontId="80" fillId="37" borderId="50" xfId="48" applyFont="1" applyFill="1" applyBorder="1" applyAlignment="1" applyProtection="1">
      <alignment horizontal="center" vertical="center"/>
      <protection locked="0"/>
    </xf>
    <xf numFmtId="0" fontId="10" fillId="0" borderId="92" xfId="48" applyBorder="1" applyAlignment="1" applyProtection="1">
      <alignment horizontal="center" vertical="center"/>
      <protection locked="0"/>
    </xf>
    <xf numFmtId="0" fontId="10" fillId="0" borderId="60" xfId="48" applyBorder="1" applyAlignment="1" applyProtection="1">
      <alignment horizontal="center" vertical="center"/>
      <protection locked="0"/>
    </xf>
    <xf numFmtId="0" fontId="54" fillId="36" borderId="38" xfId="48" applyFont="1" applyFill="1" applyBorder="1" applyAlignment="1" applyProtection="1">
      <alignment horizontal="center" vertical="center"/>
      <protection locked="0"/>
    </xf>
    <xf numFmtId="0" fontId="54" fillId="36" borderId="39" xfId="48" applyFont="1" applyFill="1" applyBorder="1" applyAlignment="1" applyProtection="1">
      <alignment horizontal="center" vertical="center"/>
      <protection locked="0"/>
    </xf>
    <xf numFmtId="0" fontId="54" fillId="36" borderId="50" xfId="48" applyFont="1" applyFill="1" applyBorder="1" applyAlignment="1" applyProtection="1">
      <alignment horizontal="center" vertical="center"/>
      <protection locked="0"/>
    </xf>
    <xf numFmtId="0" fontId="13" fillId="0" borderId="13" xfId="0" applyFont="1" applyBorder="1" applyAlignment="1">
      <alignment horizontal="center" vertical="center" wrapText="1"/>
    </xf>
    <xf numFmtId="0" fontId="10" fillId="0" borderId="52" xfId="48" applyBorder="1" applyAlignment="1" applyProtection="1">
      <alignment horizontal="center" vertical="center"/>
      <protection locked="0"/>
    </xf>
    <xf numFmtId="0" fontId="10" fillId="0" borderId="90" xfId="48" applyBorder="1" applyAlignment="1" applyProtection="1">
      <alignment horizontal="center" vertical="center"/>
      <protection locked="0"/>
    </xf>
    <xf numFmtId="0" fontId="10" fillId="0" borderId="80" xfId="48" applyBorder="1" applyAlignment="1" applyProtection="1">
      <alignment horizontal="center" vertical="center"/>
      <protection locked="0"/>
    </xf>
    <xf numFmtId="0" fontId="10" fillId="0" borderId="54" xfId="48" applyBorder="1" applyAlignment="1" applyProtection="1">
      <alignment horizontal="center" vertical="center"/>
      <protection locked="0"/>
    </xf>
    <xf numFmtId="0" fontId="13" fillId="35" borderId="18" xfId="48" applyFont="1" applyFill="1" applyBorder="1" applyAlignment="1" applyProtection="1">
      <alignment horizontal="center" vertical="center"/>
      <protection locked="0"/>
    </xf>
    <xf numFmtId="0" fontId="13" fillId="35" borderId="17" xfId="48" applyFont="1" applyFill="1" applyBorder="1" applyAlignment="1" applyProtection="1">
      <alignment horizontal="center" vertical="center"/>
      <protection locked="0"/>
    </xf>
    <xf numFmtId="0" fontId="13" fillId="35" borderId="38" xfId="48" applyFont="1" applyFill="1" applyBorder="1" applyAlignment="1" applyProtection="1">
      <alignment horizontal="center" vertical="center"/>
      <protection locked="0"/>
    </xf>
    <xf numFmtId="0" fontId="13" fillId="35" borderId="39" xfId="48" applyFont="1" applyFill="1" applyBorder="1" applyAlignment="1" applyProtection="1">
      <alignment horizontal="center" vertical="center"/>
      <protection locked="0"/>
    </xf>
    <xf numFmtId="0" fontId="10" fillId="0" borderId="46" xfId="48" applyBorder="1" applyAlignment="1" applyProtection="1">
      <alignment horizontal="center" vertical="center"/>
      <protection locked="0"/>
    </xf>
    <xf numFmtId="0" fontId="13" fillId="35" borderId="50" xfId="48" applyFont="1" applyFill="1" applyBorder="1" applyAlignment="1" applyProtection="1">
      <alignment horizontal="center" vertical="center"/>
      <protection locked="0"/>
    </xf>
  </cellXfs>
  <cellStyles count="74">
    <cellStyle name="20 % - Accent1" xfId="1" builtinId="30" customBuiltin="1"/>
    <cellStyle name="20 % - Accent1 2" xfId="69" xr:uid="{901FB4F2-DCD6-49EE-973E-9ED6C86640CE}"/>
    <cellStyle name="20 % - Accent2" xfId="2" builtinId="34" customBuiltin="1"/>
    <cellStyle name="20 % - Accent3" xfId="3" builtinId="38" customBuiltin="1"/>
    <cellStyle name="20 % - Accent3 2" xfId="68" xr:uid="{D6737A77-89EF-466D-8D62-1A4F467481D9}"/>
    <cellStyle name="20 % - Accent4" xfId="4" builtinId="42" customBuiltin="1"/>
    <cellStyle name="20 % - Accent5" xfId="5" builtinId="46" customBuiltin="1"/>
    <cellStyle name="20 % - Accent6" xfId="6" builtinId="50" customBuiltin="1"/>
    <cellStyle name="20 % - Accent6 2" xfId="66" xr:uid="{D42757EA-4E12-48BD-B290-9DF781BCCB10}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1 2" xfId="70" xr:uid="{4B62ADAE-C169-4E72-A027-B74F88DCD06A}"/>
    <cellStyle name="60 % - Accent2" xfId="14" builtinId="36" customBuiltin="1"/>
    <cellStyle name="60 % - Accent3" xfId="15" builtinId="40" customBuiltin="1"/>
    <cellStyle name="60 % - Accent3 2" xfId="65" xr:uid="{9CCE1814-740D-4E13-9E17-75B9EF9918DE}"/>
    <cellStyle name="60 % - Accent4" xfId="16" builtinId="44" customBuiltin="1"/>
    <cellStyle name="60 % - Accent5" xfId="17" builtinId="48" customBuiltin="1"/>
    <cellStyle name="60 % - Accent6" xfId="18" builtinId="52" customBuiltin="1"/>
    <cellStyle name="60 % - Accent6 2" xfId="67" xr:uid="{B3AEB3E2-206C-4D8E-A670-97464E7F5379}"/>
    <cellStyle name="Accent1" xfId="19" builtinId="29" customBuiltin="1"/>
    <cellStyle name="Accent1 2" xfId="71" xr:uid="{DEE3F6BE-E547-4AD5-9257-71C729E0025F}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Comma 7" xfId="73" xr:uid="{C2E6B7E4-AAE1-4255-B4CB-B26B9367E39D}"/>
    <cellStyle name="Entrée" xfId="29" builtinId="20" customBuiltin="1"/>
    <cellStyle name="Insatisfaisant" xfId="30" builtinId="27" customBuiltin="1"/>
    <cellStyle name="Lien hypertexte" xfId="31" builtinId="8"/>
    <cellStyle name="Lien hypertexte 2" xfId="62" xr:uid="{D7AEBAF1-8BB8-4D9E-BED6-1E37AF7DC17F}"/>
    <cellStyle name="Milliers 2" xfId="49" xr:uid="{00000000-0005-0000-0000-00001E000000}"/>
    <cellStyle name="Milliers 3" xfId="59" xr:uid="{4BAFB155-D375-4A98-80F6-F0A548A49E4A}"/>
    <cellStyle name="Milliers 4" xfId="60" xr:uid="{B56E860D-0AB7-45DC-972F-E60C42F969CE}"/>
    <cellStyle name="Milliers 5" xfId="64" xr:uid="{24627E06-9168-4349-9BA6-6A158407B14E}"/>
    <cellStyle name="Monétaire 2" xfId="61" xr:uid="{4955D8B6-754E-4F84-B6AA-D62D978B6B68}"/>
    <cellStyle name="Neutre" xfId="32" builtinId="28" customBuiltin="1"/>
    <cellStyle name="Normal" xfId="0" builtinId="0"/>
    <cellStyle name="Normal 2" xfId="48" xr:uid="{00000000-0005-0000-0000-000021000000}"/>
    <cellStyle name="Normal 22" xfId="72" xr:uid="{95CF193E-BF5B-47C5-94BD-65A6D779EFD6}"/>
    <cellStyle name="Normal 3" xfId="47" xr:uid="{00000000-0005-0000-0000-000022000000}"/>
    <cellStyle name="Normal 3 2" xfId="52" xr:uid="{5BBD8A87-1508-47BD-983D-EEAE1B89ED5B}"/>
    <cellStyle name="Normal 3 3" xfId="54" xr:uid="{532891FB-6E5C-41C9-927B-F694573CE2D4}"/>
    <cellStyle name="Normal 4" xfId="50" xr:uid="{5C52D709-FB6C-4D07-82CB-3202B91B02F2}"/>
    <cellStyle name="Normal 5" xfId="46" xr:uid="{00000000-0005-0000-0000-000023000000}"/>
    <cellStyle name="Normal 6" xfId="53" xr:uid="{4CED5130-021D-426B-AF76-C907C18A11C5}"/>
    <cellStyle name="Normal 6 2" xfId="55" xr:uid="{7D8D9B05-2272-4811-8EDB-D169AB98B1E7}"/>
    <cellStyle name="Normal 7" xfId="56" xr:uid="{BAAF2C57-8424-41F6-85CB-CFBFE3DF5EE2}"/>
    <cellStyle name="Normal 8" xfId="63" xr:uid="{C68D46F2-1FD8-4CFA-AC1D-AC431C46CEFF}"/>
    <cellStyle name="Normal_3j_ClientSite_Outil_Objet_RAP_20080331_JMi1" xfId="33" xr:uid="{00000000-0005-0000-0000-000024000000}"/>
    <cellStyle name="Normal_3J_Loreal_TestCogen_IEEIGES09_20110106_ADL" xfId="34" xr:uid="{00000000-0005-0000-0000-000025000000}"/>
    <cellStyle name="Note" xfId="28" builtinId="10" customBuiltin="1"/>
    <cellStyle name="Pourcentage" xfId="35" builtinId="5"/>
    <cellStyle name="Pourcentage 2" xfId="51" xr:uid="{34649D98-9E4C-43A3-9273-4104B2B89866}"/>
    <cellStyle name="Pourcentage 3" xfId="57" xr:uid="{EB30F93B-7E08-4BFA-B741-20F566490A43}"/>
    <cellStyle name="Pourcentage 4" xfId="58" xr:uid="{76C15F84-5EBA-4257-91F0-18C3DF4FA5C7}"/>
    <cellStyle name="Satisfaisant" xfId="36" builtinId="26" customBuiltin="1"/>
    <cellStyle name="Sortie" xfId="37" builtinId="21" customBuiltin="1"/>
    <cellStyle name="Texte explicatif" xfId="38" builtinId="53" customBuiltin="1"/>
    <cellStyle name="Titre" xfId="39" builtinId="15" customBuiltin="1"/>
    <cellStyle name="Titre 1" xfId="40" builtinId="16" customBuiltin="1"/>
    <cellStyle name="Titre 2" xfId="41" builtinId="17" customBuiltin="1"/>
    <cellStyle name="Titre 3" xfId="42" builtinId="18" customBuiltin="1"/>
    <cellStyle name="Titre 4" xfId="43" builtinId="19" customBuiltin="1"/>
    <cellStyle name="Total" xfId="44" builtinId="25" customBuiltin="1"/>
    <cellStyle name="Vérification" xfId="45" builtinId="23" customBuiltin="1"/>
  </cellStyles>
  <dxfs count="33">
    <dxf>
      <alignment horizontal="center"/>
    </dxf>
    <dxf>
      <alignment horizontal="center"/>
    </dxf>
    <dxf>
      <alignment horizontal="center"/>
    </dxf>
    <dxf>
      <font>
        <sz val="12"/>
        <family val="1"/>
      </font>
    </dxf>
    <dxf>
      <font>
        <sz val="12"/>
        <family val="1"/>
      </font>
    </dxf>
    <dxf>
      <font>
        <sz val="12"/>
        <family val="1"/>
      </font>
    </dxf>
    <dxf>
      <font>
        <sz val="12"/>
        <family val="1"/>
      </font>
    </dxf>
    <dxf>
      <font>
        <sz val="12"/>
        <family val="1"/>
      </font>
    </dxf>
    <dxf>
      <font>
        <sz val="12"/>
        <family val="1"/>
      </font>
    </dxf>
    <dxf>
      <font>
        <sz val="12"/>
        <family val="1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33CC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2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1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Trajectoire!$D$33</c:f>
          <c:strCache>
            <c:ptCount val="1"/>
            <c:pt idx="0">
              <c:v>Vision neutralité carbone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Trajectoire!$D$42</c:f>
              <c:strCache>
                <c:ptCount val="1"/>
                <c:pt idx="0">
                  <c:v>IEE (%)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Trajectoire!$F$41:$K$41</c:f>
              <c:numCache>
                <c:formatCode>General</c:formatCode>
                <c:ptCount val="5"/>
                <c:pt idx="0">
                  <c:v>2005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Trajectoire!$F$42:$K$42</c:f>
              <c:numCache>
                <c:formatCode>_(* #,##0.00_);_(* \(#,##0.00\);_(* "-"??_);_(@_)</c:formatCode>
                <c:ptCount val="5"/>
                <c:pt idx="1">
                  <c:v>1</c:v>
                </c:pt>
                <c:pt idx="2">
                  <c:v>0.92708333333333337</c:v>
                </c:pt>
                <c:pt idx="3">
                  <c:v>0.89677083333333329</c:v>
                </c:pt>
                <c:pt idx="4">
                  <c:v>0.89677083333333329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3-4CF2-A8F1-58DDA308568C}"/>
            </c:ext>
          </c:extLst>
        </c:ser>
        <c:ser>
          <c:idx val="2"/>
          <c:order val="2"/>
          <c:tx>
            <c:strRef>
              <c:f>Trajectoire!$D$44</c:f>
              <c:strCache>
                <c:ptCount val="1"/>
                <c:pt idx="0">
                  <c:v>ISER (%)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Trajectoire!$F$41:$K$41</c:f>
              <c:numCache>
                <c:formatCode>General</c:formatCode>
                <c:ptCount val="5"/>
                <c:pt idx="0">
                  <c:v>2005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Trajectoire!$F$44:$K$44</c:f>
              <c:numCache>
                <c:formatCode>_(* #,##0.00_);_(* \(#,##0.00\);_(* "-"??_);_(@_)</c:formatCode>
                <c:ptCount val="5"/>
                <c:pt idx="1">
                  <c:v>0.16666666666666666</c:v>
                </c:pt>
                <c:pt idx="2">
                  <c:v>0.21348314606741572</c:v>
                </c:pt>
                <c:pt idx="3">
                  <c:v>0.6156348007898711</c:v>
                </c:pt>
                <c:pt idx="4">
                  <c:v>0.6156348007898711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13-4CF2-A8F1-58DDA308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867712"/>
        <c:axId val="1543904368"/>
      </c:lineChart>
      <c:lineChart>
        <c:grouping val="standard"/>
        <c:varyColors val="0"/>
        <c:ser>
          <c:idx val="1"/>
          <c:order val="1"/>
          <c:tx>
            <c:strRef>
              <c:f>Trajectoire!$D$43</c:f>
              <c:strCache>
                <c:ptCount val="1"/>
                <c:pt idx="0">
                  <c:v>Intensité carbone (tCO2/MWh)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Trajectoire!$F$41:$K$41</c:f>
              <c:numCache>
                <c:formatCode>General</c:formatCode>
                <c:ptCount val="5"/>
                <c:pt idx="0">
                  <c:v>2005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Trajectoire!$F$43:$K$43</c:f>
              <c:numCache>
                <c:formatCode>_-* #,##0.000_-;\-* #,##0.000_-;_-* "-"??_-;_-@_-</c:formatCode>
                <c:ptCount val="5"/>
                <c:pt idx="1">
                  <c:v>0.28552083333333333</c:v>
                </c:pt>
                <c:pt idx="2">
                  <c:v>0.29083146067415733</c:v>
                </c:pt>
                <c:pt idx="3">
                  <c:v>0.20670739923336043</c:v>
                </c:pt>
                <c:pt idx="4">
                  <c:v>0.10216564060866533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3-4CF2-A8F1-58DDA308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632320"/>
        <c:axId val="1626624640"/>
      </c:lineChart>
      <c:catAx>
        <c:axId val="195786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3904368"/>
        <c:crosses val="autoZero"/>
        <c:auto val="1"/>
        <c:lblAlgn val="ctr"/>
        <c:lblOffset val="100"/>
        <c:noMultiLvlLbl val="0"/>
      </c:catAx>
      <c:valAx>
        <c:axId val="15439043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Indices iEE et iSER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7867712"/>
        <c:crosses val="autoZero"/>
        <c:crossBetween val="between"/>
      </c:valAx>
      <c:valAx>
        <c:axId val="16266246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Intensité carbone (tCO2/MWh)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_-* #,##0.000_-;\-* #,##0.00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26632320"/>
        <c:crosses val="max"/>
        <c:crossBetween val="between"/>
      </c:valAx>
      <c:catAx>
        <c:axId val="1626632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6624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Trajectoire!$D$33</c:f>
          <c:strCache>
            <c:ptCount val="1"/>
            <c:pt idx="0">
              <c:v>Vision neutralité carbone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Trajectoire!$D$35</c:f>
              <c:strCache>
                <c:ptCount val="1"/>
                <c:pt idx="0">
                  <c:v>émissions combustibles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Trajectoire!$F$34:$K$34</c:f>
              <c:numCache>
                <c:formatCode>General</c:formatCode>
                <c:ptCount val="5"/>
                <c:pt idx="0">
                  <c:v>2005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Trajectoire!$F$35:$K$35</c:f>
              <c:numCache>
                <c:formatCode>#,##0</c:formatCode>
                <c:ptCount val="5"/>
                <c:pt idx="0">
                  <c:v>26152</c:v>
                </c:pt>
                <c:pt idx="1">
                  <c:v>23090</c:v>
                </c:pt>
                <c:pt idx="2">
                  <c:v>22644</c:v>
                </c:pt>
                <c:pt idx="3">
                  <c:v>10000</c:v>
                </c:pt>
                <c:pt idx="4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00-4669-9E22-6D8A972F4A5F}"/>
            </c:ext>
          </c:extLst>
        </c:ser>
        <c:ser>
          <c:idx val="1"/>
          <c:order val="1"/>
          <c:tx>
            <c:strRef>
              <c:f>Trajectoire!$D$36</c:f>
              <c:strCache>
                <c:ptCount val="1"/>
                <c:pt idx="0">
                  <c:v>émissions électricité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Trajectoire!$F$34:$K$34</c:f>
              <c:numCache>
                <c:formatCode>General</c:formatCode>
                <c:ptCount val="5"/>
                <c:pt idx="0">
                  <c:v>2005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Trajectoire!$F$36:$K$36</c:f>
              <c:numCache>
                <c:formatCode>#,##0</c:formatCode>
                <c:ptCount val="5"/>
                <c:pt idx="0">
                  <c:v>4320</c:v>
                </c:pt>
                <c:pt idx="1">
                  <c:v>4320</c:v>
                </c:pt>
                <c:pt idx="2">
                  <c:v>3240</c:v>
                </c:pt>
                <c:pt idx="3">
                  <c:v>7795.44</c:v>
                </c:pt>
                <c:pt idx="4">
                  <c:v>7795.44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0-4669-9E22-6D8A972F4A5F}"/>
            </c:ext>
          </c:extLst>
        </c:ser>
        <c:ser>
          <c:idx val="2"/>
          <c:order val="2"/>
          <c:tx>
            <c:strRef>
              <c:f>Trajectoire!$D$37</c:f>
              <c:strCache>
                <c:ptCount val="1"/>
                <c:pt idx="0">
                  <c:v>émissions totales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Trajectoire!$F$37:$K$37</c:f>
              <c:numCache>
                <c:formatCode>#,##0</c:formatCode>
                <c:ptCount val="5"/>
                <c:pt idx="0">
                  <c:v>30472</c:v>
                </c:pt>
                <c:pt idx="1">
                  <c:v>27410</c:v>
                </c:pt>
                <c:pt idx="2">
                  <c:v>25884</c:v>
                </c:pt>
                <c:pt idx="3">
                  <c:v>17795.439999999999</c:v>
                </c:pt>
                <c:pt idx="4">
                  <c:v>8795.4399999999987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00-4669-9E22-6D8A972F4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066672"/>
        <c:axId val="351398352"/>
      </c:lineChart>
      <c:catAx>
        <c:axId val="38406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1398352"/>
        <c:crosses val="autoZero"/>
        <c:auto val="1"/>
        <c:lblAlgn val="ctr"/>
        <c:lblOffset val="100"/>
        <c:noMultiLvlLbl val="0"/>
      </c:catAx>
      <c:valAx>
        <c:axId val="35139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tCO2eq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406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Trajectoire!$D$33</c:f>
          <c:strCache>
            <c:ptCount val="1"/>
            <c:pt idx="0">
              <c:v>Vision neutralité carbone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Trajectoire!$D$38</c:f>
              <c:strCache>
                <c:ptCount val="1"/>
                <c:pt idx="0">
                  <c:v>consommations énergétiques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Trajectoire!$F$34:$K$34</c:f>
              <c:numCache>
                <c:formatCode>General</c:formatCode>
                <c:ptCount val="5"/>
                <c:pt idx="0">
                  <c:v>2005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Trajectoire!$F$38:$K$38</c:f>
              <c:numCache>
                <c:formatCode>#,##0</c:formatCode>
                <c:ptCount val="5"/>
                <c:pt idx="0">
                  <c:v>107000</c:v>
                </c:pt>
                <c:pt idx="1">
                  <c:v>96000</c:v>
                </c:pt>
                <c:pt idx="2">
                  <c:v>89000</c:v>
                </c:pt>
                <c:pt idx="3">
                  <c:v>86090</c:v>
                </c:pt>
                <c:pt idx="4">
                  <c:v>86090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8-4C54-B431-E235DE60A599}"/>
            </c:ext>
          </c:extLst>
        </c:ser>
        <c:ser>
          <c:idx val="2"/>
          <c:order val="1"/>
          <c:tx>
            <c:strRef>
              <c:f>Trajectoire!$D$39</c:f>
              <c:strCache>
                <c:ptCount val="1"/>
                <c:pt idx="0">
                  <c:v>Consommation SER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Trajectoire!$G$34:$K$34</c:f>
              <c:numCache>
                <c:formatCode>General</c:formatCode>
                <c:ptCount val="4"/>
                <c:pt idx="0">
                  <c:v>2023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Trajectoire!$F$39:$K$39</c:f>
              <c:numCache>
                <c:formatCode>#,##0</c:formatCode>
                <c:ptCount val="5"/>
                <c:pt idx="0">
                  <c:v>0</c:v>
                </c:pt>
                <c:pt idx="1">
                  <c:v>16000</c:v>
                </c:pt>
                <c:pt idx="2">
                  <c:v>19000</c:v>
                </c:pt>
                <c:pt idx="3">
                  <c:v>53000</c:v>
                </c:pt>
                <c:pt idx="4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48-4C54-B431-E235DE60A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066672"/>
        <c:axId val="351398352"/>
      </c:lineChart>
      <c:catAx>
        <c:axId val="38406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1398352"/>
        <c:crosses val="autoZero"/>
        <c:auto val="1"/>
        <c:lblAlgn val="ctr"/>
        <c:lblOffset val="100"/>
        <c:noMultiLvlLbl val="0"/>
      </c:catAx>
      <c:valAx>
        <c:axId val="35139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MWh final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406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3573D1E-34E7-44F4-A0A9-38C74DB510CE}">
  <sheetPr/>
  <sheetViews>
    <sheetView zoomScale="64" workbookViewId="0" zoomToFit="1"/>
  </sheetViews>
  <pageMargins left="0.7" right="0.7" top="0.75" bottom="0.75" header="0.3" footer="0.3"/>
  <pageSetup paperSize="9" orientation="portrait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1BB415C-3B84-4CCE-8F1B-057075107E21}">
  <sheetPr/>
  <sheetViews>
    <sheetView zoomScale="162" workbookViewId="0" zoomToFit="1"/>
  </sheetViews>
  <pageMargins left="0.7" right="0.7" top="0.75" bottom="0.75" header="0.3" footer="0.3"/>
  <pageSetup paperSize="9" orientation="portrait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4EFA455-76DB-4142-A715-E9C1B169F813}">
  <sheetPr/>
  <sheetViews>
    <sheetView zoomScale="162" workbookViewId="0" zoomToFit="1"/>
  </sheetViews>
  <pageMargins left="0.7" right="0.7" top="0.75" bottom="0.75" header="0.3" footer="0.3"/>
  <pageSetup paperSize="9" orientation="portrait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198665</xdr:colOff>
      <xdr:row>19</xdr:row>
      <xdr:rowOff>72932</xdr:rowOff>
    </xdr:from>
    <xdr:to>
      <xdr:col>1</xdr:col>
      <xdr:colOff>927052</xdr:colOff>
      <xdr:row>23</xdr:row>
      <xdr:rowOff>14285</xdr:rowOff>
    </xdr:to>
    <xdr:pic>
      <xdr:nvPicPr>
        <xdr:cNvPr id="3" name="Image 2" descr="C:\Users\Claire-Anne\Dropbox\Transferts_JBV-CAS\logo_Pirotech_arrPlanBlanc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2" y="7420789"/>
          <a:ext cx="728387" cy="9210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1284514</xdr:colOff>
      <xdr:row>1</xdr:row>
      <xdr:rowOff>163286</xdr:rowOff>
    </xdr:from>
    <xdr:to>
      <xdr:col>3</xdr:col>
      <xdr:colOff>1430245</xdr:colOff>
      <xdr:row>6</xdr:row>
      <xdr:rowOff>197771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8D20D5D-5ED2-4A69-97A6-932FE0850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9657" y="359229"/>
          <a:ext cx="1553800" cy="20185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6179344" cy="9215438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8DF4F46-6B73-9D0C-183F-39D8DE2FC6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7473009" cy="4762500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5D0BC34-0CAD-236E-E1CE-DD639B0E1F7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7473009" cy="4762500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4FFFAD1-DF7E-7546-D26A-0AAE6677670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loniegov.sharepoint.com/Data_JBV/3j_Commun/00_Projets/Electrabel/Module1_DiagnostiqueEnergetique/Copie%20de%20U-planch-sol-f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Introduction"/>
      <sheetName val="2_Exemple"/>
      <sheetName val="3_Calcul"/>
      <sheetName val="Constantes"/>
      <sheetName val="Constantes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ean-Benoit Verbeke" id="{B359C55A-ADC1-4F5C-8BA0-A7070820BB03}" userId="7c0989cf3dc35672" providerId="Windows Live"/>
  <person displayName="Jean-Benoit Verbeke" id="{03D2B3A5-4430-4EC4-B80D-08941D02DB39}" userId="S::jbv@pirotech.be::3125f11d-fa12-46b1-a68f-ec1496599d7b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an-Benoit Verbeke" refreshedDate="45392.515464583332" createdVersion="8" refreshedVersion="8" minRefreshableVersion="3" recordCount="1" xr:uid="{A4B9A5D5-41A4-4B6A-A202-68B7E4EA4B22}">
  <cacheSource type="worksheet">
    <worksheetSource ref="B4:M6" sheet="PA"/>
  </cacheSource>
  <cacheFields count="11">
    <cacheField name="réf" numFmtId="0">
      <sharedItems containsSemiMixedTypes="0" containsString="0" containsNumber="1" containsInteger="1" minValue="0" maxValue="0"/>
    </cacheField>
    <cacheField name="3" numFmtId="0">
      <sharedItems containsSemiMixedTypes="0" containsString="0" containsNumber="1" containsInteger="1" minValue="0" maxValue="0"/>
    </cacheField>
    <cacheField name="Invest." numFmtId="178">
      <sharedItems containsSemiMixedTypes="0" containsString="0" containsNumber="1" containsInteger="1" minValue="0" maxValue="0"/>
    </cacheField>
    <cacheField name="Rent" numFmtId="166">
      <sharedItems containsSemiMixedTypes="0" containsString="0" containsNumber="1" containsInteger="1" minValue="0" maxValue="0"/>
    </cacheField>
    <cacheField name="C_Rent" numFmtId="9">
      <sharedItems/>
    </cacheField>
    <cacheField name="F_ADB" numFmtId="0">
      <sharedItems containsBlank="1" count="3">
        <s v="A"/>
        <m u="1"/>
        <s v="R" u="1"/>
      </sharedItems>
    </cacheField>
    <cacheField name="4" numFmtId="178">
      <sharedItems containsSemiMixedTypes="0" containsString="0" containsNumber="1" containsInteger="1" minValue="0" maxValue="0"/>
    </cacheField>
    <cacheField name="5" numFmtId="178">
      <sharedItems containsSemiMixedTypes="0" containsString="0" containsNumber="1" containsInteger="1" minValue="0" maxValue="0"/>
    </cacheField>
    <cacheField name="Ep" numFmtId="3">
      <sharedItems containsSemiMixedTypes="0" containsString="0" containsNumber="1" containsInteger="1" minValue="0" maxValue="0"/>
    </cacheField>
    <cacheField name="CO2" numFmtId="3">
      <sharedItems containsSemiMixedTypes="0" containsString="0" containsNumber="1" containsInteger="1" minValue="0" maxValue="0"/>
    </cacheField>
    <cacheField name="11" numFmtId="3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n v="0"/>
    <n v="0"/>
    <n v="0"/>
    <n v="0"/>
    <s v="PROJET NON RENTABLE"/>
    <x v="0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CCC4C4-7BDE-4BDF-A780-590DD1002451}" name="Tableau croisé dynamique1" cacheId="1" dataOnRows="1" applyNumberFormats="0" applyBorderFormats="0" applyFontFormats="0" applyPatternFormats="0" applyAlignmentFormats="0" applyWidthHeightFormats="1" dataCaption="Données" updatedVersion="8" minRefreshableVersion="3" showMultipleLabel="0" showMemberPropertyTips="0" useAutoFormatting="1" itemPrintTitles="1" createdVersion="6" indent="0" compact="0" compactData="0" gridDropZones="1">
  <location ref="V9:X19" firstHeaderRow="1" firstDataRow="1" firstDataCol="2"/>
  <pivotFields count="11">
    <pivotField dataField="1" compact="0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name="Rentabilité" compact="0" outline="0" subtotalTop="0" showAll="0" includeNewItemsInFilter="1"/>
    <pivotField dataField="1" compact="0" outline="0" subtotalTop="0" showAll="0" defaultSubtotal="0"/>
    <pivotField axis="axisRow" compact="0" outline="0" subtotalTop="0" showAll="0" includeNewItemsInFilter="1" defaultSubtotal="0">
      <items count="3">
        <item m="1" x="2"/>
        <item m="1" x="1"/>
        <item x="0"/>
      </items>
    </pivotField>
    <pivotField compact="0" numFmtId="3" outline="0" subtotalTop="0" showAll="0" includeNewItemsInFilter="1"/>
    <pivotField compact="0" numFmtId="3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compact="0" outline="0" subtotalTop="0" showAll="0" defaultSubtotal="0"/>
  </pivotFields>
  <rowFields count="2">
    <field x="-2"/>
    <field x="5"/>
  </rowFields>
  <rowItems count="10">
    <i>
      <x/>
      <x v="2"/>
    </i>
    <i i="1">
      <x v="1"/>
      <x v="2"/>
    </i>
    <i i="2">
      <x v="2"/>
      <x v="2"/>
    </i>
    <i i="3">
      <x v="3"/>
      <x v="2"/>
    </i>
    <i i="4">
      <x v="4"/>
      <x v="2"/>
    </i>
    <i t="grand">
      <x/>
    </i>
    <i t="grand" i="1">
      <x/>
    </i>
    <i t="grand" i="2">
      <x/>
    </i>
    <i t="grand" i="3">
      <x/>
    </i>
    <i t="grand" i="4">
      <x/>
    </i>
  </rowItems>
  <colItems count="1">
    <i/>
  </colItems>
  <dataFields count="5">
    <dataField name="NB Pistes" fld="0" subtotal="count" baseField="0" baseItem="0"/>
    <dataField name="Economie (GJp)" fld="8" baseField="0" baseItem="0" numFmtId="3"/>
    <dataField name="Economie (kg CO2)" fld="9" baseField="0" baseItem="0" numFmtId="3"/>
    <dataField name="Investissement" fld="2" baseField="0" baseItem="0" numFmtId="177"/>
    <dataField name="Nombre de C_Rent" fld="4" subtotal="count" baseField="0" baseItem="0"/>
  </dataFields>
  <formats count="31">
    <format dxfId="30">
      <pivotArea outline="0" fieldPosition="0"/>
    </format>
    <format dxfId="29">
      <pivotArea type="topRight" dataOnly="0" labelOnly="1" outline="0" fieldPosition="0"/>
    </format>
    <format dxfId="28">
      <pivotArea dataOnly="0" labelOnly="1" grandCol="1" outline="0" fieldPosition="0"/>
    </format>
    <format dxfId="27">
      <pivotArea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grandCol="1" outline="0" fieldPosition="0"/>
    </format>
    <format dxfId="23">
      <pivotArea type="all" dataOnly="0" outline="0" fieldPosition="0"/>
    </format>
    <format dxfId="22">
      <pivotArea outline="0" fieldPosition="0"/>
    </format>
    <format dxfId="21">
      <pivotArea type="origin" dataOnly="0" labelOnly="1" outline="0" fieldPosition="0"/>
    </format>
    <format dxfId="20">
      <pivotArea type="topRight" dataOnly="0" labelOnly="1" outline="0" fieldPosition="0"/>
    </format>
    <format dxfId="19">
      <pivotArea field="-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">
      <pivotArea dataOnly="0" labelOnly="1" grandCol="1" outline="0" fieldPosition="0"/>
    </format>
    <format dxfId="16">
      <pivotArea type="all" dataOnly="0" outline="0" fieldPosition="0"/>
    </format>
    <format dxfId="15">
      <pivotArea outline="0" fieldPosition="0"/>
    </format>
    <format dxfId="14">
      <pivotArea type="origin" dataOnly="0" labelOnly="1" outline="0" fieldPosition="0"/>
    </format>
    <format dxfId="13">
      <pivotArea type="topRight" dataOnly="0" labelOnly="1" outline="0" fieldPosition="0"/>
    </format>
    <format dxfId="12">
      <pivotArea field="-2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fieldPosition="0"/>
    </format>
    <format dxfId="6">
      <pivotArea type="topRight" dataOnly="0" labelOnly="1" outline="0" fieldPosition="0"/>
    </format>
    <format dxfId="5">
      <pivotArea field="-2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">
      <pivotArea dataOnly="0" labelOnly="1" grandCol="1" outline="0" fieldPosition="0"/>
    </format>
    <format dxfId="2">
      <pivotArea outline="0" collapsedLevelsAreSubtotals="1" fieldPosition="0"/>
    </format>
    <format dxfId="1">
      <pivotArea type="topRight" dataOnly="0" labelOnly="1" outline="0" fieldPosition="0"/>
    </format>
    <format dxfId="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I3" dT="2024-04-10T09:47:07.49" personId="{B359C55A-ADC1-4F5C-8BA0-A7070820BB03}" id="{182FFEE0-0990-4151-BA76-2781471CF1D6}">
    <text>(CRAp - CREp)/CRAg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I3" dT="2024-04-10T09:47:07.49" personId="{B359C55A-ADC1-4F5C-8BA0-A7070820BB03}" id="{93C353C0-718A-430A-B604-64F4C10BAAFA}">
    <text>(CRAp - CREp)/CRAg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41" dT="2024-10-09T16:24:22.09" personId="{03D2B3A5-4430-4EC4-B80D-08941D02DB39}" id="{9F5D987C-3A82-41BB-ACC9-116832BABFF4}">
    <text>A mettre à jour éventuellement par retro-engineering sur ADB2 2023/2005 avec les coefficients CC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rotech.be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bel.fgov.be/fr/themes/prix-la-consommation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statbel.fgov.be/fr/themes/prix-la-consommation" TargetMode="External"/><Relationship Id="rId1" Type="http://schemas.openxmlformats.org/officeDocument/2006/relationships/hyperlink" Target="https://energie.wallonie.be/fr/deduction-fiscale-pour-investissements.html?IDC=6952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as.be/fr/degr%C3%A9s-jour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J27"/>
  <sheetViews>
    <sheetView zoomScale="70" zoomScaleNormal="70" workbookViewId="0">
      <selection activeCell="C18" sqref="C18:D18"/>
    </sheetView>
  </sheetViews>
  <sheetFormatPr baseColWidth="10" defaultColWidth="11.44140625" defaultRowHeight="18.600000000000001"/>
  <cols>
    <col min="1" max="1" width="3" style="27" customWidth="1"/>
    <col min="2" max="2" width="16.6640625" style="27" customWidth="1"/>
    <col min="3" max="3" width="19.5546875" style="27" customWidth="1"/>
    <col min="4" max="4" width="43" style="27" customWidth="1"/>
    <col min="5" max="5" width="17.5546875" style="27" customWidth="1"/>
    <col min="6" max="6" width="3.109375" style="27" customWidth="1"/>
    <col min="7" max="7" width="11.44140625" style="53" customWidth="1"/>
    <col min="8" max="8" width="20.33203125" style="53" bestFit="1" customWidth="1"/>
    <col min="9" max="9" width="12.88671875" style="53" bestFit="1" customWidth="1"/>
    <col min="10" max="10" width="17.33203125" style="53" bestFit="1" customWidth="1"/>
    <col min="11" max="16384" width="11.44140625" style="27"/>
  </cols>
  <sheetData>
    <row r="1" spans="2:10" ht="15.75" customHeight="1" thickBot="1">
      <c r="B1" s="28"/>
    </row>
    <row r="2" spans="2:10" ht="78" customHeight="1" thickTop="1">
      <c r="B2" s="29"/>
      <c r="C2" s="30"/>
      <c r="D2" s="30"/>
      <c r="E2" s="31"/>
      <c r="G2" s="52"/>
    </row>
    <row r="3" spans="2:10">
      <c r="B3" s="709"/>
      <c r="C3" s="710"/>
      <c r="D3" s="710"/>
      <c r="E3" s="32"/>
      <c r="G3" s="51"/>
      <c r="H3" s="51"/>
      <c r="I3" s="51"/>
      <c r="J3" s="51"/>
    </row>
    <row r="4" spans="2:10" ht="19.5" customHeight="1">
      <c r="B4" s="33"/>
      <c r="E4" s="32"/>
      <c r="G4" s="51"/>
      <c r="H4" s="51"/>
      <c r="I4" s="51"/>
      <c r="J4" s="51"/>
    </row>
    <row r="5" spans="2:10" ht="19.5" customHeight="1">
      <c r="B5" s="33"/>
      <c r="E5" s="32"/>
      <c r="G5" s="51"/>
      <c r="H5" s="51"/>
      <c r="I5" s="51"/>
      <c r="J5" s="51"/>
    </row>
    <row r="6" spans="2:10" ht="19.5" customHeight="1">
      <c r="B6" s="33"/>
      <c r="E6" s="32"/>
      <c r="G6" s="51"/>
      <c r="H6" s="51"/>
      <c r="I6" s="51"/>
      <c r="J6" s="51"/>
    </row>
    <row r="7" spans="2:10" ht="19.5" customHeight="1">
      <c r="B7" s="34"/>
      <c r="C7" s="35"/>
      <c r="D7" s="35"/>
      <c r="E7" s="32"/>
      <c r="G7" s="51"/>
      <c r="H7" s="51"/>
      <c r="I7" s="51"/>
      <c r="J7" s="51"/>
    </row>
    <row r="8" spans="2:10" ht="15" customHeight="1">
      <c r="B8" s="33"/>
      <c r="C8" s="35"/>
      <c r="D8" s="35"/>
      <c r="E8" s="32"/>
      <c r="G8" s="51"/>
      <c r="H8" s="51"/>
      <c r="I8" s="51"/>
      <c r="J8" s="51"/>
    </row>
    <row r="9" spans="2:10" ht="15" customHeight="1">
      <c r="B9" s="33"/>
      <c r="E9" s="32"/>
      <c r="G9" s="54"/>
    </row>
    <row r="10" spans="2:10" ht="15" customHeight="1">
      <c r="B10" s="33"/>
      <c r="C10" s="35"/>
      <c r="D10" s="35"/>
      <c r="E10" s="32"/>
      <c r="G10" s="54"/>
    </row>
    <row r="11" spans="2:10" ht="15" customHeight="1">
      <c r="B11" s="33"/>
      <c r="E11" s="32"/>
    </row>
    <row r="12" spans="2:10" ht="26.4">
      <c r="B12" s="33"/>
      <c r="C12" s="711"/>
      <c r="D12" s="711"/>
      <c r="E12" s="32"/>
      <c r="G12" s="54"/>
    </row>
    <row r="13" spans="2:10">
      <c r="B13" s="33"/>
      <c r="E13" s="32"/>
    </row>
    <row r="14" spans="2:10" ht="54.75" customHeight="1">
      <c r="B14" s="42"/>
      <c r="C14" s="712" t="s">
        <v>0</v>
      </c>
      <c r="D14" s="712"/>
      <c r="E14" s="43"/>
      <c r="G14" s="54"/>
    </row>
    <row r="15" spans="2:10" ht="26.4">
      <c r="B15" s="33"/>
      <c r="C15" s="711" t="s">
        <v>1</v>
      </c>
      <c r="D15" s="711"/>
      <c r="E15" s="32"/>
      <c r="G15" s="55"/>
    </row>
    <row r="16" spans="2:10" ht="21">
      <c r="B16" s="33"/>
      <c r="C16" s="704"/>
      <c r="D16" s="704"/>
      <c r="E16" s="32"/>
      <c r="G16" s="56"/>
    </row>
    <row r="17" spans="2:7" ht="19.5" customHeight="1">
      <c r="B17" s="33"/>
      <c r="E17" s="32"/>
      <c r="G17" s="57"/>
    </row>
    <row r="18" spans="2:7">
      <c r="B18" s="33"/>
      <c r="C18" s="705" t="str">
        <f ca="1">MID(CELL("filename",A1),FIND("[",CELL("filename",A1))+1,SUM(FIND({"[";"]"},CELL("filename",A1))*{-1;1})-1)</f>
        <v>20241113_Canevas_Tableaux-Indices-Ameliorations-Trajectoire.xlsx</v>
      </c>
      <c r="D18" s="705"/>
      <c r="E18" s="32"/>
      <c r="G18" s="57"/>
    </row>
    <row r="19" spans="2:7">
      <c r="B19" s="74"/>
      <c r="C19" s="75"/>
      <c r="D19" s="75"/>
      <c r="E19" s="76"/>
    </row>
    <row r="20" spans="2:7">
      <c r="B20" s="74"/>
      <c r="C20" s="75"/>
      <c r="D20" s="75"/>
      <c r="E20" s="76"/>
    </row>
    <row r="21" spans="2:7" ht="19.8">
      <c r="B21" s="74"/>
      <c r="C21" s="75"/>
      <c r="D21" s="75"/>
      <c r="E21" s="76"/>
      <c r="G21" s="58"/>
    </row>
    <row r="22" spans="2:7">
      <c r="B22" s="74"/>
      <c r="C22" s="75"/>
      <c r="D22" s="75"/>
      <c r="E22" s="76"/>
    </row>
    <row r="23" spans="2:7">
      <c r="B23" s="706"/>
      <c r="C23" s="707"/>
      <c r="D23" s="707"/>
      <c r="E23" s="708"/>
    </row>
    <row r="24" spans="2:7">
      <c r="B24" s="437" t="s">
        <v>2</v>
      </c>
      <c r="C24" s="438"/>
      <c r="D24" s="438"/>
      <c r="E24" s="439"/>
    </row>
    <row r="25" spans="2:7">
      <c r="B25" s="701"/>
      <c r="C25" s="702"/>
      <c r="D25" s="702"/>
      <c r="E25" s="703"/>
    </row>
    <row r="26" spans="2:7" ht="19.2" thickBot="1">
      <c r="B26" s="36"/>
      <c r="C26" s="28"/>
      <c r="D26" s="28"/>
      <c r="E26" s="37"/>
    </row>
    <row r="27" spans="2:7" ht="19.2" thickTop="1"/>
  </sheetData>
  <mergeCells count="8">
    <mergeCell ref="B25:E25"/>
    <mergeCell ref="C16:D16"/>
    <mergeCell ref="C18:D18"/>
    <mergeCell ref="B23:E23"/>
    <mergeCell ref="B3:D3"/>
    <mergeCell ref="C12:D12"/>
    <mergeCell ref="C14:D14"/>
    <mergeCell ref="C15:D15"/>
  </mergeCells>
  <phoneticPr fontId="42" type="noConversion"/>
  <hyperlinks>
    <hyperlink ref="B24" r:id="rId1" xr:uid="{00000000-0004-0000-0200-000001000000}"/>
  </hyperlinks>
  <pageMargins left="0.78740157499999996" right="0.78740157499999996" top="0.984251969" bottom="0.984251969" header="0.4921259845" footer="0.4921259845"/>
  <pageSetup paperSize="9" scale="84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7DFA3-0842-4459-9351-8B1C5A97E648}">
  <dimension ref="B1:AR116"/>
  <sheetViews>
    <sheetView topLeftCell="A2" zoomScaleNormal="100" workbookViewId="0">
      <selection activeCell="B13" sqref="B13:C13"/>
    </sheetView>
  </sheetViews>
  <sheetFormatPr baseColWidth="10" defaultColWidth="11.44140625" defaultRowHeight="13.2"/>
  <cols>
    <col min="1" max="1" width="1.88671875" customWidth="1"/>
    <col min="2" max="2" width="16.88671875" customWidth="1"/>
    <col min="6" max="6" width="14" bestFit="1" customWidth="1"/>
    <col min="7" max="7" width="11.88671875" customWidth="1"/>
    <col min="8" max="8" width="12.6640625" bestFit="1" customWidth="1"/>
    <col min="10" max="10" width="49" bestFit="1" customWidth="1"/>
    <col min="11" max="11" width="31.109375" bestFit="1" customWidth="1"/>
    <col min="12" max="12" width="41.44140625" bestFit="1" customWidth="1"/>
    <col min="13" max="13" width="35.5546875" bestFit="1" customWidth="1"/>
    <col min="14" max="14" width="10.109375" bestFit="1" customWidth="1"/>
    <col min="15" max="15" width="9.6640625" bestFit="1" customWidth="1"/>
    <col min="16" max="18" width="5" bestFit="1" customWidth="1"/>
    <col min="19" max="29" width="5.33203125" bestFit="1" customWidth="1"/>
    <col min="30" max="44" width="2.88671875" bestFit="1" customWidth="1"/>
  </cols>
  <sheetData>
    <row r="1" spans="2:44" ht="21">
      <c r="B1" s="772" t="str">
        <f>Entête!C15</f>
        <v>NOM DE L'ENTITE</v>
      </c>
      <c r="C1" s="773"/>
      <c r="D1" s="773"/>
      <c r="E1" s="773"/>
      <c r="F1" s="773"/>
      <c r="G1" s="773"/>
      <c r="H1" s="774"/>
      <c r="J1" s="250"/>
      <c r="K1" s="250"/>
      <c r="L1" s="250"/>
      <c r="M1" s="251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</row>
    <row r="2" spans="2:44" ht="21">
      <c r="B2" s="775"/>
      <c r="C2" s="776"/>
      <c r="D2" s="776"/>
      <c r="E2" s="776"/>
      <c r="F2" s="776"/>
      <c r="G2" s="776"/>
      <c r="H2" s="777"/>
      <c r="J2" s="778" t="s">
        <v>260</v>
      </c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79"/>
      <c r="AP2" s="779"/>
      <c r="AQ2" s="779"/>
      <c r="AR2" s="779"/>
    </row>
    <row r="3" spans="2:44" ht="16.2" thickBot="1">
      <c r="B3" s="780" t="s">
        <v>261</v>
      </c>
      <c r="C3" s="781"/>
      <c r="D3" s="781"/>
      <c r="E3" s="781"/>
      <c r="F3" s="781"/>
      <c r="G3" s="781"/>
      <c r="H3" s="782"/>
      <c r="J3" s="375"/>
      <c r="K3" s="375"/>
      <c r="L3" s="375"/>
      <c r="M3" s="416"/>
      <c r="N3" s="375"/>
      <c r="O3" s="375"/>
      <c r="P3" s="375"/>
      <c r="Q3" s="375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</row>
    <row r="4" spans="2:44">
      <c r="J4" s="375"/>
      <c r="K4" s="375"/>
      <c r="L4" s="375"/>
      <c r="M4" s="375"/>
      <c r="N4" s="375"/>
      <c r="O4" s="375"/>
      <c r="P4" s="375"/>
      <c r="Q4" s="375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</row>
    <row r="5" spans="2:44" ht="16.2" thickBot="1">
      <c r="B5" s="198" t="s">
        <v>262</v>
      </c>
      <c r="F5" s="783" t="s">
        <v>381</v>
      </c>
      <c r="G5" s="784"/>
      <c r="J5" s="375"/>
      <c r="K5" s="375"/>
      <c r="L5" s="375"/>
      <c r="M5" s="417"/>
      <c r="N5" s="375"/>
      <c r="O5" s="375"/>
      <c r="P5" s="375"/>
      <c r="Q5" s="375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</row>
    <row r="6" spans="2:44" ht="16.2" thickBot="1">
      <c r="B6" s="198"/>
      <c r="F6" s="199"/>
      <c r="G6" s="199"/>
      <c r="J6" s="376" t="s">
        <v>264</v>
      </c>
      <c r="K6" s="389"/>
      <c r="L6" s="785"/>
      <c r="M6" s="785"/>
      <c r="N6" s="387"/>
      <c r="O6" s="387"/>
      <c r="P6" s="387"/>
      <c r="Q6" s="387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4"/>
      <c r="AE6" s="414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</row>
    <row r="7" spans="2:44" ht="16.2" thickBot="1">
      <c r="B7" s="198" t="s">
        <v>265</v>
      </c>
      <c r="J7" s="388"/>
      <c r="K7" s="387"/>
      <c r="L7" s="785"/>
      <c r="M7" s="785"/>
      <c r="N7" s="387"/>
      <c r="O7" s="387"/>
      <c r="P7" s="387"/>
      <c r="Q7" s="387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4"/>
      <c r="AE7" s="414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</row>
    <row r="8" spans="2:44" ht="16.2" thickBot="1">
      <c r="J8" s="786" t="s">
        <v>266</v>
      </c>
      <c r="K8" s="787"/>
      <c r="L8" s="374"/>
      <c r="M8" s="786" t="s">
        <v>267</v>
      </c>
      <c r="N8" s="787"/>
      <c r="O8" s="374"/>
      <c r="P8" s="374"/>
      <c r="Q8" s="374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</row>
    <row r="9" spans="2:44" ht="16.2" thickBot="1">
      <c r="B9" s="788" t="s">
        <v>382</v>
      </c>
      <c r="C9" s="789"/>
      <c r="D9" s="789"/>
      <c r="E9" s="789"/>
      <c r="F9" s="789"/>
      <c r="G9" s="789"/>
      <c r="H9" s="790"/>
      <c r="J9" s="262"/>
      <c r="K9" s="262"/>
      <c r="L9" s="262"/>
      <c r="M9" s="262"/>
      <c r="N9" s="262"/>
      <c r="O9" s="262"/>
      <c r="P9" s="262"/>
      <c r="Q9" s="262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</row>
    <row r="10" spans="2:44" ht="16.2" thickBot="1">
      <c r="J10" s="378" t="s">
        <v>268</v>
      </c>
      <c r="K10" s="376" t="s">
        <v>55</v>
      </c>
      <c r="L10" s="262"/>
      <c r="M10" s="386" t="s">
        <v>269</v>
      </c>
      <c r="N10" s="385" t="str">
        <f>M93</f>
        <v>PROJET NON RENTABLE</v>
      </c>
      <c r="O10" s="262"/>
      <c r="P10" s="262"/>
      <c r="Q10" s="262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</row>
    <row r="11" spans="2:44" ht="15.6">
      <c r="B11" s="198" t="s">
        <v>191</v>
      </c>
      <c r="J11" s="262"/>
      <c r="K11" s="621"/>
      <c r="L11" s="262"/>
      <c r="M11" s="622"/>
      <c r="N11" s="623"/>
      <c r="O11" s="262"/>
      <c r="P11" s="262"/>
      <c r="Q11" s="262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</row>
    <row r="12" spans="2:44" ht="15.6">
      <c r="B12" s="635" t="s">
        <v>270</v>
      </c>
      <c r="J12" s="262"/>
      <c r="K12" s="621"/>
      <c r="L12" s="262"/>
      <c r="M12" s="622"/>
      <c r="N12" s="623"/>
      <c r="O12" s="262"/>
      <c r="P12" s="262"/>
      <c r="Q12" s="262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2:44" ht="24.9" customHeight="1">
      <c r="B13" s="788" t="s">
        <v>111</v>
      </c>
      <c r="C13" s="790"/>
      <c r="J13" s="262"/>
      <c r="K13" s="621"/>
      <c r="L13" s="262"/>
      <c r="M13" s="622"/>
      <c r="N13" s="623"/>
      <c r="O13" s="262"/>
      <c r="P13" s="262"/>
      <c r="Q13" s="262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</row>
    <row r="14" spans="2:44" ht="15.6">
      <c r="B14" s="199"/>
      <c r="J14" s="262"/>
      <c r="K14" s="621"/>
      <c r="L14" s="262"/>
      <c r="M14" s="622"/>
      <c r="N14" s="623"/>
      <c r="O14" s="262"/>
      <c r="P14" s="262"/>
      <c r="Q14" s="262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</row>
    <row r="15" spans="2:44" ht="16.2" thickBot="1">
      <c r="B15" s="198" t="s">
        <v>271</v>
      </c>
      <c r="J15" s="262"/>
      <c r="K15" s="262"/>
      <c r="L15" s="262"/>
      <c r="M15" s="384" t="s">
        <v>272</v>
      </c>
      <c r="N15" s="383">
        <f>M94</f>
        <v>0</v>
      </c>
      <c r="O15" s="262"/>
      <c r="P15" s="262"/>
      <c r="Q15" s="262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</row>
    <row r="16" spans="2:44" ht="16.2" thickBot="1">
      <c r="J16" s="378" t="s">
        <v>51</v>
      </c>
      <c r="K16" s="381">
        <f>VLOOKUP(K10,Paramètres!A27:C29,3)</f>
        <v>15</v>
      </c>
      <c r="L16" s="375"/>
      <c r="M16" s="310"/>
      <c r="N16" s="310"/>
      <c r="O16" s="262"/>
      <c r="P16" s="262"/>
      <c r="Q16" s="262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</row>
    <row r="17" spans="2:44" ht="29.25" customHeight="1" thickBot="1">
      <c r="B17" s="769"/>
      <c r="C17" s="770"/>
      <c r="D17" s="770"/>
      <c r="E17" s="770"/>
      <c r="F17" s="770"/>
      <c r="G17" s="770"/>
      <c r="H17" s="771"/>
      <c r="J17" s="262"/>
      <c r="K17" s="262"/>
      <c r="L17" s="375"/>
      <c r="M17" s="300" t="s">
        <v>273</v>
      </c>
      <c r="N17" s="382" t="str">
        <f>M115</f>
        <v>PROJET NON RENTABLE</v>
      </c>
      <c r="O17" s="262"/>
      <c r="P17" s="262"/>
      <c r="Q17" s="262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</row>
    <row r="18" spans="2:44" ht="16.2" thickBot="1">
      <c r="J18" s="378" t="s">
        <v>274</v>
      </c>
      <c r="K18" s="381">
        <f>VLOOKUP(K10,Paramètres!A27:D29,4)</f>
        <v>8</v>
      </c>
      <c r="L18" s="262"/>
      <c r="M18" s="311" t="s">
        <v>275</v>
      </c>
      <c r="N18" s="380">
        <f>M116</f>
        <v>0</v>
      </c>
      <c r="O18" s="262"/>
      <c r="P18" s="262"/>
      <c r="Q18" s="262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</row>
    <row r="19" spans="2:44" ht="16.2" thickBot="1">
      <c r="B19" s="198" t="s">
        <v>276</v>
      </c>
      <c r="J19" s="262"/>
      <c r="K19" s="262"/>
      <c r="L19" s="262"/>
      <c r="M19" s="375"/>
      <c r="N19" s="375"/>
      <c r="O19" s="262"/>
      <c r="P19" s="262"/>
      <c r="Q19" s="262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</row>
    <row r="20" spans="2:44" ht="16.2" thickBot="1">
      <c r="J20" s="377" t="s">
        <v>277</v>
      </c>
      <c r="K20" s="379">
        <v>10</v>
      </c>
      <c r="L20" s="262"/>
      <c r="M20" s="262"/>
      <c r="N20" s="418"/>
      <c r="O20" s="262"/>
      <c r="P20" s="262"/>
      <c r="Q20" s="262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</row>
    <row r="21" spans="2:44" ht="16.2" thickBot="1">
      <c r="B21" s="769"/>
      <c r="C21" s="770"/>
      <c r="D21" s="770"/>
      <c r="E21" s="770"/>
      <c r="F21" s="770"/>
      <c r="G21" s="770"/>
      <c r="H21" s="771"/>
      <c r="J21" s="374"/>
      <c r="K21" s="262"/>
      <c r="L21" s="262"/>
      <c r="M21" s="262"/>
      <c r="N21" s="418"/>
      <c r="O21" s="262"/>
      <c r="P21" s="262"/>
      <c r="Q21" s="262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</row>
    <row r="22" spans="2:44" ht="16.2" thickBot="1">
      <c r="J22" s="378" t="s">
        <v>278</v>
      </c>
      <c r="K22" s="376" t="s">
        <v>279</v>
      </c>
      <c r="L22" s="262"/>
      <c r="M22" s="262"/>
      <c r="N22" s="262"/>
      <c r="O22" s="262"/>
      <c r="P22" s="262"/>
      <c r="Q22" s="262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</row>
    <row r="23" spans="2:44" ht="16.2" thickBot="1">
      <c r="B23" s="198" t="s">
        <v>280</v>
      </c>
      <c r="F23" s="421">
        <f>C50*Paramètres!C13+C51*Paramètres!D13</f>
        <v>0</v>
      </c>
      <c r="G23" s="145"/>
      <c r="J23" s="377" t="s">
        <v>281</v>
      </c>
      <c r="K23" s="376" t="s">
        <v>282</v>
      </c>
      <c r="L23" s="262"/>
      <c r="M23" s="262"/>
      <c r="N23" s="262"/>
      <c r="O23" s="262"/>
      <c r="P23" s="262"/>
      <c r="Q23" s="262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</row>
    <row r="24" spans="2:44" ht="15.6">
      <c r="J24" s="262"/>
      <c r="K24" s="262"/>
      <c r="L24" s="262"/>
      <c r="M24" s="262"/>
      <c r="N24" s="262"/>
      <c r="O24" s="262"/>
      <c r="P24" s="262"/>
      <c r="Q24" s="262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</row>
    <row r="25" spans="2:44" ht="16.2" thickBot="1">
      <c r="B25" s="198" t="s">
        <v>283</v>
      </c>
      <c r="F25" s="421">
        <f>+G61*1000</f>
        <v>0</v>
      </c>
      <c r="J25" s="374"/>
      <c r="K25" s="262"/>
      <c r="L25" s="262"/>
      <c r="M25" s="262"/>
      <c r="N25" s="262"/>
      <c r="O25" s="262"/>
      <c r="P25" s="302"/>
      <c r="Q25" s="302"/>
      <c r="R25" s="302"/>
      <c r="S25" s="302"/>
      <c r="T25" s="302"/>
      <c r="U25" s="302"/>
      <c r="V25" s="302"/>
      <c r="W25" s="302"/>
      <c r="X25" s="302"/>
      <c r="Y25" s="321"/>
      <c r="Z25" s="321"/>
      <c r="AA25" s="321"/>
      <c r="AB25" s="321"/>
      <c r="AC25" s="321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</row>
    <row r="26" spans="2:44" ht="16.2" thickBot="1">
      <c r="J26" s="786" t="s">
        <v>284</v>
      </c>
      <c r="K26" s="793"/>
      <c r="L26" s="793"/>
      <c r="M26" s="793"/>
      <c r="N26" s="793"/>
      <c r="O26" s="793"/>
      <c r="P26" s="793"/>
      <c r="Q26" s="787"/>
      <c r="R26" s="302"/>
      <c r="S26" s="302"/>
      <c r="T26" s="302"/>
      <c r="U26" s="302"/>
      <c r="V26" s="302"/>
      <c r="W26" s="302"/>
      <c r="X26" s="302"/>
      <c r="Y26" s="321"/>
      <c r="Z26" s="321"/>
      <c r="AA26" s="321"/>
      <c r="AB26" s="321"/>
      <c r="AC26" s="321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</row>
    <row r="27" spans="2:44" ht="15.6">
      <c r="B27" s="198" t="s">
        <v>78</v>
      </c>
      <c r="F27" s="628" t="s">
        <v>88</v>
      </c>
      <c r="G27" s="420"/>
      <c r="J27" s="374"/>
      <c r="K27" s="262"/>
      <c r="L27" s="262"/>
      <c r="M27" s="262"/>
      <c r="N27" s="262"/>
      <c r="O27" s="262"/>
      <c r="P27" s="302"/>
      <c r="Q27" s="302"/>
      <c r="R27" s="302"/>
      <c r="S27" s="302"/>
      <c r="T27" s="302"/>
      <c r="U27" s="302"/>
      <c r="V27" s="302"/>
      <c r="W27" s="302"/>
      <c r="X27" s="302"/>
      <c r="Y27" s="321"/>
      <c r="Z27" s="321"/>
      <c r="AA27" s="321"/>
      <c r="AB27" s="321"/>
      <c r="AC27" s="321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</row>
    <row r="28" spans="2:44" ht="15.6">
      <c r="B28" s="198"/>
      <c r="F28" s="199"/>
      <c r="G28" s="420"/>
      <c r="J28" s="374"/>
      <c r="K28" s="262"/>
      <c r="L28" s="262"/>
      <c r="M28" s="262"/>
      <c r="N28" s="262"/>
      <c r="O28" s="262"/>
      <c r="P28" s="302"/>
      <c r="Q28" s="302"/>
      <c r="R28" s="302"/>
      <c r="S28" s="302"/>
      <c r="T28" s="302"/>
      <c r="U28" s="302"/>
      <c r="V28" s="302"/>
      <c r="W28" s="302"/>
      <c r="X28" s="302"/>
      <c r="Y28" s="321"/>
      <c r="Z28" s="321"/>
      <c r="AA28" s="321"/>
      <c r="AB28" s="321"/>
      <c r="AC28" s="321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</row>
    <row r="29" spans="2:44" ht="15.6">
      <c r="C29" s="198" t="s">
        <v>285</v>
      </c>
      <c r="F29" s="199"/>
      <c r="G29" s="420"/>
      <c r="J29" s="374"/>
      <c r="K29" s="262"/>
      <c r="L29" s="262"/>
      <c r="M29" s="262"/>
      <c r="N29" s="262"/>
      <c r="O29" s="262"/>
      <c r="P29" s="302"/>
      <c r="Q29" s="302"/>
      <c r="R29" s="302"/>
      <c r="S29" s="302"/>
      <c r="T29" s="302"/>
      <c r="U29" s="302"/>
      <c r="V29" s="302"/>
      <c r="W29" s="302"/>
      <c r="X29" s="302"/>
      <c r="Y29" s="321"/>
      <c r="Z29" s="321"/>
      <c r="AA29" s="321"/>
      <c r="AB29" s="321"/>
      <c r="AC29" s="321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</row>
    <row r="30" spans="2:44" ht="16.2" thickBot="1">
      <c r="B30" s="198"/>
      <c r="C30" s="635" t="s">
        <v>270</v>
      </c>
      <c r="F30" s="199"/>
      <c r="G30" s="420"/>
      <c r="J30" s="374"/>
      <c r="K30" s="262"/>
      <c r="L30" s="262"/>
      <c r="M30" s="262"/>
      <c r="N30" s="262"/>
      <c r="O30" s="262"/>
      <c r="P30" s="302"/>
      <c r="Q30" s="302"/>
      <c r="R30" s="302"/>
      <c r="S30" s="302"/>
      <c r="T30" s="302"/>
      <c r="U30" s="302"/>
      <c r="V30" s="302"/>
      <c r="W30" s="302"/>
      <c r="X30" s="302"/>
      <c r="Y30" s="321"/>
      <c r="Z30" s="321"/>
      <c r="AA30" s="321"/>
      <c r="AB30" s="321"/>
      <c r="AC30" s="321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</row>
    <row r="31" spans="2:44" ht="12.9" customHeight="1">
      <c r="B31" t="s">
        <v>286</v>
      </c>
      <c r="C31" s="794" t="s">
        <v>97</v>
      </c>
      <c r="D31" s="795"/>
      <c r="E31" s="795"/>
      <c r="F31" s="796"/>
      <c r="G31" s="420"/>
      <c r="J31" s="373"/>
      <c r="K31" s="302"/>
      <c r="L31" s="302"/>
      <c r="M31" s="319"/>
      <c r="N31" s="797" t="s">
        <v>287</v>
      </c>
      <c r="O31" s="798"/>
      <c r="P31" s="302"/>
      <c r="Q31" s="302"/>
      <c r="R31" s="302"/>
      <c r="S31" s="302"/>
      <c r="T31" s="302"/>
      <c r="U31" s="302"/>
      <c r="V31" s="302"/>
      <c r="W31" s="321"/>
      <c r="X31" s="321"/>
      <c r="Y31" s="321"/>
      <c r="Z31" s="321"/>
      <c r="AA31" s="321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</row>
    <row r="32" spans="2:44" ht="16.2" thickBot="1">
      <c r="B32" s="198"/>
      <c r="C32" s="625"/>
      <c r="D32" s="625"/>
      <c r="E32" s="625"/>
      <c r="F32" s="626"/>
      <c r="G32" s="420"/>
      <c r="J32" s="374"/>
      <c r="K32" s="262"/>
      <c r="L32" s="262"/>
      <c r="M32" s="262"/>
      <c r="N32" s="262"/>
      <c r="O32" s="262"/>
      <c r="P32" s="302"/>
      <c r="Q32" s="302"/>
      <c r="R32" s="302"/>
      <c r="S32" s="302"/>
      <c r="T32" s="302"/>
      <c r="U32" s="302"/>
      <c r="V32" s="302"/>
      <c r="W32" s="302"/>
      <c r="X32" s="302"/>
      <c r="Y32" s="321"/>
      <c r="Z32" s="321"/>
      <c r="AA32" s="321"/>
      <c r="AB32" s="321"/>
      <c r="AC32" s="321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</row>
    <row r="33" spans="2:44" ht="13.8">
      <c r="B33" t="s">
        <v>288</v>
      </c>
      <c r="C33" s="794" t="s">
        <v>81</v>
      </c>
      <c r="D33" s="795"/>
      <c r="E33" s="795"/>
      <c r="F33" s="796"/>
      <c r="G33" s="420"/>
      <c r="J33" s="373"/>
      <c r="K33" s="302"/>
      <c r="L33" s="302"/>
      <c r="M33" s="319"/>
      <c r="N33" s="797" t="s">
        <v>287</v>
      </c>
      <c r="O33" s="798"/>
      <c r="P33" s="302"/>
      <c r="Q33" s="302"/>
      <c r="R33" s="302"/>
      <c r="S33" s="302"/>
      <c r="T33" s="302"/>
      <c r="U33" s="302"/>
      <c r="V33" s="302"/>
      <c r="W33" s="321"/>
      <c r="X33" s="321"/>
      <c r="Y33" s="321"/>
      <c r="Z33" s="321"/>
      <c r="AA33" s="321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</row>
    <row r="34" spans="2:44" ht="16.2" thickBot="1">
      <c r="B34" s="198"/>
      <c r="C34" s="625"/>
      <c r="D34" s="625"/>
      <c r="E34" s="625"/>
      <c r="F34" s="626"/>
      <c r="G34" s="420"/>
      <c r="J34" s="374"/>
      <c r="K34" s="262"/>
      <c r="L34" s="262"/>
      <c r="M34" s="262"/>
      <c r="N34" s="262"/>
      <c r="O34" s="262"/>
      <c r="P34" s="302"/>
      <c r="Q34" s="302"/>
      <c r="R34" s="302"/>
      <c r="S34" s="302"/>
      <c r="T34" s="302"/>
      <c r="U34" s="302"/>
      <c r="V34" s="302"/>
      <c r="W34" s="302"/>
      <c r="X34" s="302"/>
      <c r="Y34" s="321"/>
      <c r="Z34" s="321"/>
      <c r="AA34" s="321"/>
      <c r="AB34" s="321"/>
      <c r="AC34" s="321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</row>
    <row r="35" spans="2:44" ht="14.4" thickBot="1">
      <c r="B35" t="s">
        <v>289</v>
      </c>
      <c r="C35" s="794" t="s">
        <v>81</v>
      </c>
      <c r="D35" s="795"/>
      <c r="E35" s="795"/>
      <c r="F35" s="796"/>
      <c r="G35" s="420"/>
      <c r="J35" s="373"/>
      <c r="K35" s="302"/>
      <c r="L35" s="302"/>
      <c r="M35" s="319"/>
      <c r="N35" s="797" t="s">
        <v>287</v>
      </c>
      <c r="O35" s="798"/>
      <c r="P35" s="302"/>
      <c r="Q35" s="302"/>
      <c r="R35" s="302"/>
      <c r="S35" s="302"/>
      <c r="T35" s="302"/>
      <c r="U35" s="302"/>
      <c r="V35" s="302"/>
      <c r="W35" s="321"/>
      <c r="X35" s="321"/>
      <c r="Y35" s="321"/>
      <c r="Z35" s="321"/>
      <c r="AA35" s="321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</row>
    <row r="36" spans="2:44" ht="36.6" thickBot="1">
      <c r="C36" s="635" t="s">
        <v>270</v>
      </c>
      <c r="J36" s="370" t="s">
        <v>290</v>
      </c>
      <c r="K36" s="370" t="s">
        <v>291</v>
      </c>
      <c r="L36" s="372" t="s">
        <v>292</v>
      </c>
      <c r="M36" s="372" t="s">
        <v>293</v>
      </c>
      <c r="N36" s="371" t="s">
        <v>294</v>
      </c>
      <c r="O36" s="370" t="s">
        <v>295</v>
      </c>
      <c r="P36" s="302"/>
      <c r="Q36" s="302"/>
      <c r="R36" s="302"/>
      <c r="S36" s="302"/>
      <c r="T36" s="302"/>
      <c r="U36" s="302"/>
      <c r="V36" s="302"/>
      <c r="W36" s="321"/>
      <c r="X36" s="321"/>
      <c r="Y36" s="321"/>
      <c r="Z36" s="321"/>
      <c r="AA36" s="321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</row>
    <row r="37" spans="2:44" ht="15.6">
      <c r="B37" s="198" t="s">
        <v>79</v>
      </c>
      <c r="C37" s="629">
        <v>2040</v>
      </c>
      <c r="J37" s="369" t="s">
        <v>296</v>
      </c>
      <c r="K37" s="368">
        <f>Paramètres!C12</f>
        <v>0.216</v>
      </c>
      <c r="L37" s="367"/>
      <c r="M37" s="367"/>
      <c r="N37" s="366">
        <f>Paramètres!C13*1000</f>
        <v>0</v>
      </c>
      <c r="O37" s="799">
        <v>70</v>
      </c>
      <c r="P37" s="302"/>
      <c r="Q37" s="302"/>
      <c r="R37" s="302"/>
      <c r="S37" s="302"/>
      <c r="T37" s="302"/>
      <c r="U37" s="302"/>
      <c r="V37" s="302"/>
      <c r="W37" s="321"/>
      <c r="X37" s="321"/>
      <c r="Y37" s="321"/>
      <c r="Z37" s="321"/>
      <c r="AA37" s="321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</row>
    <row r="38" spans="2:44" ht="15.6">
      <c r="B38" s="198"/>
      <c r="J38" s="364" t="s">
        <v>12</v>
      </c>
      <c r="K38" s="365">
        <f>Paramètres!D12</f>
        <v>0.218</v>
      </c>
      <c r="L38" s="362"/>
      <c r="M38" s="362"/>
      <c r="N38" s="361">
        <f>Paramètres!D13*1000</f>
        <v>0</v>
      </c>
      <c r="O38" s="800"/>
      <c r="P38" s="302"/>
      <c r="Q38" s="302"/>
      <c r="R38" s="302"/>
      <c r="S38" s="302"/>
      <c r="T38" s="302"/>
      <c r="U38" s="302"/>
      <c r="V38" s="302"/>
      <c r="W38" s="321"/>
      <c r="X38" s="321"/>
      <c r="Y38" s="321"/>
      <c r="Z38" s="321"/>
      <c r="AA38" s="321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</row>
    <row r="39" spans="2:44">
      <c r="J39" s="364" t="s">
        <v>297</v>
      </c>
      <c r="K39" s="365">
        <f>Paramètres!E12/1000/(35.9/0.94/3600)</f>
        <v>0.30700138161559892</v>
      </c>
      <c r="L39" s="362"/>
      <c r="M39" s="362"/>
      <c r="N39" s="361">
        <f>Paramètres!E13/Paramètres!E10*1000</f>
        <v>0</v>
      </c>
      <c r="O39" s="800"/>
      <c r="P39" s="302"/>
      <c r="Q39" s="302"/>
      <c r="R39" s="302"/>
      <c r="S39" s="302"/>
      <c r="T39" s="302"/>
      <c r="U39" s="302"/>
      <c r="V39" s="302"/>
      <c r="W39" s="321"/>
      <c r="X39" s="321"/>
      <c r="Y39" s="321"/>
      <c r="Z39" s="321"/>
      <c r="AA39" s="321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</row>
    <row r="40" spans="2:44" ht="15.6">
      <c r="B40" s="198" t="s">
        <v>298</v>
      </c>
      <c r="J40" s="364" t="s">
        <v>299</v>
      </c>
      <c r="K40" s="365">
        <f>2.9209/1000/(43.77/0.94/3600)</f>
        <v>0.22582420836189168</v>
      </c>
      <c r="L40" s="362"/>
      <c r="M40" s="362"/>
      <c r="N40" s="361"/>
      <c r="O40" s="800"/>
      <c r="P40" s="302"/>
      <c r="Q40" s="302"/>
      <c r="R40" s="302"/>
      <c r="S40" s="302"/>
      <c r="T40" s="302"/>
      <c r="U40" s="302"/>
      <c r="V40" s="302"/>
      <c r="W40" s="321"/>
      <c r="X40" s="321"/>
      <c r="Y40" s="321"/>
      <c r="Z40" s="321"/>
      <c r="AA40" s="321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</row>
    <row r="41" spans="2:44">
      <c r="J41" s="364" t="s">
        <v>300</v>
      </c>
      <c r="K41" s="365">
        <f>3.3679/1000/(35.9/0.94/3600)</f>
        <v>0.31746444568245125</v>
      </c>
      <c r="L41" s="362"/>
      <c r="M41" s="362"/>
      <c r="N41" s="361"/>
      <c r="O41" s="800"/>
      <c r="P41" s="302"/>
      <c r="Q41" s="302"/>
      <c r="R41" s="302"/>
      <c r="S41" s="302"/>
      <c r="T41" s="302"/>
      <c r="U41" s="302"/>
      <c r="V41" s="302"/>
      <c r="W41" s="321"/>
      <c r="X41" s="321"/>
      <c r="Y41" s="321"/>
      <c r="Z41" s="321"/>
      <c r="AA41" s="321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</row>
    <row r="42" spans="2:44" ht="12.9" customHeight="1">
      <c r="B42" s="769"/>
      <c r="C42" s="770"/>
      <c r="D42" s="770"/>
      <c r="E42" s="770"/>
      <c r="F42" s="770"/>
      <c r="G42" s="770"/>
      <c r="H42" s="771"/>
      <c r="J42" s="364" t="s">
        <v>301</v>
      </c>
      <c r="K42" s="365">
        <f>3.0567/1000/(29.31/0.96/3600)</f>
        <v>0.36042153531218019</v>
      </c>
      <c r="L42" s="362"/>
      <c r="M42" s="362"/>
      <c r="N42" s="361"/>
      <c r="O42" s="800"/>
      <c r="P42" s="302"/>
      <c r="Q42" s="302"/>
      <c r="R42" s="302"/>
      <c r="S42" s="302"/>
      <c r="T42" s="302"/>
      <c r="U42" s="302"/>
      <c r="V42" s="302"/>
      <c r="W42" s="321"/>
      <c r="X42" s="321"/>
      <c r="Y42" s="321"/>
      <c r="Z42" s="321"/>
      <c r="AA42" s="321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</row>
    <row r="43" spans="2:44">
      <c r="J43" s="364" t="s">
        <v>302</v>
      </c>
      <c r="K43" s="411">
        <v>0</v>
      </c>
      <c r="L43" s="362"/>
      <c r="M43" s="362"/>
      <c r="N43" s="361"/>
      <c r="O43" s="800"/>
      <c r="P43" s="302"/>
      <c r="Q43" s="302"/>
      <c r="R43" s="302"/>
      <c r="S43" s="302"/>
      <c r="T43" s="302"/>
      <c r="U43" s="302"/>
      <c r="V43" s="302"/>
      <c r="W43" s="321"/>
      <c r="X43" s="321"/>
      <c r="Y43" s="321"/>
      <c r="Z43" s="321"/>
      <c r="AA43" s="321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</row>
    <row r="44" spans="2:44" ht="15.6">
      <c r="B44" s="198" t="s">
        <v>303</v>
      </c>
      <c r="J44" s="364" t="s">
        <v>304</v>
      </c>
      <c r="K44" s="363"/>
      <c r="L44" s="362"/>
      <c r="M44" s="362"/>
      <c r="N44" s="361"/>
      <c r="O44" s="800"/>
      <c r="P44" s="302"/>
      <c r="Q44" s="302"/>
      <c r="R44" s="302"/>
      <c r="S44" s="302"/>
      <c r="T44" s="302"/>
      <c r="U44" s="302"/>
      <c r="V44" s="302"/>
      <c r="W44" s="321"/>
      <c r="X44" s="321"/>
      <c r="Y44" s="321"/>
      <c r="Z44" s="321"/>
      <c r="AA44" s="321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</row>
    <row r="45" spans="2:44" ht="13.8" thickBot="1">
      <c r="J45" s="360" t="s">
        <v>304</v>
      </c>
      <c r="K45" s="359"/>
      <c r="L45" s="358"/>
      <c r="M45" s="358"/>
      <c r="N45" s="357"/>
      <c r="O45" s="801"/>
      <c r="P45" s="302"/>
      <c r="Q45" s="302"/>
      <c r="R45" s="302"/>
      <c r="S45" s="302"/>
      <c r="T45" s="302"/>
      <c r="U45" s="302"/>
      <c r="V45" s="302"/>
      <c r="W45" s="321"/>
      <c r="X45" s="321"/>
      <c r="Y45" s="321"/>
      <c r="Z45" s="321"/>
      <c r="AA45" s="321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</row>
    <row r="46" spans="2:44" ht="25.5" customHeight="1" thickBot="1">
      <c r="B46" s="788"/>
      <c r="C46" s="789"/>
      <c r="D46" s="789"/>
      <c r="E46" s="789"/>
      <c r="F46" s="789"/>
      <c r="G46" s="789"/>
      <c r="H46" s="790"/>
      <c r="J46" s="302"/>
      <c r="K46" s="302"/>
      <c r="L46" s="302"/>
      <c r="M46" s="319"/>
      <c r="N46" s="302"/>
      <c r="O46" s="302"/>
      <c r="P46" s="302"/>
      <c r="Q46" s="302"/>
      <c r="R46" s="302"/>
      <c r="S46" s="302"/>
      <c r="T46" s="302"/>
      <c r="U46" s="302"/>
      <c r="V46" s="302"/>
      <c r="W46" s="321"/>
      <c r="X46" s="321"/>
      <c r="Y46" s="321"/>
      <c r="Z46" s="321"/>
      <c r="AA46" s="321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</row>
    <row r="47" spans="2:44" ht="13.8" thickBot="1">
      <c r="B47" s="197"/>
      <c r="C47" s="197"/>
      <c r="D47" s="197"/>
      <c r="E47" s="197"/>
      <c r="F47" s="197"/>
      <c r="G47" s="197"/>
      <c r="H47" s="197"/>
      <c r="I47" s="1"/>
      <c r="J47" s="302"/>
      <c r="K47" s="302"/>
      <c r="L47" s="302"/>
      <c r="M47" s="356" t="s">
        <v>305</v>
      </c>
      <c r="N47" s="791">
        <f>(((L37-M37)*N37)+((L38-M38)*N38)+((L39-M39)*N39)+((L40-M40)*N40)+((L41-M41)*N41)+((L42-M42)*N42)+((L43-M43)*N43)+((L44-M44)*N44)+((L45-M45)*N45))</f>
        <v>0</v>
      </c>
      <c r="O47" s="792"/>
      <c r="P47" s="302"/>
      <c r="Q47" s="302"/>
      <c r="R47" s="302"/>
      <c r="S47" s="302"/>
      <c r="T47" s="302"/>
      <c r="U47" s="302"/>
      <c r="V47" s="302"/>
      <c r="W47" s="321"/>
      <c r="X47" s="321"/>
      <c r="Y47" s="321"/>
      <c r="Z47" s="321"/>
      <c r="AA47" s="321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</row>
    <row r="48" spans="2:44" ht="16.2" thickBot="1">
      <c r="B48" s="198" t="s">
        <v>306</v>
      </c>
      <c r="C48" s="423"/>
      <c r="D48" s="423"/>
      <c r="E48" s="423"/>
      <c r="F48" s="423"/>
      <c r="G48" s="423"/>
      <c r="H48" s="423"/>
      <c r="I48" s="1"/>
      <c r="J48" s="302"/>
      <c r="K48" s="302"/>
      <c r="L48" s="302"/>
      <c r="M48" s="355" t="s">
        <v>307</v>
      </c>
      <c r="N48" s="791">
        <f>IF(K22="OUI",((((L38-M38)*K38)+((L39-M39)*K39)+((L40-M40)*K40)+((L41-M41)*K41)+((L42-M42)*K42)+((L43-M43)*K43)+((L44-M44)*K44)+((L45-M45)*K45)))*O37,0)</f>
        <v>0</v>
      </c>
      <c r="O48" s="792"/>
      <c r="P48" s="302"/>
      <c r="Q48" s="302"/>
      <c r="R48" s="302"/>
      <c r="S48" s="302"/>
      <c r="T48" s="302"/>
      <c r="U48" s="302"/>
      <c r="V48" s="302"/>
      <c r="W48" s="321"/>
      <c r="X48" s="321"/>
      <c r="Y48" s="321"/>
      <c r="Z48" s="321"/>
      <c r="AA48" s="321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</row>
    <row r="49" spans="2:44">
      <c r="G49" s="196"/>
      <c r="I49" s="1"/>
      <c r="J49" s="302"/>
      <c r="K49" s="302"/>
      <c r="L49" s="302"/>
      <c r="M49" s="354"/>
      <c r="N49" s="353"/>
      <c r="O49" s="353"/>
      <c r="P49" s="302"/>
      <c r="Q49" s="302"/>
      <c r="R49" s="302"/>
      <c r="S49" s="302"/>
      <c r="T49" s="302"/>
      <c r="U49" s="302"/>
      <c r="V49" s="302"/>
      <c r="W49" s="321"/>
      <c r="X49" s="321"/>
      <c r="Y49" s="321"/>
      <c r="Z49" s="321"/>
      <c r="AA49" s="321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</row>
    <row r="50" spans="2:44" ht="17.100000000000001" customHeight="1" thickBot="1">
      <c r="B50" t="str">
        <f>Paramètres!C5</f>
        <v>Electricité 
achetée</v>
      </c>
      <c r="C50" s="448">
        <v>6000000</v>
      </c>
      <c r="D50" t="str">
        <f>Paramètres!C6</f>
        <v>kWh</v>
      </c>
      <c r="G50" s="196"/>
      <c r="J50" s="302"/>
      <c r="K50" s="302"/>
      <c r="L50" s="302"/>
      <c r="M50" s="354"/>
      <c r="N50" s="353"/>
      <c r="O50" s="353"/>
      <c r="P50" s="353"/>
      <c r="Q50" s="353"/>
      <c r="R50" s="302"/>
      <c r="S50" s="302"/>
      <c r="T50" s="302"/>
      <c r="U50" s="302"/>
      <c r="V50" s="302"/>
      <c r="W50" s="302"/>
      <c r="X50" s="302"/>
      <c r="Y50" s="321"/>
      <c r="Z50" s="321"/>
      <c r="AA50" s="321"/>
      <c r="AB50" s="321"/>
      <c r="AC50" s="321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</row>
    <row r="51" spans="2:44" ht="17.100000000000001" customHeight="1" thickBot="1">
      <c r="B51" t="str">
        <f>Paramètres!D5</f>
        <v>Gaz Naturel</v>
      </c>
      <c r="C51" s="448"/>
      <c r="D51" s="145" t="str">
        <f>Paramètres!D6</f>
        <v>kWhs</v>
      </c>
      <c r="G51" s="196"/>
      <c r="H51" s="145"/>
      <c r="J51" s="786" t="s">
        <v>308</v>
      </c>
      <c r="K51" s="793"/>
      <c r="L51" s="793"/>
      <c r="M51" s="793"/>
      <c r="N51" s="793"/>
      <c r="O51" s="793"/>
      <c r="P51" s="793"/>
      <c r="Q51" s="787"/>
      <c r="R51" s="302"/>
      <c r="S51" s="302"/>
      <c r="T51" s="302"/>
      <c r="U51" s="302"/>
      <c r="V51" s="302"/>
      <c r="W51" s="302"/>
      <c r="X51" s="302"/>
      <c r="Y51" s="321"/>
      <c r="Z51" s="321"/>
      <c r="AA51" s="321"/>
      <c r="AB51" s="321"/>
      <c r="AC51" s="321"/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</row>
    <row r="52" spans="2:44" ht="17.100000000000001" customHeight="1">
      <c r="B52" t="str">
        <f>Paramètres!F5</f>
        <v>Biogaz</v>
      </c>
      <c r="C52" s="448"/>
      <c r="D52" s="145" t="str">
        <f>Paramètres!F6</f>
        <v>kWhs</v>
      </c>
      <c r="G52" s="196"/>
      <c r="H52" s="145"/>
      <c r="J52" s="633"/>
      <c r="K52" s="633"/>
      <c r="L52" s="633"/>
      <c r="M52" s="633"/>
      <c r="N52" s="633"/>
      <c r="O52" s="633"/>
      <c r="P52" s="633"/>
      <c r="Q52" s="633"/>
      <c r="R52" s="302"/>
      <c r="S52" s="302"/>
      <c r="T52" s="302"/>
      <c r="U52" s="302"/>
      <c r="V52" s="302"/>
      <c r="W52" s="302"/>
      <c r="X52" s="302"/>
      <c r="Y52" s="321"/>
      <c r="Z52" s="321"/>
      <c r="AA52" s="321"/>
      <c r="AB52" s="321"/>
      <c r="AC52" s="321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</row>
    <row r="53" spans="2:44" ht="17.100000000000001" customHeight="1">
      <c r="B53" t="str">
        <f>Paramètres!G5</f>
        <v>Elec SER</v>
      </c>
      <c r="C53" s="448">
        <f>-C50</f>
        <v>-6000000</v>
      </c>
      <c r="D53" s="145" t="str">
        <f>Paramètres!G6</f>
        <v>kWh</v>
      </c>
      <c r="G53" s="196"/>
      <c r="H53" s="145"/>
      <c r="J53" s="633"/>
      <c r="K53" s="633"/>
      <c r="L53" s="633"/>
      <c r="M53" s="633"/>
      <c r="N53" s="633"/>
      <c r="O53" s="633"/>
      <c r="P53" s="633"/>
      <c r="Q53" s="633"/>
      <c r="R53" s="302"/>
      <c r="S53" s="302"/>
      <c r="T53" s="302"/>
      <c r="U53" s="302"/>
      <c r="V53" s="302"/>
      <c r="W53" s="302"/>
      <c r="X53" s="302"/>
      <c r="Y53" s="321"/>
      <c r="Z53" s="321"/>
      <c r="AA53" s="321"/>
      <c r="AB53" s="321"/>
      <c r="AC53" s="321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</row>
    <row r="54" spans="2:44" ht="17.100000000000001" customHeight="1" thickBot="1">
      <c r="B54" t="str">
        <f>Paramètres!H5</f>
        <v>Process</v>
      </c>
      <c r="C54" s="448"/>
      <c r="D54" s="145" t="str">
        <f>Paramètres!H6</f>
        <v>kgCO2</v>
      </c>
      <c r="G54" s="196"/>
      <c r="J54" s="802"/>
      <c r="K54" s="802"/>
      <c r="L54" s="802"/>
      <c r="M54" s="802"/>
      <c r="N54" s="8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21"/>
      <c r="AB54" s="321"/>
      <c r="AC54" s="321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</row>
    <row r="55" spans="2:44">
      <c r="C55" s="195"/>
      <c r="J55" s="803" t="s">
        <v>309</v>
      </c>
      <c r="K55" s="806" t="s">
        <v>310</v>
      </c>
      <c r="L55" s="330" t="s">
        <v>311</v>
      </c>
      <c r="M55" s="352"/>
      <c r="N55" s="333" t="s">
        <v>312</v>
      </c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21"/>
      <c r="AB55" s="321"/>
      <c r="AC55" s="321"/>
      <c r="AD55" s="321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</row>
    <row r="56" spans="2:44" ht="16.2" thickBot="1">
      <c r="B56" s="198" t="s">
        <v>313</v>
      </c>
      <c r="C56" s="423"/>
      <c r="D56" s="423"/>
      <c r="E56" s="423"/>
      <c r="F56" s="423"/>
      <c r="G56" s="423"/>
      <c r="H56" s="423"/>
      <c r="J56" s="804"/>
      <c r="K56" s="807"/>
      <c r="L56" s="326" t="s">
        <v>314</v>
      </c>
      <c r="M56" s="327"/>
      <c r="N56" s="326" t="s">
        <v>312</v>
      </c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21"/>
      <c r="AB56" s="321"/>
      <c r="AC56" s="321"/>
      <c r="AD56" s="321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</row>
    <row r="57" spans="2:44">
      <c r="H57" s="178"/>
      <c r="J57" s="804"/>
      <c r="K57" s="807" t="s">
        <v>315</v>
      </c>
      <c r="L57" s="341" t="s">
        <v>316</v>
      </c>
      <c r="M57" s="340"/>
      <c r="N57" s="333" t="s">
        <v>312</v>
      </c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21"/>
      <c r="AB57" s="321"/>
      <c r="AC57" s="321"/>
      <c r="AD57" s="321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</row>
    <row r="58" spans="2:44" ht="13.8" thickBot="1">
      <c r="B58" s="810"/>
      <c r="C58" s="811"/>
      <c r="D58" s="811"/>
      <c r="E58" s="812"/>
      <c r="G58" s="630">
        <v>0</v>
      </c>
      <c r="H58" s="476"/>
      <c r="J58" s="804"/>
      <c r="K58" s="807"/>
      <c r="L58" s="339" t="s">
        <v>317</v>
      </c>
      <c r="M58" s="351"/>
      <c r="N58" s="326" t="s">
        <v>312</v>
      </c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21"/>
      <c r="AB58" s="321"/>
      <c r="AC58" s="321"/>
      <c r="AD58" s="321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</row>
    <row r="59" spans="2:44" ht="13.8" thickBot="1">
      <c r="B59" s="808"/>
      <c r="C59" s="808"/>
      <c r="D59" s="808"/>
      <c r="E59" s="808"/>
      <c r="F59" s="808"/>
      <c r="G59" s="422"/>
      <c r="H59" s="178"/>
      <c r="J59" s="805"/>
      <c r="K59" s="350" t="s">
        <v>318</v>
      </c>
      <c r="L59" s="322" t="s">
        <v>319</v>
      </c>
      <c r="M59" s="349"/>
      <c r="N59" s="331" t="s">
        <v>312</v>
      </c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21"/>
      <c r="AB59" s="321"/>
      <c r="AC59" s="321"/>
      <c r="AD59" s="321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</row>
    <row r="60" spans="2:44" ht="13.8" thickBot="1">
      <c r="B60" s="808"/>
      <c r="C60" s="808"/>
      <c r="D60" s="808"/>
      <c r="E60" s="808"/>
      <c r="F60" s="808"/>
      <c r="G60" s="422"/>
      <c r="H60" s="178"/>
      <c r="J60" s="348"/>
      <c r="K60" s="346"/>
      <c r="L60" s="346"/>
      <c r="M60" s="347"/>
      <c r="N60" s="346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21"/>
      <c r="AB60" s="321"/>
      <c r="AC60" s="321"/>
      <c r="AD60" s="321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</row>
    <row r="61" spans="2:44" ht="13.8" thickBot="1">
      <c r="B61" s="813" t="s">
        <v>320</v>
      </c>
      <c r="C61" s="813"/>
      <c r="D61" s="813"/>
      <c r="E61" s="813"/>
      <c r="F61" s="813"/>
      <c r="G61" s="449">
        <f>SUM(G58:G60)/1000</f>
        <v>0</v>
      </c>
      <c r="H61" s="190"/>
      <c r="J61" s="814" t="s">
        <v>321</v>
      </c>
      <c r="K61" s="344" t="s">
        <v>322</v>
      </c>
      <c r="L61" s="343" t="s">
        <v>323</v>
      </c>
      <c r="M61" s="342"/>
      <c r="N61" s="333" t="s">
        <v>324</v>
      </c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21"/>
      <c r="AB61" s="321"/>
      <c r="AC61" s="321"/>
      <c r="AD61" s="321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</row>
    <row r="62" spans="2:44">
      <c r="B62" s="193"/>
      <c r="C62" s="194"/>
      <c r="D62" s="193"/>
      <c r="E62" s="193"/>
      <c r="F62" s="193"/>
      <c r="J62" s="815"/>
      <c r="K62" s="807" t="s">
        <v>325</v>
      </c>
      <c r="L62" s="341" t="s">
        <v>326</v>
      </c>
      <c r="M62" s="340"/>
      <c r="N62" s="333" t="s">
        <v>324</v>
      </c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21"/>
      <c r="AB62" s="321"/>
      <c r="AC62" s="321"/>
      <c r="AD62" s="321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</row>
    <row r="63" spans="2:44" ht="16.2" thickBot="1">
      <c r="B63" s="198" t="s">
        <v>327</v>
      </c>
      <c r="C63" s="423"/>
      <c r="D63" s="423"/>
      <c r="E63" s="423"/>
      <c r="F63" s="423"/>
      <c r="G63" s="423"/>
      <c r="H63" s="423"/>
      <c r="J63" s="815"/>
      <c r="K63" s="807"/>
      <c r="L63" s="339" t="s">
        <v>328</v>
      </c>
      <c r="M63" s="338"/>
      <c r="N63" s="322" t="s">
        <v>329</v>
      </c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21"/>
      <c r="AB63" s="321"/>
      <c r="AC63" s="321"/>
      <c r="AD63" s="321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</row>
    <row r="64" spans="2:44">
      <c r="B64" s="808"/>
      <c r="C64" s="808"/>
      <c r="D64" s="808"/>
      <c r="E64" s="808"/>
      <c r="F64" s="808"/>
      <c r="G64" s="192"/>
      <c r="H64" s="178" t="s">
        <v>330</v>
      </c>
      <c r="J64" s="815"/>
      <c r="K64" s="807" t="s">
        <v>331</v>
      </c>
      <c r="L64" s="337" t="s">
        <v>332</v>
      </c>
      <c r="M64" s="336">
        <f>N47/1000</f>
        <v>0</v>
      </c>
      <c r="N64" s="333" t="s">
        <v>324</v>
      </c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21"/>
      <c r="AB64" s="321"/>
      <c r="AC64" s="321"/>
      <c r="AD64" s="321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</row>
    <row r="65" spans="2:44" ht="13.8" thickBot="1">
      <c r="B65" s="808"/>
      <c r="C65" s="808"/>
      <c r="D65" s="808"/>
      <c r="E65" s="808"/>
      <c r="F65" s="808"/>
      <c r="G65" s="192"/>
      <c r="H65" s="178" t="s">
        <v>330</v>
      </c>
      <c r="J65" s="815"/>
      <c r="K65" s="809"/>
      <c r="L65" s="328" t="s">
        <v>333</v>
      </c>
      <c r="M65" s="335">
        <f>N48/1000</f>
        <v>0</v>
      </c>
      <c r="N65" s="326" t="s">
        <v>324</v>
      </c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21"/>
      <c r="AB65" s="321"/>
      <c r="AC65" s="321"/>
      <c r="AD65" s="321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</row>
    <row r="66" spans="2:44" ht="13.8" thickBot="1">
      <c r="B66" s="808"/>
      <c r="C66" s="808"/>
      <c r="D66" s="808"/>
      <c r="E66" s="808"/>
      <c r="F66" s="808"/>
      <c r="G66" s="192"/>
      <c r="H66" s="178" t="s">
        <v>330</v>
      </c>
      <c r="J66" s="815"/>
      <c r="K66" s="334" t="s">
        <v>334</v>
      </c>
      <c r="L66" s="333" t="s">
        <v>335</v>
      </c>
      <c r="M66" s="332">
        <v>0</v>
      </c>
      <c r="N66" s="331" t="s">
        <v>324</v>
      </c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21"/>
      <c r="AB66" s="321"/>
      <c r="AC66" s="321"/>
      <c r="AD66" s="321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</row>
    <row r="67" spans="2:44">
      <c r="B67" s="813" t="s">
        <v>336</v>
      </c>
      <c r="C67" s="813"/>
      <c r="D67" s="813"/>
      <c r="E67" s="813"/>
      <c r="F67" s="813"/>
      <c r="G67" s="191">
        <f>SUM(G64:G66)</f>
        <v>0</v>
      </c>
      <c r="H67" s="190" t="s">
        <v>330</v>
      </c>
      <c r="J67" s="815"/>
      <c r="K67" s="817" t="s">
        <v>337</v>
      </c>
      <c r="L67" s="330" t="s">
        <v>338</v>
      </c>
      <c r="M67" s="327"/>
      <c r="N67" s="326" t="s">
        <v>324</v>
      </c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21"/>
      <c r="AB67" s="321"/>
      <c r="AC67" s="321"/>
      <c r="AD67" s="321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</row>
    <row r="68" spans="2:44" ht="26.4">
      <c r="B68" s="423"/>
      <c r="C68" s="423"/>
      <c r="D68" s="423"/>
      <c r="E68" s="423"/>
      <c r="F68" s="423"/>
      <c r="G68" s="423"/>
      <c r="H68" s="423"/>
      <c r="J68" s="815"/>
      <c r="K68" s="807"/>
      <c r="L68" s="328" t="s">
        <v>339</v>
      </c>
      <c r="M68" s="327"/>
      <c r="N68" s="326" t="s">
        <v>324</v>
      </c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21"/>
      <c r="AB68" s="321"/>
      <c r="AC68" s="321"/>
      <c r="AD68" s="321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</row>
    <row r="69" spans="2:44">
      <c r="B69" s="145"/>
      <c r="J69" s="815"/>
      <c r="K69" s="807"/>
      <c r="L69" s="328" t="s">
        <v>340</v>
      </c>
      <c r="M69" s="327"/>
      <c r="N69" s="326" t="s">
        <v>324</v>
      </c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21"/>
      <c r="AB69" s="321"/>
      <c r="AC69" s="321"/>
      <c r="AD69" s="321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</row>
    <row r="70" spans="2:44" ht="18" customHeight="1">
      <c r="B70" s="819" t="s">
        <v>341</v>
      </c>
      <c r="C70" s="820"/>
      <c r="D70" s="820"/>
      <c r="E70" s="820"/>
      <c r="F70" s="820"/>
      <c r="G70" s="820"/>
      <c r="H70" s="821"/>
      <c r="J70" s="815"/>
      <c r="K70" s="807"/>
      <c r="L70" s="328" t="s">
        <v>342</v>
      </c>
      <c r="M70" s="327"/>
      <c r="N70" s="326" t="s">
        <v>324</v>
      </c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21"/>
      <c r="AB70" s="321"/>
      <c r="AC70" s="321"/>
      <c r="AD70" s="321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</row>
    <row r="71" spans="2:44" ht="34.5" customHeight="1">
      <c r="B71" s="186" t="s">
        <v>343</v>
      </c>
      <c r="C71" s="187" t="s">
        <v>344</v>
      </c>
      <c r="D71" s="187" t="s">
        <v>129</v>
      </c>
      <c r="E71" s="822" t="s">
        <v>345</v>
      </c>
      <c r="F71" s="823"/>
      <c r="G71" s="186" t="s">
        <v>346</v>
      </c>
      <c r="H71" s="185"/>
      <c r="J71" s="815"/>
      <c r="K71" s="807"/>
      <c r="L71" s="328" t="s">
        <v>347</v>
      </c>
      <c r="M71" s="327"/>
      <c r="N71" s="326" t="s">
        <v>324</v>
      </c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21"/>
      <c r="AB71" s="321"/>
      <c r="AC71" s="321"/>
      <c r="AD71" s="321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</row>
    <row r="72" spans="2:44" ht="13.8" thickBot="1">
      <c r="B72" s="184" t="str">
        <f t="shared" ref="B72:D76" si="0">+B50</f>
        <v>Electricité 
achetée</v>
      </c>
      <c r="C72" s="183">
        <f t="shared" si="0"/>
        <v>6000000</v>
      </c>
      <c r="D72" t="str">
        <f t="shared" si="0"/>
        <v>kWh</v>
      </c>
      <c r="E72" s="189">
        <f>Paramètres!C10</f>
        <v>1</v>
      </c>
      <c r="F72" s="145" t="str">
        <f>"kWhf/"&amp;D72</f>
        <v>kWhf/kWh</v>
      </c>
      <c r="G72" s="214">
        <f>+C72*E72/1000</f>
        <v>6000</v>
      </c>
      <c r="H72" s="212" t="s">
        <v>233</v>
      </c>
      <c r="J72" s="816"/>
      <c r="K72" s="818"/>
      <c r="L72" s="324" t="s">
        <v>232</v>
      </c>
      <c r="M72" s="323"/>
      <c r="N72" s="322" t="s">
        <v>324</v>
      </c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21"/>
      <c r="AB72" s="321"/>
      <c r="AC72" s="321"/>
      <c r="AD72" s="321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</row>
    <row r="73" spans="2:44" ht="14.4">
      <c r="B73" s="184" t="str">
        <f t="shared" si="0"/>
        <v>Gaz Naturel</v>
      </c>
      <c r="C73" s="183">
        <f t="shared" si="0"/>
        <v>0</v>
      </c>
      <c r="D73" t="str">
        <f t="shared" si="0"/>
        <v>kWhs</v>
      </c>
      <c r="E73" s="189">
        <f>Paramètres!D10</f>
        <v>1</v>
      </c>
      <c r="F73" s="145" t="str">
        <f t="shared" ref="F73:F75" si="1">"kWhf/"&amp;D73</f>
        <v>kWhf/kWhs</v>
      </c>
      <c r="G73" s="214">
        <f>+C73*E73/1000</f>
        <v>0</v>
      </c>
      <c r="H73" s="212" t="s">
        <v>233</v>
      </c>
      <c r="J73" s="320"/>
      <c r="K73" s="302"/>
      <c r="L73" s="302"/>
      <c r="M73" s="319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</row>
    <row r="74" spans="2:44" ht="14.4">
      <c r="B74" s="184" t="str">
        <f t="shared" si="0"/>
        <v>Biogaz</v>
      </c>
      <c r="C74" s="183">
        <f t="shared" si="0"/>
        <v>0</v>
      </c>
      <c r="D74" t="str">
        <f t="shared" si="0"/>
        <v>kWhs</v>
      </c>
      <c r="E74" s="189">
        <f>Paramètres!F10</f>
        <v>1</v>
      </c>
      <c r="F74" s="145" t="str">
        <f t="shared" ref="F74" si="2">"kWhf/"&amp;D74</f>
        <v>kWhf/kWhs</v>
      </c>
      <c r="G74" s="214">
        <f>+C74*E74/1000</f>
        <v>0</v>
      </c>
      <c r="H74" s="212" t="s">
        <v>233</v>
      </c>
      <c r="J74" s="320"/>
      <c r="K74" s="302"/>
      <c r="L74" s="302"/>
      <c r="M74" s="319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</row>
    <row r="75" spans="2:44" ht="14.4">
      <c r="B75" s="184" t="str">
        <f t="shared" si="0"/>
        <v>Elec SER</v>
      </c>
      <c r="C75" s="183">
        <f t="shared" si="0"/>
        <v>-6000000</v>
      </c>
      <c r="D75" t="str">
        <f t="shared" si="0"/>
        <v>kWh</v>
      </c>
      <c r="E75" s="189">
        <f>Paramètres!G10</f>
        <v>1</v>
      </c>
      <c r="F75" s="145" t="str">
        <f t="shared" si="1"/>
        <v>kWhf/kWh</v>
      </c>
      <c r="G75" s="214">
        <f>+C75*E75/1000</f>
        <v>-6000</v>
      </c>
      <c r="H75" s="212" t="s">
        <v>233</v>
      </c>
      <c r="J75" s="320"/>
      <c r="K75" s="302"/>
      <c r="L75" s="302"/>
      <c r="M75" s="319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</row>
    <row r="76" spans="2:44" ht="15" thickBot="1">
      <c r="B76" s="184" t="str">
        <f t="shared" si="0"/>
        <v>Process</v>
      </c>
      <c r="C76" s="183">
        <f t="shared" si="0"/>
        <v>0</v>
      </c>
      <c r="D76" t="str">
        <f t="shared" si="0"/>
        <v>kgCO2</v>
      </c>
      <c r="E76" s="189">
        <f>Paramètres!H10</f>
        <v>0</v>
      </c>
      <c r="F76" s="145" t="str">
        <f t="shared" ref="F76" si="3">"kWhf/"&amp;D76</f>
        <v>kWhf/kgCO2</v>
      </c>
      <c r="G76" s="214">
        <f>+C76*E76/1000</f>
        <v>0</v>
      </c>
      <c r="H76" s="212" t="s">
        <v>233</v>
      </c>
      <c r="J76" s="320"/>
      <c r="K76" s="302"/>
      <c r="L76" s="302"/>
      <c r="M76" s="319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</row>
    <row r="77" spans="2:44" ht="16.2" thickBot="1">
      <c r="B77" s="824" t="s">
        <v>348</v>
      </c>
      <c r="C77" s="825"/>
      <c r="D77" s="825"/>
      <c r="E77" s="825"/>
      <c r="F77" s="825"/>
      <c r="G77" s="215">
        <f>SUM(G72:G75)</f>
        <v>0</v>
      </c>
      <c r="H77" s="213" t="s">
        <v>233</v>
      </c>
      <c r="J77" s="826" t="s">
        <v>349</v>
      </c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7"/>
      <c r="V77" s="827"/>
      <c r="W77" s="827"/>
      <c r="X77" s="827"/>
      <c r="Y77" s="827"/>
      <c r="Z77" s="827"/>
      <c r="AA77" s="827"/>
      <c r="AB77" s="827"/>
      <c r="AC77" s="827"/>
      <c r="AD77" s="827"/>
      <c r="AE77" s="827"/>
      <c r="AF77" s="827"/>
      <c r="AG77" s="827"/>
      <c r="AH77" s="827"/>
      <c r="AI77" s="827"/>
      <c r="AJ77" s="827"/>
      <c r="AK77" s="827"/>
      <c r="AL77" s="827"/>
      <c r="AM77" s="827"/>
      <c r="AN77" s="827"/>
      <c r="AO77" s="827"/>
      <c r="AP77" s="827"/>
      <c r="AQ77" s="827"/>
      <c r="AR77" s="828"/>
    </row>
    <row r="78" spans="2:44" ht="13.8" thickBot="1">
      <c r="B78" s="86"/>
      <c r="C78" s="86"/>
      <c r="D78" s="86"/>
      <c r="E78" s="86"/>
      <c r="F78" s="86"/>
      <c r="G78" s="216">
        <f>G77/'2023'!H35</f>
        <v>0</v>
      </c>
      <c r="H78" s="228">
        <f>G77/'2023'!T17</f>
        <v>0</v>
      </c>
      <c r="J78" s="302"/>
      <c r="K78" s="302"/>
      <c r="L78" s="302"/>
      <c r="M78" s="301"/>
      <c r="N78" s="302"/>
      <c r="O78" s="308"/>
      <c r="P78" s="308"/>
      <c r="Q78" s="308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</row>
    <row r="79" spans="2:44" ht="14.4" thickBot="1">
      <c r="B79" s="188"/>
      <c r="C79" s="188"/>
      <c r="D79" s="188"/>
      <c r="E79" s="188"/>
      <c r="F79" s="188"/>
      <c r="G79" s="188"/>
      <c r="H79" s="188"/>
      <c r="J79" s="302"/>
      <c r="K79" s="302"/>
      <c r="L79" s="302"/>
      <c r="M79" s="301"/>
      <c r="N79" s="831" t="s">
        <v>350</v>
      </c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  <c r="AQ79" s="832"/>
      <c r="AR79" s="833"/>
    </row>
    <row r="80" spans="2:44" ht="19.5" customHeight="1" thickBot="1">
      <c r="B80" s="819" t="s">
        <v>351</v>
      </c>
      <c r="C80" s="820"/>
      <c r="D80" s="820"/>
      <c r="E80" s="820"/>
      <c r="F80" s="820"/>
      <c r="G80" s="820"/>
      <c r="H80" s="821"/>
      <c r="J80" s="302"/>
      <c r="K80" s="302"/>
      <c r="L80" s="310"/>
      <c r="M80" s="310"/>
      <c r="N80" s="300">
        <v>0</v>
      </c>
      <c r="O80" s="299">
        <v>1</v>
      </c>
      <c r="P80" s="299">
        <v>2</v>
      </c>
      <c r="Q80" s="299">
        <v>3</v>
      </c>
      <c r="R80" s="299">
        <v>4</v>
      </c>
      <c r="S80" s="299">
        <v>5</v>
      </c>
      <c r="T80" s="299">
        <v>6</v>
      </c>
      <c r="U80" s="299">
        <v>7</v>
      </c>
      <c r="V80" s="299">
        <v>8</v>
      </c>
      <c r="W80" s="299">
        <v>9</v>
      </c>
      <c r="X80" s="299">
        <v>10</v>
      </c>
      <c r="Y80" s="299">
        <v>11</v>
      </c>
      <c r="Z80" s="299">
        <v>12</v>
      </c>
      <c r="AA80" s="299">
        <v>13</v>
      </c>
      <c r="AB80" s="299">
        <v>14</v>
      </c>
      <c r="AC80" s="299">
        <v>15</v>
      </c>
      <c r="AD80" s="299">
        <v>16</v>
      </c>
      <c r="AE80" s="299">
        <v>17</v>
      </c>
      <c r="AF80" s="299">
        <v>18</v>
      </c>
      <c r="AG80" s="299">
        <v>19</v>
      </c>
      <c r="AH80" s="299">
        <v>20</v>
      </c>
      <c r="AI80" s="299">
        <v>21</v>
      </c>
      <c r="AJ80" s="299">
        <v>22</v>
      </c>
      <c r="AK80" s="299">
        <v>23</v>
      </c>
      <c r="AL80" s="299">
        <v>24</v>
      </c>
      <c r="AM80" s="299">
        <v>25</v>
      </c>
      <c r="AN80" s="299">
        <v>26</v>
      </c>
      <c r="AO80" s="299">
        <v>27</v>
      </c>
      <c r="AP80" s="299">
        <v>28</v>
      </c>
      <c r="AQ80" s="299">
        <v>29</v>
      </c>
      <c r="AR80" s="298">
        <v>30</v>
      </c>
    </row>
    <row r="81" spans="2:44" ht="30" customHeight="1">
      <c r="B81" s="186" t="str">
        <f>+B71</f>
        <v>Vecteurs énergétiques</v>
      </c>
      <c r="C81" s="186" t="str">
        <f>+C71</f>
        <v>Quantités</v>
      </c>
      <c r="D81" s="186" t="str">
        <f>+D71</f>
        <v>Unités</v>
      </c>
      <c r="E81" s="834" t="s">
        <v>352</v>
      </c>
      <c r="F81" s="834"/>
      <c r="G81" s="186" t="s">
        <v>353</v>
      </c>
      <c r="H81" s="185"/>
      <c r="J81" s="302"/>
      <c r="K81" s="302"/>
      <c r="L81" s="835" t="s">
        <v>354</v>
      </c>
      <c r="M81" s="297" t="s">
        <v>311</v>
      </c>
      <c r="N81" s="296">
        <f>(M55)</f>
        <v>0</v>
      </c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7"/>
    </row>
    <row r="82" spans="2:44" ht="16.2" thickBot="1">
      <c r="B82" s="184" t="str">
        <f>+B72</f>
        <v>Electricité 
achetée</v>
      </c>
      <c r="C82" s="183">
        <f t="shared" ref="C82:D86" si="4">C72</f>
        <v>6000000</v>
      </c>
      <c r="D82" s="183" t="str">
        <f t="shared" si="4"/>
        <v>kWh</v>
      </c>
      <c r="E82" s="211">
        <f>Paramètres!C$12</f>
        <v>0.216</v>
      </c>
      <c r="F82" s="145" t="str">
        <f>"kgCO2/"&amp;D82</f>
        <v>kgCO2/kWh</v>
      </c>
      <c r="G82" s="182">
        <f>+C82*E82</f>
        <v>1296000</v>
      </c>
      <c r="H82" s="181" t="s">
        <v>355</v>
      </c>
      <c r="J82" s="302"/>
      <c r="K82" s="302"/>
      <c r="L82" s="836"/>
      <c r="M82" s="310" t="s">
        <v>314</v>
      </c>
      <c r="N82" s="290">
        <f>M56</f>
        <v>0</v>
      </c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16"/>
    </row>
    <row r="83" spans="2:44" ht="15.6">
      <c r="B83" s="184" t="str">
        <f>+B73</f>
        <v>Gaz Naturel</v>
      </c>
      <c r="C83" s="183">
        <f t="shared" si="4"/>
        <v>0</v>
      </c>
      <c r="D83" s="183" t="str">
        <f t="shared" si="4"/>
        <v>kWhs</v>
      </c>
      <c r="E83" s="211">
        <f>Paramètres!D$12</f>
        <v>0.218</v>
      </c>
      <c r="F83" s="145" t="str">
        <f t="shared" ref="F83:F86" si="5">"kgCO2/"&amp;D83</f>
        <v>kgCO2/kWhs</v>
      </c>
      <c r="G83" s="182">
        <f>+C83*E83</f>
        <v>0</v>
      </c>
      <c r="H83" s="181" t="s">
        <v>355</v>
      </c>
      <c r="I83" s="81"/>
      <c r="J83" s="302"/>
      <c r="K83" s="302"/>
      <c r="L83" s="837" t="s">
        <v>356</v>
      </c>
      <c r="M83" s="297" t="s">
        <v>357</v>
      </c>
      <c r="N83" s="290">
        <f>M57+M58</f>
        <v>0</v>
      </c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16"/>
    </row>
    <row r="84" spans="2:44" ht="15.6">
      <c r="B84" s="184" t="str">
        <f>+B74</f>
        <v>Biogaz</v>
      </c>
      <c r="C84" s="183">
        <f t="shared" si="4"/>
        <v>0</v>
      </c>
      <c r="D84" s="183" t="str">
        <f t="shared" si="4"/>
        <v>kWhs</v>
      </c>
      <c r="E84" s="211">
        <f>Paramètres!F$12</f>
        <v>0</v>
      </c>
      <c r="F84" s="145" t="str">
        <f t="shared" ref="F84" si="6">"kgCO2/"&amp;D84</f>
        <v>kgCO2/kWhs</v>
      </c>
      <c r="G84" s="182">
        <f>+C84*E84</f>
        <v>0</v>
      </c>
      <c r="H84" s="181" t="s">
        <v>355</v>
      </c>
      <c r="I84" s="81"/>
      <c r="J84" s="302"/>
      <c r="K84" s="302"/>
      <c r="L84" s="836"/>
      <c r="M84" s="310"/>
      <c r="N84" s="290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16"/>
    </row>
    <row r="85" spans="2:44" ht="16.2" thickBot="1">
      <c r="B85" s="184" t="str">
        <f>+B75</f>
        <v>Elec SER</v>
      </c>
      <c r="C85" s="183">
        <f t="shared" si="4"/>
        <v>-6000000</v>
      </c>
      <c r="D85" s="183" t="str">
        <f t="shared" si="4"/>
        <v>kWh</v>
      </c>
      <c r="E85" s="211">
        <f>Paramètres!G$12</f>
        <v>0</v>
      </c>
      <c r="F85" s="145" t="str">
        <f t="shared" si="5"/>
        <v>kgCO2/kWh</v>
      </c>
      <c r="G85" s="182">
        <f>+C85*E85</f>
        <v>0</v>
      </c>
      <c r="H85" s="181" t="s">
        <v>355</v>
      </c>
      <c r="J85" s="302"/>
      <c r="K85" s="302"/>
      <c r="L85" s="838"/>
      <c r="M85" s="315" t="s">
        <v>358</v>
      </c>
      <c r="N85" s="278"/>
      <c r="O85" s="277" t="str">
        <f t="shared" ref="O85:Y85" si="7">IF(O80&lt;=$M$63,$M$62,"")</f>
        <v/>
      </c>
      <c r="P85" s="277" t="str">
        <f t="shared" si="7"/>
        <v/>
      </c>
      <c r="Q85" s="277" t="str">
        <f t="shared" si="7"/>
        <v/>
      </c>
      <c r="R85" s="277" t="str">
        <f t="shared" si="7"/>
        <v/>
      </c>
      <c r="S85" s="277" t="str">
        <f t="shared" si="7"/>
        <v/>
      </c>
      <c r="T85" s="277" t="str">
        <f t="shared" si="7"/>
        <v/>
      </c>
      <c r="U85" s="277" t="str">
        <f t="shared" si="7"/>
        <v/>
      </c>
      <c r="V85" s="277" t="str">
        <f t="shared" si="7"/>
        <v/>
      </c>
      <c r="W85" s="277" t="str">
        <f t="shared" si="7"/>
        <v/>
      </c>
      <c r="X85" s="277" t="str">
        <f t="shared" si="7"/>
        <v/>
      </c>
      <c r="Y85" s="277" t="str">
        <f t="shared" si="7"/>
        <v/>
      </c>
      <c r="Z85" s="277" t="str">
        <f t="shared" ref="Z85:AR85" si="8">IF(X80&lt;=$M$63,$M$62,"")</f>
        <v/>
      </c>
      <c r="AA85" s="277" t="str">
        <f t="shared" si="8"/>
        <v/>
      </c>
      <c r="AB85" s="277" t="str">
        <f t="shared" si="8"/>
        <v/>
      </c>
      <c r="AC85" s="277" t="str">
        <f t="shared" si="8"/>
        <v/>
      </c>
      <c r="AD85" s="277" t="str">
        <f t="shared" si="8"/>
        <v/>
      </c>
      <c r="AE85" s="277" t="str">
        <f t="shared" si="8"/>
        <v/>
      </c>
      <c r="AF85" s="277" t="str">
        <f t="shared" si="8"/>
        <v/>
      </c>
      <c r="AG85" s="277" t="str">
        <f t="shared" si="8"/>
        <v/>
      </c>
      <c r="AH85" s="277" t="str">
        <f t="shared" si="8"/>
        <v/>
      </c>
      <c r="AI85" s="277" t="str">
        <f t="shared" si="8"/>
        <v/>
      </c>
      <c r="AJ85" s="277" t="str">
        <f t="shared" si="8"/>
        <v/>
      </c>
      <c r="AK85" s="277" t="str">
        <f t="shared" si="8"/>
        <v/>
      </c>
      <c r="AL85" s="277" t="str">
        <f t="shared" si="8"/>
        <v/>
      </c>
      <c r="AM85" s="277" t="str">
        <f t="shared" si="8"/>
        <v/>
      </c>
      <c r="AN85" s="277" t="str">
        <f t="shared" si="8"/>
        <v/>
      </c>
      <c r="AO85" s="277" t="str">
        <f t="shared" si="8"/>
        <v/>
      </c>
      <c r="AP85" s="277" t="str">
        <f t="shared" si="8"/>
        <v/>
      </c>
      <c r="AQ85" s="277" t="str">
        <f t="shared" si="8"/>
        <v/>
      </c>
      <c r="AR85" s="276" t="str">
        <f t="shared" si="8"/>
        <v/>
      </c>
    </row>
    <row r="86" spans="2:44" ht="16.2" thickBot="1">
      <c r="B86" s="184" t="str">
        <f>+B76</f>
        <v>Process</v>
      </c>
      <c r="C86" s="183">
        <f t="shared" si="4"/>
        <v>0</v>
      </c>
      <c r="D86" s="183" t="str">
        <f t="shared" si="4"/>
        <v>kgCO2</v>
      </c>
      <c r="E86" s="211">
        <f>Paramètres!H$12</f>
        <v>1</v>
      </c>
      <c r="F86" s="145" t="str">
        <f t="shared" si="5"/>
        <v>kgCO2/kgCO2</v>
      </c>
      <c r="G86" s="182">
        <f>+C86*E86</f>
        <v>0</v>
      </c>
      <c r="H86" s="181" t="s">
        <v>355</v>
      </c>
      <c r="J86" s="302"/>
      <c r="K86" s="302"/>
      <c r="L86" s="312"/>
      <c r="M86" s="292"/>
      <c r="N86" s="278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6"/>
    </row>
    <row r="87" spans="2:44" ht="16.2" thickBot="1">
      <c r="B87" s="824" t="s">
        <v>359</v>
      </c>
      <c r="C87" s="825"/>
      <c r="D87" s="825"/>
      <c r="E87" s="825"/>
      <c r="F87" s="825"/>
      <c r="G87" s="180">
        <f>SUM(G82:G85)</f>
        <v>1296000</v>
      </c>
      <c r="H87" s="179" t="s">
        <v>355</v>
      </c>
      <c r="J87" s="302"/>
      <c r="K87" s="302"/>
      <c r="L87" s="314" t="s">
        <v>360</v>
      </c>
      <c r="M87" s="313" t="s">
        <v>360</v>
      </c>
      <c r="N87" s="278"/>
      <c r="O87" s="277">
        <f>IF(O80&lt;=$K$16,($M$61+$M$64+$M$65+$M$66+$M$67+$M$68+$M$69+$M$70+$M$71+$M$72),"")</f>
        <v>0</v>
      </c>
      <c r="P87" s="277">
        <f>IF(P80&lt;=$K$16,('AA3'!O87*(1+Paramètres!$B$20)),"")</f>
        <v>0</v>
      </c>
      <c r="Q87" s="277">
        <f>IF(Q80&lt;=$K$16,('AA3'!P87*(1+Paramètres!$B$20)),"")</f>
        <v>0</v>
      </c>
      <c r="R87" s="277">
        <f>IF(R80&lt;=$K$16,('AA3'!Q87*(1+Paramètres!$B$20)),"")</f>
        <v>0</v>
      </c>
      <c r="S87" s="277">
        <f>IF(S80&lt;=$K$16,('AA3'!R87*(1+Paramètres!$B$20)),"")</f>
        <v>0</v>
      </c>
      <c r="T87" s="277">
        <f>IF(T80&lt;=$K$16,('AA3'!S87*(1+Paramètres!$B$20)),"")</f>
        <v>0</v>
      </c>
      <c r="U87" s="277">
        <f>IF(U80&lt;=$K$16,('AA3'!T87*(1+Paramètres!$B$20)),"")</f>
        <v>0</v>
      </c>
      <c r="V87" s="277">
        <f>IF(V80&lt;=$K$16,('AA3'!U87*(1+Paramètres!$B$20)),"")</f>
        <v>0</v>
      </c>
      <c r="W87" s="277">
        <f>IF(W80&lt;=$K$16,('AA3'!V87*(1+Paramètres!$B$20)),"")</f>
        <v>0</v>
      </c>
      <c r="X87" s="277">
        <f>IF(X80&lt;=$K$16,('AA3'!W87*(1+Paramètres!$B$20)),"")</f>
        <v>0</v>
      </c>
      <c r="Y87" s="277">
        <f>IF(Y80&lt;=$K$16,('AA3'!X87*(1+Paramètres!$B$20)),"")</f>
        <v>0</v>
      </c>
      <c r="Z87" s="277">
        <f>IF(Z80&lt;=$K$16,('AA3'!Y87*(1+Paramètres!$B$20)),"")</f>
        <v>0</v>
      </c>
      <c r="AA87" s="277">
        <f>IF(AA80&lt;=$K$16,('AA3'!Z87*(1+Paramètres!$B$20)),"")</f>
        <v>0</v>
      </c>
      <c r="AB87" s="277">
        <f>IF(AB80&lt;=$K$16,('AA3'!AA87*(1+Paramètres!$B$20)),"")</f>
        <v>0</v>
      </c>
      <c r="AC87" s="277">
        <f>IF(AC80&lt;=$K$16,('AA3'!AB87*(1+Paramètres!$B$20)),"")</f>
        <v>0</v>
      </c>
      <c r="AD87" s="277" t="str">
        <f>IF(AD80&lt;=$K$16,('AA3'!AC87*(1+Paramètres!$B$20)),"")</f>
        <v/>
      </c>
      <c r="AE87" s="277" t="str">
        <f>IF(AE80&lt;=$K$16,('AA3'!AD87*(1+Paramètres!$B$20)),"")</f>
        <v/>
      </c>
      <c r="AF87" s="277" t="str">
        <f>IF(AF80&lt;=$K$16,('AA3'!AE87*(1+Paramètres!$B$20)),"")</f>
        <v/>
      </c>
      <c r="AG87" s="277" t="str">
        <f>IF(AG80&lt;=$K$16,('AA3'!AF87*(1+Paramètres!$B$20)),"")</f>
        <v/>
      </c>
      <c r="AH87" s="277" t="str">
        <f>IF(AH80&lt;=$K$16,('AA3'!AG87*(1+Paramètres!$B$20)),"")</f>
        <v/>
      </c>
      <c r="AI87" s="277" t="str">
        <f>IF(AI80&lt;=$K$16,('AA3'!AH87*(1+Paramètres!$B$20)),"")</f>
        <v/>
      </c>
      <c r="AJ87" s="277" t="str">
        <f>IF(AJ80&lt;=$K$16,('AA3'!AI87*(1+Paramètres!$B$20)),"")</f>
        <v/>
      </c>
      <c r="AK87" s="277" t="str">
        <f>IF(AK80&lt;=$K$16,('AA3'!AJ87*(1+Paramètres!$B$20)),"")</f>
        <v/>
      </c>
      <c r="AL87" s="277" t="str">
        <f>IF(AL80&lt;=$K$16,('AA3'!AK87*(1+Paramètres!$B$20)),"")</f>
        <v/>
      </c>
      <c r="AM87" s="277" t="str">
        <f>IF(AM80&lt;=$K$16,('AA3'!AL87*(1+Paramètres!$B$20)),"")</f>
        <v/>
      </c>
      <c r="AN87" s="277" t="str">
        <f>IF(AN80&lt;=$K$16,('AA3'!AM87*(1+Paramètres!$B$20)),"")</f>
        <v/>
      </c>
      <c r="AO87" s="277" t="str">
        <f>IF(AO80&lt;=$K$16,('AA3'!AN87*(1+Paramètres!$B$20)),"")</f>
        <v/>
      </c>
      <c r="AP87" s="277" t="str">
        <f>IF(AP80&lt;=$K$16,('AA3'!AO87*(1+Paramètres!$B$20)),"")</f>
        <v/>
      </c>
      <c r="AQ87" s="277" t="str">
        <f>IF(AQ80&lt;=$K$16,('AA3'!AP87*(1+Paramètres!$B$20)),"")</f>
        <v/>
      </c>
      <c r="AR87" s="276" t="str">
        <f>IF(AR80&lt;=$K$16,('AA3'!AQ87*(1+Paramètres!$B$20)),"")</f>
        <v/>
      </c>
    </row>
    <row r="88" spans="2:44" ht="13.8" thickBot="1">
      <c r="G88" s="217">
        <f>G87/'2023'!H36</f>
        <v>4.7282013863553449E-2</v>
      </c>
      <c r="H88" s="144">
        <f>G87/'2023'!H36</f>
        <v>4.7282013863553449E-2</v>
      </c>
      <c r="J88" s="302"/>
      <c r="K88" s="302"/>
      <c r="L88" s="312" t="s">
        <v>361</v>
      </c>
      <c r="M88" s="292" t="s">
        <v>319</v>
      </c>
      <c r="N88" s="265" t="str">
        <f t="shared" ref="N88:AR88" si="9">IF(N80=$K$16,$M$59,"")</f>
        <v/>
      </c>
      <c r="O88" s="264" t="str">
        <f t="shared" si="9"/>
        <v/>
      </c>
      <c r="P88" s="264" t="str">
        <f t="shared" si="9"/>
        <v/>
      </c>
      <c r="Q88" s="264" t="str">
        <f t="shared" si="9"/>
        <v/>
      </c>
      <c r="R88" s="264" t="str">
        <f t="shared" si="9"/>
        <v/>
      </c>
      <c r="S88" s="264" t="str">
        <f t="shared" si="9"/>
        <v/>
      </c>
      <c r="T88" s="264" t="str">
        <f t="shared" si="9"/>
        <v/>
      </c>
      <c r="U88" s="264" t="str">
        <f t="shared" si="9"/>
        <v/>
      </c>
      <c r="V88" s="264" t="str">
        <f t="shared" si="9"/>
        <v/>
      </c>
      <c r="W88" s="264" t="str">
        <f t="shared" si="9"/>
        <v/>
      </c>
      <c r="X88" s="264" t="str">
        <f t="shared" si="9"/>
        <v/>
      </c>
      <c r="Y88" s="264" t="str">
        <f t="shared" si="9"/>
        <v/>
      </c>
      <c r="Z88" s="264" t="str">
        <f t="shared" si="9"/>
        <v/>
      </c>
      <c r="AA88" s="264" t="str">
        <f t="shared" si="9"/>
        <v/>
      </c>
      <c r="AB88" s="264" t="str">
        <f t="shared" si="9"/>
        <v/>
      </c>
      <c r="AC88" s="264">
        <f t="shared" si="9"/>
        <v>0</v>
      </c>
      <c r="AD88" s="264" t="str">
        <f t="shared" si="9"/>
        <v/>
      </c>
      <c r="AE88" s="264" t="str">
        <f t="shared" si="9"/>
        <v/>
      </c>
      <c r="AF88" s="264" t="str">
        <f t="shared" si="9"/>
        <v/>
      </c>
      <c r="AG88" s="264" t="str">
        <f t="shared" si="9"/>
        <v/>
      </c>
      <c r="AH88" s="264" t="str">
        <f t="shared" si="9"/>
        <v/>
      </c>
      <c r="AI88" s="264" t="str">
        <f t="shared" si="9"/>
        <v/>
      </c>
      <c r="AJ88" s="264" t="str">
        <f t="shared" si="9"/>
        <v/>
      </c>
      <c r="AK88" s="264" t="str">
        <f t="shared" si="9"/>
        <v/>
      </c>
      <c r="AL88" s="264" t="str">
        <f t="shared" si="9"/>
        <v/>
      </c>
      <c r="AM88" s="264" t="str">
        <f t="shared" si="9"/>
        <v/>
      </c>
      <c r="AN88" s="264" t="str">
        <f t="shared" si="9"/>
        <v/>
      </c>
      <c r="AO88" s="264" t="str">
        <f t="shared" si="9"/>
        <v/>
      </c>
      <c r="AP88" s="264" t="str">
        <f t="shared" si="9"/>
        <v/>
      </c>
      <c r="AQ88" s="264" t="str">
        <f t="shared" si="9"/>
        <v/>
      </c>
      <c r="AR88" s="263" t="str">
        <f t="shared" si="9"/>
        <v/>
      </c>
    </row>
    <row r="89" spans="2:44" ht="13.8" thickBot="1">
      <c r="J89" s="302"/>
      <c r="K89" s="302"/>
      <c r="L89" s="839" t="s">
        <v>362</v>
      </c>
      <c r="M89" s="840"/>
      <c r="N89" s="260" t="str">
        <f t="shared" ref="N89:AR89" si="10">IF(SUM(N81:N88)=0,"",SUM(N81:N88))</f>
        <v/>
      </c>
      <c r="O89" s="259" t="str">
        <f t="shared" si="10"/>
        <v/>
      </c>
      <c r="P89" s="259" t="str">
        <f t="shared" si="10"/>
        <v/>
      </c>
      <c r="Q89" s="259" t="str">
        <f t="shared" si="10"/>
        <v/>
      </c>
      <c r="R89" s="259" t="str">
        <f t="shared" si="10"/>
        <v/>
      </c>
      <c r="S89" s="259" t="str">
        <f t="shared" si="10"/>
        <v/>
      </c>
      <c r="T89" s="259" t="str">
        <f t="shared" si="10"/>
        <v/>
      </c>
      <c r="U89" s="259" t="str">
        <f t="shared" si="10"/>
        <v/>
      </c>
      <c r="V89" s="259" t="str">
        <f t="shared" si="10"/>
        <v/>
      </c>
      <c r="W89" s="259" t="str">
        <f t="shared" si="10"/>
        <v/>
      </c>
      <c r="X89" s="259" t="str">
        <f t="shared" si="10"/>
        <v/>
      </c>
      <c r="Y89" s="259" t="str">
        <f t="shared" si="10"/>
        <v/>
      </c>
      <c r="Z89" s="259" t="str">
        <f t="shared" si="10"/>
        <v/>
      </c>
      <c r="AA89" s="259" t="str">
        <f t="shared" si="10"/>
        <v/>
      </c>
      <c r="AB89" s="259" t="str">
        <f t="shared" si="10"/>
        <v/>
      </c>
      <c r="AC89" s="259" t="str">
        <f t="shared" si="10"/>
        <v/>
      </c>
      <c r="AD89" s="259" t="str">
        <f t="shared" si="10"/>
        <v/>
      </c>
      <c r="AE89" s="259" t="str">
        <f t="shared" si="10"/>
        <v/>
      </c>
      <c r="AF89" s="259" t="str">
        <f t="shared" si="10"/>
        <v/>
      </c>
      <c r="AG89" s="259" t="str">
        <f t="shared" si="10"/>
        <v/>
      </c>
      <c r="AH89" s="259" t="str">
        <f t="shared" si="10"/>
        <v/>
      </c>
      <c r="AI89" s="259" t="str">
        <f t="shared" si="10"/>
        <v/>
      </c>
      <c r="AJ89" s="259" t="str">
        <f t="shared" si="10"/>
        <v/>
      </c>
      <c r="AK89" s="259" t="str">
        <f t="shared" si="10"/>
        <v/>
      </c>
      <c r="AL89" s="259" t="str">
        <f t="shared" si="10"/>
        <v/>
      </c>
      <c r="AM89" s="259" t="str">
        <f t="shared" si="10"/>
        <v/>
      </c>
      <c r="AN89" s="259" t="str">
        <f t="shared" si="10"/>
        <v/>
      </c>
      <c r="AO89" s="259" t="str">
        <f t="shared" si="10"/>
        <v/>
      </c>
      <c r="AP89" s="259" t="str">
        <f t="shared" si="10"/>
        <v/>
      </c>
      <c r="AQ89" s="259" t="str">
        <f t="shared" si="10"/>
        <v/>
      </c>
      <c r="AR89" s="258" t="str">
        <f t="shared" si="10"/>
        <v/>
      </c>
    </row>
    <row r="90" spans="2:44" ht="13.8" thickBot="1">
      <c r="J90" s="302"/>
      <c r="K90" s="302"/>
      <c r="L90" s="841" t="s">
        <v>363</v>
      </c>
      <c r="M90" s="842"/>
      <c r="N90" s="260" t="str">
        <f>IF(N89="","",((N89)/(1+Paramètres!$B$19)^N80))</f>
        <v/>
      </c>
      <c r="O90" s="259" t="str">
        <f>IF(O89="","",((O89)/(1+Paramètres!$B$19)^O80))</f>
        <v/>
      </c>
      <c r="P90" s="259" t="str">
        <f>IF(P89="","",((P89)/(1+Paramètres!$B$19)^P80))</f>
        <v/>
      </c>
      <c r="Q90" s="259" t="str">
        <f>IF(Q89="","",((Q89)/(1+Paramètres!$B$19)^Q80))</f>
        <v/>
      </c>
      <c r="R90" s="259" t="str">
        <f>IF(R89="","",((R89)/(1+Paramètres!$B$19)^R80))</f>
        <v/>
      </c>
      <c r="S90" s="259" t="str">
        <f>IF(S89="","",((S89)/(1+Paramètres!$B$19)^S80))</f>
        <v/>
      </c>
      <c r="T90" s="259" t="str">
        <f>IF(T89="","",((T89)/(1+Paramètres!$B$19)^T80))</f>
        <v/>
      </c>
      <c r="U90" s="259" t="str">
        <f>IF(U89="","",((U89)/(1+Paramètres!$B$19)^U80))</f>
        <v/>
      </c>
      <c r="V90" s="259" t="str">
        <f>IF(V89="","",((V89)/(1+Paramètres!$B$19)^V80))</f>
        <v/>
      </c>
      <c r="W90" s="259" t="str">
        <f>IF(W89="","",((W89)/(1+Paramètres!$B$19)^W80))</f>
        <v/>
      </c>
      <c r="X90" s="259" t="str">
        <f>IF(X89="","",((X89)/(1+Paramètres!$B$19)^X80))</f>
        <v/>
      </c>
      <c r="Y90" s="259" t="str">
        <f>IF(Y89="","",((Y89)/(1+Paramètres!$B$19)^Y80))</f>
        <v/>
      </c>
      <c r="Z90" s="259" t="str">
        <f>IF(Z89="","",((Z89)/(1+Paramètres!$B$19)^Z80))</f>
        <v/>
      </c>
      <c r="AA90" s="259" t="str">
        <f>IF(AA89="","",((AA89)/(1+Paramètres!$B$19)^AA80))</f>
        <v/>
      </c>
      <c r="AB90" s="259" t="str">
        <f>IF(AB89="","",((AB89)/(1+Paramètres!$B$19)^AB80))</f>
        <v/>
      </c>
      <c r="AC90" s="259" t="str">
        <f>IF(AC89="","",((AC89)/(1+Paramètres!$B$19)^AC80))</f>
        <v/>
      </c>
      <c r="AD90" s="259" t="str">
        <f>IF(AD89="","",((AD89)/(1+Paramètres!$B$19)^AD80))</f>
        <v/>
      </c>
      <c r="AE90" s="259" t="str">
        <f>IF(AE89="","",((AE89)/(1+Paramètres!$B$19)^AE80))</f>
        <v/>
      </c>
      <c r="AF90" s="259" t="str">
        <f>IF(AF89="","",((AF89)/(1+Paramètres!$B$19)^AF80))</f>
        <v/>
      </c>
      <c r="AG90" s="259" t="str">
        <f>IF(AG89="","",((AG89)/(1+Paramètres!$B$19)^AG80))</f>
        <v/>
      </c>
      <c r="AH90" s="259" t="str">
        <f>IF(AH89="","",((AH89)/(1+Paramètres!$B$19)^AH80))</f>
        <v/>
      </c>
      <c r="AI90" s="259" t="str">
        <f>IF(AI89="","",((AI89)/(1+Paramètres!$B$19)^AI80))</f>
        <v/>
      </c>
      <c r="AJ90" s="259" t="str">
        <f>IF(AJ89="","",((AJ89)/(1+Paramètres!$B$19)^AJ80))</f>
        <v/>
      </c>
      <c r="AK90" s="259" t="str">
        <f>IF(AK89="","",((AK89)/(1+Paramètres!$B$19)^AK80))</f>
        <v/>
      </c>
      <c r="AL90" s="259" t="str">
        <f>IF(AL89="","",((AL89)/(1+Paramètres!$B$19)^AL80))</f>
        <v/>
      </c>
      <c r="AM90" s="259" t="str">
        <f>IF(AM89="","",((AM89)/(1+Paramètres!$B$19)^AM80))</f>
        <v/>
      </c>
      <c r="AN90" s="259" t="str">
        <f>IF(AN89="","",((AN89)/(1+Paramètres!$B$19)^AN80))</f>
        <v/>
      </c>
      <c r="AO90" s="259" t="str">
        <f>IF(AO89="","",((AO89)/(1+Paramètres!$B$19)^AO80))</f>
        <v/>
      </c>
      <c r="AP90" s="259" t="str">
        <f>IF(AP89="","",((AP89)/(1+Paramètres!$B$19)^AP80))</f>
        <v/>
      </c>
      <c r="AQ90" s="259" t="str">
        <f>IF(AQ89="","",((AQ89)/(1+Paramètres!$B$19)^AQ80))</f>
        <v/>
      </c>
      <c r="AR90" s="258" t="str">
        <f>IF(AR89="","",((AR89)/(1+Paramètres!$B$19)^AR80))</f>
        <v/>
      </c>
    </row>
    <row r="91" spans="2:44" ht="13.8" thickBot="1">
      <c r="J91" s="302"/>
      <c r="K91" s="302"/>
      <c r="L91" s="841" t="s">
        <v>364</v>
      </c>
      <c r="M91" s="842"/>
      <c r="N91" s="257" t="str">
        <f>N90</f>
        <v/>
      </c>
      <c r="O91" s="256" t="str">
        <f t="shared" ref="O91:AR91" si="11">IF(O90="","",((N91+O90)))</f>
        <v/>
      </c>
      <c r="P91" s="256" t="str">
        <f t="shared" si="11"/>
        <v/>
      </c>
      <c r="Q91" s="256" t="str">
        <f t="shared" si="11"/>
        <v/>
      </c>
      <c r="R91" s="256" t="str">
        <f t="shared" si="11"/>
        <v/>
      </c>
      <c r="S91" s="256" t="str">
        <f t="shared" si="11"/>
        <v/>
      </c>
      <c r="T91" s="256" t="str">
        <f t="shared" si="11"/>
        <v/>
      </c>
      <c r="U91" s="256" t="str">
        <f t="shared" si="11"/>
        <v/>
      </c>
      <c r="V91" s="256" t="str">
        <f t="shared" si="11"/>
        <v/>
      </c>
      <c r="W91" s="256" t="str">
        <f t="shared" si="11"/>
        <v/>
      </c>
      <c r="X91" s="256" t="str">
        <f t="shared" si="11"/>
        <v/>
      </c>
      <c r="Y91" s="256" t="str">
        <f t="shared" si="11"/>
        <v/>
      </c>
      <c r="Z91" s="256" t="str">
        <f t="shared" si="11"/>
        <v/>
      </c>
      <c r="AA91" s="256" t="str">
        <f t="shared" si="11"/>
        <v/>
      </c>
      <c r="AB91" s="256" t="str">
        <f t="shared" si="11"/>
        <v/>
      </c>
      <c r="AC91" s="256" t="str">
        <f t="shared" si="11"/>
        <v/>
      </c>
      <c r="AD91" s="256" t="str">
        <f t="shared" si="11"/>
        <v/>
      </c>
      <c r="AE91" s="256" t="str">
        <f t="shared" si="11"/>
        <v/>
      </c>
      <c r="AF91" s="256" t="str">
        <f t="shared" si="11"/>
        <v/>
      </c>
      <c r="AG91" s="256" t="str">
        <f t="shared" si="11"/>
        <v/>
      </c>
      <c r="AH91" s="256" t="str">
        <f t="shared" si="11"/>
        <v/>
      </c>
      <c r="AI91" s="256" t="str">
        <f t="shared" si="11"/>
        <v/>
      </c>
      <c r="AJ91" s="256" t="str">
        <f t="shared" si="11"/>
        <v/>
      </c>
      <c r="AK91" s="256" t="str">
        <f t="shared" si="11"/>
        <v/>
      </c>
      <c r="AL91" s="256" t="str">
        <f t="shared" si="11"/>
        <v/>
      </c>
      <c r="AM91" s="256" t="str">
        <f t="shared" si="11"/>
        <v/>
      </c>
      <c r="AN91" s="256" t="str">
        <f t="shared" si="11"/>
        <v/>
      </c>
      <c r="AO91" s="256" t="str">
        <f t="shared" si="11"/>
        <v/>
      </c>
      <c r="AP91" s="256" t="str">
        <f t="shared" si="11"/>
        <v/>
      </c>
      <c r="AQ91" s="256" t="str">
        <f t="shared" si="11"/>
        <v/>
      </c>
      <c r="AR91" s="255" t="str">
        <f t="shared" si="11"/>
        <v/>
      </c>
    </row>
    <row r="92" spans="2:44" ht="13.8" thickBot="1">
      <c r="J92" s="302"/>
      <c r="K92" s="302"/>
      <c r="L92" s="302"/>
      <c r="M92" s="302"/>
      <c r="N92" s="302"/>
      <c r="O92" s="301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</row>
    <row r="93" spans="2:44">
      <c r="J93" s="308"/>
      <c r="K93" s="308"/>
      <c r="L93" s="254" t="s">
        <v>225</v>
      </c>
      <c r="M93" s="253" t="str">
        <f>IFERROR(IRR(N89:AR89), "PROJET NON RENTABLE")</f>
        <v>PROJET NON RENTABLE</v>
      </c>
      <c r="N93" s="309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</row>
    <row r="94" spans="2:44" ht="13.8" thickBot="1">
      <c r="J94" s="305"/>
      <c r="K94" s="305"/>
      <c r="L94" s="252" t="s">
        <v>224</v>
      </c>
      <c r="M94" s="412" cm="1">
        <f t="array" ref="M94">IFERROR(INDEX(N80:AR80,MATCH(TRUE,N91:AR91&gt;0,0)),"PROJET NON RENTABLE")</f>
        <v>0</v>
      </c>
      <c r="N94" s="307"/>
      <c r="O94" s="305"/>
      <c r="P94" s="305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</row>
    <row r="95" spans="2:44">
      <c r="J95" s="302"/>
      <c r="K95" s="302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</row>
    <row r="96" spans="2:44" ht="13.8" thickBot="1">
      <c r="J96" s="302"/>
      <c r="K96" s="302"/>
      <c r="L96" s="302"/>
      <c r="M96" s="303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</row>
    <row r="97" spans="10:44" ht="16.2" thickBot="1">
      <c r="J97" s="826" t="s">
        <v>365</v>
      </c>
      <c r="K97" s="827"/>
      <c r="L97" s="827"/>
      <c r="M97" s="827"/>
      <c r="N97" s="827"/>
      <c r="O97" s="827"/>
      <c r="P97" s="827"/>
      <c r="Q97" s="827"/>
      <c r="R97" s="827"/>
      <c r="S97" s="827"/>
      <c r="T97" s="827"/>
      <c r="U97" s="827"/>
      <c r="V97" s="827"/>
      <c r="W97" s="827"/>
      <c r="X97" s="827"/>
      <c r="Y97" s="827"/>
      <c r="Z97" s="827"/>
      <c r="AA97" s="827"/>
      <c r="AB97" s="827"/>
      <c r="AC97" s="827"/>
      <c r="AD97" s="827"/>
      <c r="AE97" s="827"/>
      <c r="AF97" s="827"/>
      <c r="AG97" s="827"/>
      <c r="AH97" s="827"/>
      <c r="AI97" s="827"/>
      <c r="AJ97" s="827"/>
      <c r="AK97" s="827"/>
      <c r="AL97" s="827"/>
      <c r="AM97" s="827"/>
      <c r="AN97" s="827"/>
      <c r="AO97" s="827"/>
      <c r="AP97" s="827"/>
      <c r="AQ97" s="827"/>
      <c r="AR97" s="828"/>
    </row>
    <row r="98" spans="10:44" ht="21" thickBot="1"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1"/>
      <c r="AE98" s="261"/>
      <c r="AF98" s="261"/>
      <c r="AG98" s="261"/>
      <c r="AH98" s="261"/>
      <c r="AI98" s="261"/>
      <c r="AJ98" s="261"/>
      <c r="AK98" s="261"/>
      <c r="AL98" s="261"/>
      <c r="AM98" s="261"/>
      <c r="AN98" s="261"/>
      <c r="AO98" s="261"/>
      <c r="AP98" s="261"/>
      <c r="AQ98" s="261"/>
      <c r="AR98" s="261"/>
    </row>
    <row r="99" spans="10:44" ht="16.2" thickBot="1">
      <c r="J99" s="262"/>
      <c r="K99" s="262"/>
      <c r="L99" s="302"/>
      <c r="M99" s="301"/>
      <c r="N99" s="831" t="s">
        <v>366</v>
      </c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3"/>
    </row>
    <row r="100" spans="10:44" ht="16.2" thickBot="1">
      <c r="J100" s="262"/>
      <c r="K100" s="262"/>
      <c r="L100" s="302"/>
      <c r="M100" s="301"/>
      <c r="N100" s="300">
        <v>0</v>
      </c>
      <c r="O100" s="299">
        <v>1</v>
      </c>
      <c r="P100" s="299">
        <v>2</v>
      </c>
      <c r="Q100" s="299">
        <v>3</v>
      </c>
      <c r="R100" s="299">
        <v>4</v>
      </c>
      <c r="S100" s="299">
        <v>5</v>
      </c>
      <c r="T100" s="299">
        <v>6</v>
      </c>
      <c r="U100" s="299">
        <v>7</v>
      </c>
      <c r="V100" s="299">
        <v>8</v>
      </c>
      <c r="W100" s="299">
        <v>9</v>
      </c>
      <c r="X100" s="299">
        <v>10</v>
      </c>
      <c r="Y100" s="299">
        <v>11</v>
      </c>
      <c r="Z100" s="299">
        <v>12</v>
      </c>
      <c r="AA100" s="299">
        <v>13</v>
      </c>
      <c r="AB100" s="299">
        <v>14</v>
      </c>
      <c r="AC100" s="299">
        <v>15</v>
      </c>
      <c r="AD100" s="299">
        <v>16</v>
      </c>
      <c r="AE100" s="299">
        <v>17</v>
      </c>
      <c r="AF100" s="299">
        <v>18</v>
      </c>
      <c r="AG100" s="299">
        <v>19</v>
      </c>
      <c r="AH100" s="299">
        <v>20</v>
      </c>
      <c r="AI100" s="299">
        <v>21</v>
      </c>
      <c r="AJ100" s="299">
        <v>22</v>
      </c>
      <c r="AK100" s="299">
        <v>23</v>
      </c>
      <c r="AL100" s="299">
        <v>24</v>
      </c>
      <c r="AM100" s="299">
        <v>25</v>
      </c>
      <c r="AN100" s="299">
        <v>26</v>
      </c>
      <c r="AO100" s="299">
        <v>27</v>
      </c>
      <c r="AP100" s="299">
        <v>28</v>
      </c>
      <c r="AQ100" s="299">
        <v>29</v>
      </c>
      <c r="AR100" s="298">
        <v>30</v>
      </c>
    </row>
    <row r="101" spans="10:44" ht="20.399999999999999">
      <c r="J101" s="262"/>
      <c r="K101" s="262"/>
      <c r="L101" s="829" t="s">
        <v>354</v>
      </c>
      <c r="M101" s="297" t="s">
        <v>311</v>
      </c>
      <c r="N101" s="296">
        <f>(M55)</f>
        <v>0</v>
      </c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3"/>
    </row>
    <row r="102" spans="10:44" ht="21" thickBot="1">
      <c r="J102" s="262"/>
      <c r="K102" s="262"/>
      <c r="L102" s="830"/>
      <c r="M102" s="292" t="s">
        <v>314</v>
      </c>
      <c r="N102" s="290">
        <f>M56</f>
        <v>0</v>
      </c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  <c r="AO102" s="261"/>
      <c r="AP102" s="261"/>
      <c r="AQ102" s="261"/>
      <c r="AR102" s="288"/>
    </row>
    <row r="103" spans="10:44" ht="20.399999999999999">
      <c r="J103" s="262"/>
      <c r="K103" s="262"/>
      <c r="L103" s="829" t="s">
        <v>356</v>
      </c>
      <c r="M103" s="291" t="s">
        <v>357</v>
      </c>
      <c r="N103" s="290">
        <f>M57+M58</f>
        <v>0</v>
      </c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  <c r="AO103" s="261"/>
      <c r="AP103" s="261"/>
      <c r="AQ103" s="261"/>
      <c r="AR103" s="288"/>
    </row>
    <row r="104" spans="10:44" ht="16.2" thickBot="1">
      <c r="J104" s="262"/>
      <c r="K104" s="262"/>
      <c r="L104" s="830"/>
      <c r="M104" s="287" t="s">
        <v>358</v>
      </c>
      <c r="N104" s="278"/>
      <c r="O104" s="277" t="str">
        <f t="shared" ref="O104:AR104" si="12">IF(O100&lt;=$M$63,$M$62,"")</f>
        <v/>
      </c>
      <c r="P104" s="277" t="str">
        <f t="shared" si="12"/>
        <v/>
      </c>
      <c r="Q104" s="277" t="str">
        <f t="shared" si="12"/>
        <v/>
      </c>
      <c r="R104" s="277" t="str">
        <f t="shared" si="12"/>
        <v/>
      </c>
      <c r="S104" s="277" t="str">
        <f t="shared" si="12"/>
        <v/>
      </c>
      <c r="T104" s="277" t="str">
        <f t="shared" si="12"/>
        <v/>
      </c>
      <c r="U104" s="277" t="str">
        <f t="shared" si="12"/>
        <v/>
      </c>
      <c r="V104" s="277" t="str">
        <f t="shared" si="12"/>
        <v/>
      </c>
      <c r="W104" s="277" t="str">
        <f t="shared" si="12"/>
        <v/>
      </c>
      <c r="X104" s="277" t="str">
        <f t="shared" si="12"/>
        <v/>
      </c>
      <c r="Y104" s="277" t="str">
        <f t="shared" si="12"/>
        <v/>
      </c>
      <c r="Z104" s="277" t="str">
        <f t="shared" si="12"/>
        <v/>
      </c>
      <c r="AA104" s="277" t="str">
        <f t="shared" si="12"/>
        <v/>
      </c>
      <c r="AB104" s="277" t="str">
        <f t="shared" si="12"/>
        <v/>
      </c>
      <c r="AC104" s="277" t="str">
        <f t="shared" si="12"/>
        <v/>
      </c>
      <c r="AD104" s="277" t="str">
        <f t="shared" si="12"/>
        <v/>
      </c>
      <c r="AE104" s="277" t="str">
        <f t="shared" si="12"/>
        <v/>
      </c>
      <c r="AF104" s="277" t="str">
        <f t="shared" si="12"/>
        <v/>
      </c>
      <c r="AG104" s="277" t="str">
        <f t="shared" si="12"/>
        <v/>
      </c>
      <c r="AH104" s="277" t="str">
        <f t="shared" si="12"/>
        <v/>
      </c>
      <c r="AI104" s="277" t="str">
        <f t="shared" si="12"/>
        <v/>
      </c>
      <c r="AJ104" s="277" t="str">
        <f t="shared" si="12"/>
        <v/>
      </c>
      <c r="AK104" s="277" t="str">
        <f t="shared" si="12"/>
        <v/>
      </c>
      <c r="AL104" s="277" t="str">
        <f t="shared" si="12"/>
        <v/>
      </c>
      <c r="AM104" s="277" t="str">
        <f t="shared" si="12"/>
        <v/>
      </c>
      <c r="AN104" s="277" t="str">
        <f t="shared" si="12"/>
        <v/>
      </c>
      <c r="AO104" s="277" t="str">
        <f t="shared" si="12"/>
        <v/>
      </c>
      <c r="AP104" s="277" t="str">
        <f t="shared" si="12"/>
        <v/>
      </c>
      <c r="AQ104" s="277" t="str">
        <f t="shared" si="12"/>
        <v/>
      </c>
      <c r="AR104" s="276" t="str">
        <f t="shared" si="12"/>
        <v/>
      </c>
    </row>
    <row r="105" spans="10:44" ht="16.2" thickBot="1">
      <c r="J105" s="262"/>
      <c r="K105" s="262"/>
      <c r="L105" s="286" t="s">
        <v>360</v>
      </c>
      <c r="M105" s="285" t="s">
        <v>360</v>
      </c>
      <c r="N105" s="274"/>
      <c r="O105" s="284">
        <f>IF(O100&lt;=$K$16,($M$61+$M$64+$M$65+$M$66+$M$67+$M$68+$M$69+$M$70+$M$71+$M$72),"")</f>
        <v>0</v>
      </c>
      <c r="P105" s="284">
        <f>IF(P100&lt;=$K$16,O105*(1+Paramètres!$B$20),"")</f>
        <v>0</v>
      </c>
      <c r="Q105" s="284">
        <f>IF(Q100&lt;=$K$16,P105*(1+Paramètres!$B$20),"")</f>
        <v>0</v>
      </c>
      <c r="R105" s="284">
        <f>IF(R100&lt;=$K$16,Q105*(1+Paramètres!$B$20),"")</f>
        <v>0</v>
      </c>
      <c r="S105" s="284">
        <f>IF(S100&lt;=$K$16,R105*(1+Paramètres!$B$20),"")</f>
        <v>0</v>
      </c>
      <c r="T105" s="284">
        <f>IF(T100&lt;=$K$16,S105*(1+Paramètres!$B$20),"")</f>
        <v>0</v>
      </c>
      <c r="U105" s="284">
        <f>IF(U100&lt;=$K$16,T105*(1+Paramètres!$B$20),"")</f>
        <v>0</v>
      </c>
      <c r="V105" s="284">
        <f>IF(V100&lt;=$K$16,U105*(1+Paramètres!$B$20),"")</f>
        <v>0</v>
      </c>
      <c r="W105" s="284">
        <f>IF(W100&lt;=$K$16,V105*(1+Paramètres!$B$20),"")</f>
        <v>0</v>
      </c>
      <c r="X105" s="284">
        <f>IF(X100&lt;=$K$16,W105*(1+Paramètres!$B$20),"")</f>
        <v>0</v>
      </c>
      <c r="Y105" s="284">
        <f>IF(Y100&lt;=$K$16,X105*(1+Paramètres!$B$20),"")</f>
        <v>0</v>
      </c>
      <c r="Z105" s="284">
        <f>IF(Z100&lt;=$K$16,Y105*(1+Paramètres!$B$20),"")</f>
        <v>0</v>
      </c>
      <c r="AA105" s="284">
        <f>IF(AA100&lt;=$K$16,Z105*(1+Paramètres!$B$20),"")</f>
        <v>0</v>
      </c>
      <c r="AB105" s="284">
        <f>IF(AB100&lt;=$K$16,AA105*(1+Paramètres!$B$20),"")</f>
        <v>0</v>
      </c>
      <c r="AC105" s="284">
        <f>IF(AC100&lt;=$K$16,AB105*(1+Paramètres!$B$20),"")</f>
        <v>0</v>
      </c>
      <c r="AD105" s="284" t="str">
        <f>IF(AD100&lt;=$K$16,AC105*(1+Paramètres!$B$20),"")</f>
        <v/>
      </c>
      <c r="AE105" s="284" t="str">
        <f>IF(AE100&lt;=$K$16,AD105*(1+Paramètres!$B$20),"")</f>
        <v/>
      </c>
      <c r="AF105" s="284" t="str">
        <f>IF(AF100&lt;=$K$16,AE105*(1+Paramètres!$B$20),"")</f>
        <v/>
      </c>
      <c r="AG105" s="284" t="str">
        <f>IF(AG100&lt;=$K$16,AF105*(1+Paramètres!$B$20),"")</f>
        <v/>
      </c>
      <c r="AH105" s="284" t="str">
        <f>IF(AH100&lt;=$K$16,AG105*(1+Paramètres!$B$20),"")</f>
        <v/>
      </c>
      <c r="AI105" s="284" t="str">
        <f>IF(AI100&lt;=$K$16,AH105*(1+Paramètres!$B$20),"")</f>
        <v/>
      </c>
      <c r="AJ105" s="284" t="str">
        <f>IF(AJ100&lt;=$K$16,AI105*(1+Paramètres!$B$20),"")</f>
        <v/>
      </c>
      <c r="AK105" s="284" t="str">
        <f>IF(AK100&lt;=$K$16,AJ105*(1+Paramètres!$B$20),"")</f>
        <v/>
      </c>
      <c r="AL105" s="284" t="str">
        <f>IF(AL100&lt;=$K$16,AK105*(1+Paramètres!$B$20),"")</f>
        <v/>
      </c>
      <c r="AM105" s="284" t="str">
        <f>IF(AM100&lt;=$K$16,AL105*(1+Paramètres!$B$20),"")</f>
        <v/>
      </c>
      <c r="AN105" s="284" t="str">
        <f>IF(AN100&lt;=$K$16,AM105*(1+Paramètres!$B$20),"")</f>
        <v/>
      </c>
      <c r="AO105" s="284" t="str">
        <f>IF(AO100&lt;=$K$16,AN105*(1+Paramètres!$B$20),"")</f>
        <v/>
      </c>
      <c r="AP105" s="284" t="str">
        <f>IF(AP100&lt;=$K$16,AO105*(1+Paramètres!$B$20),"")</f>
        <v/>
      </c>
      <c r="AQ105" s="284" t="str">
        <f>IF(AQ100&lt;=$K$16,AP105*(1+Paramètres!$B$20),"")</f>
        <v/>
      </c>
      <c r="AR105" s="283" t="str">
        <f>IF(AR100&lt;=$K$16,AQ105*(1+Paramètres!$B$20),"")</f>
        <v/>
      </c>
    </row>
    <row r="106" spans="10:44" ht="15.6">
      <c r="J106" s="262"/>
      <c r="K106" s="262"/>
      <c r="L106" s="829" t="s">
        <v>367</v>
      </c>
      <c r="M106" s="282" t="s">
        <v>46</v>
      </c>
      <c r="N106" s="281"/>
      <c r="O106" s="280">
        <f>IF(AND(O100=1,K23="OUI"),(Paramètres!$B$22*'AA3'!M55),"")</f>
        <v>0</v>
      </c>
      <c r="P106" s="280" t="str">
        <f>IF(P100=1,(Paramètres!$B$22*'AA3'!N55),"")</f>
        <v/>
      </c>
      <c r="Q106" s="280" t="str">
        <f>IF(Q100=1,(Paramètres!$B$22*'AA3'!O55),"")</f>
        <v/>
      </c>
      <c r="R106" s="280" t="str">
        <f>IF(R100=1,(Paramètres!$B$22*'AA3'!P55),"")</f>
        <v/>
      </c>
      <c r="S106" s="280" t="str">
        <f>IF(S100=1,(Paramètres!$B$22*'AA3'!Q55),"")</f>
        <v/>
      </c>
      <c r="T106" s="280" t="str">
        <f>IF(T100=1,(Paramètres!$B$22*'AA3'!R55),"")</f>
        <v/>
      </c>
      <c r="U106" s="280" t="str">
        <f>IF(U100=1,(Paramètres!$B$22*'AA3'!S55),"")</f>
        <v/>
      </c>
      <c r="V106" s="280" t="str">
        <f>IF(V100=1,(Paramètres!$B$22*'AA3'!T55),"")</f>
        <v/>
      </c>
      <c r="W106" s="280" t="str">
        <f>IF(W100=1,(Paramètres!$B$22*'AA3'!U55),"")</f>
        <v/>
      </c>
      <c r="X106" s="280" t="str">
        <f>IF(X100=1,(Paramètres!$B$22*'AA3'!V55),"")</f>
        <v/>
      </c>
      <c r="Y106" s="280" t="str">
        <f>IF(Y100=1,(Paramètres!$B$22*'AA3'!W55),"")</f>
        <v/>
      </c>
      <c r="Z106" s="280" t="str">
        <f>IF(Z100=1,(Paramètres!$B$22*'AA3'!X55),"")</f>
        <v/>
      </c>
      <c r="AA106" s="280" t="str">
        <f>IF(AA100=1,(Paramètres!$B$22*'AA3'!Y55),"")</f>
        <v/>
      </c>
      <c r="AB106" s="280" t="str">
        <f>IF(AB100=1,(Paramètres!$B$22*'AA3'!Z55),"")</f>
        <v/>
      </c>
      <c r="AC106" s="280" t="str">
        <f>IF(AC100=1,(Paramètres!$B$22*'AA3'!AA55),"")</f>
        <v/>
      </c>
      <c r="AD106" s="280" t="str">
        <f>IF(AD100=1,(Paramètres!$B$22*'AA3'!AB55),"")</f>
        <v/>
      </c>
      <c r="AE106" s="280" t="str">
        <f>IF(AE100=1,(Paramètres!$B$22*'AA3'!AC55),"")</f>
        <v/>
      </c>
      <c r="AF106" s="280" t="str">
        <f>IF(AF100=1,(Paramètres!$B$22*'AA3'!AD55),"")</f>
        <v/>
      </c>
      <c r="AG106" s="280" t="str">
        <f>IF(AG100=1,(Paramètres!$B$22*'AA3'!AE55),"")</f>
        <v/>
      </c>
      <c r="AH106" s="280" t="str">
        <f>IF(AH100=1,(Paramètres!$B$22*'AA3'!AF55),"")</f>
        <v/>
      </c>
      <c r="AI106" s="280" t="str">
        <f>IF(AI100=1,(Paramètres!$B$22*'AA3'!AG55),"")</f>
        <v/>
      </c>
      <c r="AJ106" s="280" t="str">
        <f>IF(AJ100=1,(Paramètres!$B$22*'AA3'!AH55),"")</f>
        <v/>
      </c>
      <c r="AK106" s="280" t="str">
        <f>IF(AK100=1,(Paramètres!$B$22*'AA3'!AI55),"")</f>
        <v/>
      </c>
      <c r="AL106" s="280" t="str">
        <f>IF(AL100=1,(Paramètres!$B$22*'AA3'!AJ55),"")</f>
        <v/>
      </c>
      <c r="AM106" s="280" t="str">
        <f>IF(AM100=1,(Paramètres!$B$22*'AA3'!AK55),"")</f>
        <v/>
      </c>
      <c r="AN106" s="280" t="str">
        <f>IF(AN100=1,(Paramètres!$B$22*'AA3'!AL55),"")</f>
        <v/>
      </c>
      <c r="AO106" s="280" t="str">
        <f>IF(AO100=1,(Paramètres!$B$22*'AA3'!AM55),"")</f>
        <v/>
      </c>
      <c r="AP106" s="280" t="str">
        <f>IF(AP100=1,(Paramètres!$B$22*'AA3'!AN55),"")</f>
        <v/>
      </c>
      <c r="AQ106" s="280" t="str">
        <f>IF(AQ100=1,(Paramètres!$B$22*'AA3'!AO55),"")</f>
        <v/>
      </c>
      <c r="AR106" s="279" t="str">
        <f>IF(AR100=1,(Paramètres!$B$22*'AA3'!AP55),"")</f>
        <v/>
      </c>
    </row>
    <row r="107" spans="10:44" ht="15.6">
      <c r="J107" s="262"/>
      <c r="K107" s="262"/>
      <c r="L107" s="843"/>
      <c r="M107" s="275" t="s">
        <v>368</v>
      </c>
      <c r="N107" s="278"/>
      <c r="O107" s="277">
        <f t="shared" ref="O107:AR107" si="13">IF(O100&lt;=$K$20,$M$55/$K$20,"")</f>
        <v>0</v>
      </c>
      <c r="P107" s="277">
        <f t="shared" si="13"/>
        <v>0</v>
      </c>
      <c r="Q107" s="277">
        <f t="shared" si="13"/>
        <v>0</v>
      </c>
      <c r="R107" s="277">
        <f t="shared" si="13"/>
        <v>0</v>
      </c>
      <c r="S107" s="277">
        <f t="shared" si="13"/>
        <v>0</v>
      </c>
      <c r="T107" s="277">
        <f t="shared" si="13"/>
        <v>0</v>
      </c>
      <c r="U107" s="277">
        <f t="shared" si="13"/>
        <v>0</v>
      </c>
      <c r="V107" s="277">
        <f t="shared" si="13"/>
        <v>0</v>
      </c>
      <c r="W107" s="277">
        <f t="shared" si="13"/>
        <v>0</v>
      </c>
      <c r="X107" s="277">
        <f t="shared" si="13"/>
        <v>0</v>
      </c>
      <c r="Y107" s="277" t="str">
        <f t="shared" si="13"/>
        <v/>
      </c>
      <c r="Z107" s="277" t="str">
        <f t="shared" si="13"/>
        <v/>
      </c>
      <c r="AA107" s="277" t="str">
        <f t="shared" si="13"/>
        <v/>
      </c>
      <c r="AB107" s="277" t="str">
        <f t="shared" si="13"/>
        <v/>
      </c>
      <c r="AC107" s="277" t="str">
        <f t="shared" si="13"/>
        <v/>
      </c>
      <c r="AD107" s="277" t="str">
        <f t="shared" si="13"/>
        <v/>
      </c>
      <c r="AE107" s="277" t="str">
        <f t="shared" si="13"/>
        <v/>
      </c>
      <c r="AF107" s="277" t="str">
        <f t="shared" si="13"/>
        <v/>
      </c>
      <c r="AG107" s="277" t="str">
        <f t="shared" si="13"/>
        <v/>
      </c>
      <c r="AH107" s="277" t="str">
        <f t="shared" si="13"/>
        <v/>
      </c>
      <c r="AI107" s="277" t="str">
        <f t="shared" si="13"/>
        <v/>
      </c>
      <c r="AJ107" s="277" t="str">
        <f t="shared" si="13"/>
        <v/>
      </c>
      <c r="AK107" s="277" t="str">
        <f t="shared" si="13"/>
        <v/>
      </c>
      <c r="AL107" s="277" t="str">
        <f t="shared" si="13"/>
        <v/>
      </c>
      <c r="AM107" s="277" t="str">
        <f t="shared" si="13"/>
        <v/>
      </c>
      <c r="AN107" s="277" t="str">
        <f t="shared" si="13"/>
        <v/>
      </c>
      <c r="AO107" s="277" t="str">
        <f t="shared" si="13"/>
        <v/>
      </c>
      <c r="AP107" s="277" t="str">
        <f t="shared" si="13"/>
        <v/>
      </c>
      <c r="AQ107" s="277" t="str">
        <f t="shared" si="13"/>
        <v/>
      </c>
      <c r="AR107" s="276" t="str">
        <f t="shared" si="13"/>
        <v/>
      </c>
    </row>
    <row r="108" spans="10:44" ht="16.2" thickBot="1">
      <c r="J108" s="262"/>
      <c r="K108" s="262"/>
      <c r="L108" s="843"/>
      <c r="M108" s="275" t="s">
        <v>369</v>
      </c>
      <c r="N108" s="274"/>
      <c r="O108" s="273" t="str">
        <f t="shared" ref="O108:AR108" si="14">IF(SUM(O104:O107)=0,"",SUM(O104:O107))</f>
        <v/>
      </c>
      <c r="P108" s="273" t="str">
        <f t="shared" si="14"/>
        <v/>
      </c>
      <c r="Q108" s="273" t="str">
        <f t="shared" si="14"/>
        <v/>
      </c>
      <c r="R108" s="273" t="str">
        <f t="shared" si="14"/>
        <v/>
      </c>
      <c r="S108" s="273" t="str">
        <f t="shared" si="14"/>
        <v/>
      </c>
      <c r="T108" s="273" t="str">
        <f t="shared" si="14"/>
        <v/>
      </c>
      <c r="U108" s="273" t="str">
        <f t="shared" si="14"/>
        <v/>
      </c>
      <c r="V108" s="273" t="str">
        <f t="shared" si="14"/>
        <v/>
      </c>
      <c r="W108" s="273" t="str">
        <f t="shared" si="14"/>
        <v/>
      </c>
      <c r="X108" s="273" t="str">
        <f t="shared" si="14"/>
        <v/>
      </c>
      <c r="Y108" s="273" t="str">
        <f t="shared" si="14"/>
        <v/>
      </c>
      <c r="Z108" s="273" t="str">
        <f t="shared" si="14"/>
        <v/>
      </c>
      <c r="AA108" s="273" t="str">
        <f t="shared" si="14"/>
        <v/>
      </c>
      <c r="AB108" s="273" t="str">
        <f t="shared" si="14"/>
        <v/>
      </c>
      <c r="AC108" s="273" t="str">
        <f t="shared" si="14"/>
        <v/>
      </c>
      <c r="AD108" s="273" t="str">
        <f t="shared" si="14"/>
        <v/>
      </c>
      <c r="AE108" s="273" t="str">
        <f t="shared" si="14"/>
        <v/>
      </c>
      <c r="AF108" s="273" t="str">
        <f t="shared" si="14"/>
        <v/>
      </c>
      <c r="AG108" s="273" t="str">
        <f t="shared" si="14"/>
        <v/>
      </c>
      <c r="AH108" s="273" t="str">
        <f t="shared" si="14"/>
        <v/>
      </c>
      <c r="AI108" s="273" t="str">
        <f t="shared" si="14"/>
        <v/>
      </c>
      <c r="AJ108" s="273" t="str">
        <f t="shared" si="14"/>
        <v/>
      </c>
      <c r="AK108" s="273" t="str">
        <f t="shared" si="14"/>
        <v/>
      </c>
      <c r="AL108" s="273" t="str">
        <f t="shared" si="14"/>
        <v/>
      </c>
      <c r="AM108" s="273" t="str">
        <f t="shared" si="14"/>
        <v/>
      </c>
      <c r="AN108" s="273" t="str">
        <f t="shared" si="14"/>
        <v/>
      </c>
      <c r="AO108" s="273" t="str">
        <f t="shared" si="14"/>
        <v/>
      </c>
      <c r="AP108" s="273" t="str">
        <f t="shared" si="14"/>
        <v/>
      </c>
      <c r="AQ108" s="273" t="str">
        <f t="shared" si="14"/>
        <v/>
      </c>
      <c r="AR108" s="272" t="str">
        <f t="shared" si="14"/>
        <v/>
      </c>
    </row>
    <row r="109" spans="10:44" ht="16.2" thickBot="1">
      <c r="J109" s="262"/>
      <c r="K109" s="262"/>
      <c r="L109" s="830"/>
      <c r="M109" s="271" t="s">
        <v>370</v>
      </c>
      <c r="N109" s="270">
        <f>N102*Paramètres!$B$21</f>
        <v>0</v>
      </c>
      <c r="O109" s="269" t="str">
        <f>IF(N(O108)&gt;0,O108*Paramètres!$B$21,"")</f>
        <v/>
      </c>
      <c r="P109" s="269" t="str">
        <f>IF(N(P108)&gt;0,P108*Paramètres!$B$21,"")</f>
        <v/>
      </c>
      <c r="Q109" s="269" t="str">
        <f>IF(N(Q108)&gt;0,Q108*Paramètres!$B$21,"")</f>
        <v/>
      </c>
      <c r="R109" s="269" t="str">
        <f>IF(N(R108)&gt;0,R108*Paramètres!$B$21,"")</f>
        <v/>
      </c>
      <c r="S109" s="269" t="str">
        <f>IF(N(S108)&gt;0,S108*Paramètres!$B$21,"")</f>
        <v/>
      </c>
      <c r="T109" s="269" t="str">
        <f>IF(N(T108)&gt;0,T108*Paramètres!$B$21,"")</f>
        <v/>
      </c>
      <c r="U109" s="269" t="str">
        <f>IF(N(U108)&gt;0,U108*Paramètres!$B$21,"")</f>
        <v/>
      </c>
      <c r="V109" s="269" t="str">
        <f>IF(N(V108)&gt;0,V108*Paramètres!$B$21,"")</f>
        <v/>
      </c>
      <c r="W109" s="269" t="str">
        <f>IF(N(W108)&gt;0,W108*Paramètres!$B$21,"")</f>
        <v/>
      </c>
      <c r="X109" s="269" t="str">
        <f>IF(N(X108)&gt;0,X108*Paramètres!$B$21,"")</f>
        <v/>
      </c>
      <c r="Y109" s="269" t="str">
        <f>IF(N(Y108)&gt;0,Y108*Paramètres!$B$21,"")</f>
        <v/>
      </c>
      <c r="Z109" s="269" t="str">
        <f>IF(N(Z108)&gt;0,Z108*Paramètres!$B$21,"")</f>
        <v/>
      </c>
      <c r="AA109" s="269" t="str">
        <f>IF(N(AA108)&gt;0,AA108*Paramètres!$B$21,"")</f>
        <v/>
      </c>
      <c r="AB109" s="269" t="str">
        <f>IF(N(AB108)&gt;0,AB108*Paramètres!$B$21,"")</f>
        <v/>
      </c>
      <c r="AC109" s="269" t="str">
        <f>IF(N(AC108)&gt;0,AC108*Paramètres!$B$21,"")</f>
        <v/>
      </c>
      <c r="AD109" s="269" t="str">
        <f>IF(N(AD108)&gt;0,AD108*Paramètres!$B$21,"")</f>
        <v/>
      </c>
      <c r="AE109" s="269" t="str">
        <f>IF(N(AE108)&gt;0,AE108*Paramètres!$B$21,"")</f>
        <v/>
      </c>
      <c r="AF109" s="269" t="str">
        <f>IF(N(AF108)&gt;0,AF108*Paramètres!$B$21,"")</f>
        <v/>
      </c>
      <c r="AG109" s="269" t="str">
        <f>IF(N(AG108)&gt;0,AG108*Paramètres!$B$21,"")</f>
        <v/>
      </c>
      <c r="AH109" s="269" t="str">
        <f>IF(N(AH108)&gt;0,AH108*Paramètres!$B$21,"")</f>
        <v/>
      </c>
      <c r="AI109" s="269" t="str">
        <f>IF(N(AI108)&gt;0,AI108*Paramètres!$B$21,"")</f>
        <v/>
      </c>
      <c r="AJ109" s="269" t="str">
        <f>IF(N(AJ108)&gt;0,AJ108*Paramètres!$B$21,"")</f>
        <v/>
      </c>
      <c r="AK109" s="269" t="str">
        <f>IF(N(AK108)&gt;0,AK108*Paramètres!$B$21,"")</f>
        <v/>
      </c>
      <c r="AL109" s="269" t="str">
        <f>IF(N(AL108)&gt;0,AL108*Paramètres!$B$21,"")</f>
        <v/>
      </c>
      <c r="AM109" s="269" t="str">
        <f>IF(N(AM108)&gt;0,AM108*Paramètres!$B$21,"")</f>
        <v/>
      </c>
      <c r="AN109" s="269" t="str">
        <f>IF(N(AN108)&gt;0,AN108*Paramètres!$B$21,"")</f>
        <v/>
      </c>
      <c r="AO109" s="269" t="str">
        <f>IF(N(AO108)&gt;0,AO108*Paramètres!$B$21,"")</f>
        <v/>
      </c>
      <c r="AP109" s="269" t="str">
        <f>IF(N(AP108)&gt;0,AP108*Paramètres!$B$21,"")</f>
        <v/>
      </c>
      <c r="AQ109" s="269" t="str">
        <f>IF(N(AQ108)&gt;0,AQ108*Paramètres!$B$21,"")</f>
        <v/>
      </c>
      <c r="AR109" s="268" t="str">
        <f>IF(N(AR108)&gt;0,AR108*Paramètres!$B$21,"")</f>
        <v/>
      </c>
    </row>
    <row r="110" spans="10:44" ht="16.2" thickBot="1">
      <c r="J110" s="262"/>
      <c r="K110" s="262"/>
      <c r="L110" s="267" t="s">
        <v>361</v>
      </c>
      <c r="M110" s="266" t="s">
        <v>319</v>
      </c>
      <c r="N110" s="265" t="str">
        <f t="shared" ref="N110:AR110" si="15">IF(N100=$K$16,$M$59,"")</f>
        <v/>
      </c>
      <c r="O110" s="264" t="str">
        <f t="shared" si="15"/>
        <v/>
      </c>
      <c r="P110" s="264" t="str">
        <f t="shared" si="15"/>
        <v/>
      </c>
      <c r="Q110" s="264" t="str">
        <f t="shared" si="15"/>
        <v/>
      </c>
      <c r="R110" s="264" t="str">
        <f t="shared" si="15"/>
        <v/>
      </c>
      <c r="S110" s="264" t="str">
        <f t="shared" si="15"/>
        <v/>
      </c>
      <c r="T110" s="264" t="str">
        <f t="shared" si="15"/>
        <v/>
      </c>
      <c r="U110" s="264" t="str">
        <f t="shared" si="15"/>
        <v/>
      </c>
      <c r="V110" s="264" t="str">
        <f t="shared" si="15"/>
        <v/>
      </c>
      <c r="W110" s="264" t="str">
        <f t="shared" si="15"/>
        <v/>
      </c>
      <c r="X110" s="264" t="str">
        <f t="shared" si="15"/>
        <v/>
      </c>
      <c r="Y110" s="264" t="str">
        <f t="shared" si="15"/>
        <v/>
      </c>
      <c r="Z110" s="264" t="str">
        <f t="shared" si="15"/>
        <v/>
      </c>
      <c r="AA110" s="264" t="str">
        <f t="shared" si="15"/>
        <v/>
      </c>
      <c r="AB110" s="264" t="str">
        <f t="shared" si="15"/>
        <v/>
      </c>
      <c r="AC110" s="264">
        <f t="shared" si="15"/>
        <v>0</v>
      </c>
      <c r="AD110" s="264" t="str">
        <f t="shared" si="15"/>
        <v/>
      </c>
      <c r="AE110" s="264" t="str">
        <f t="shared" si="15"/>
        <v/>
      </c>
      <c r="AF110" s="264" t="str">
        <f t="shared" si="15"/>
        <v/>
      </c>
      <c r="AG110" s="264" t="str">
        <f t="shared" si="15"/>
        <v/>
      </c>
      <c r="AH110" s="264" t="str">
        <f t="shared" si="15"/>
        <v/>
      </c>
      <c r="AI110" s="264" t="str">
        <f t="shared" si="15"/>
        <v/>
      </c>
      <c r="AJ110" s="264" t="str">
        <f t="shared" si="15"/>
        <v/>
      </c>
      <c r="AK110" s="264" t="str">
        <f t="shared" si="15"/>
        <v/>
      </c>
      <c r="AL110" s="264" t="str">
        <f t="shared" si="15"/>
        <v/>
      </c>
      <c r="AM110" s="264" t="str">
        <f t="shared" si="15"/>
        <v/>
      </c>
      <c r="AN110" s="264" t="str">
        <f t="shared" si="15"/>
        <v/>
      </c>
      <c r="AO110" s="264" t="str">
        <f t="shared" si="15"/>
        <v/>
      </c>
      <c r="AP110" s="264" t="str">
        <f t="shared" si="15"/>
        <v/>
      </c>
      <c r="AQ110" s="264" t="str">
        <f t="shared" si="15"/>
        <v/>
      </c>
      <c r="AR110" s="263" t="str">
        <f t="shared" si="15"/>
        <v/>
      </c>
    </row>
    <row r="111" spans="10:44" ht="16.2" thickBot="1">
      <c r="J111" s="262"/>
      <c r="K111" s="262"/>
      <c r="L111" s="841" t="s">
        <v>362</v>
      </c>
      <c r="M111" s="844"/>
      <c r="N111" s="260" t="str">
        <f>IF((SUM(N101:N103)-N109)=0,"",(SUM(N101:N103))-N109)</f>
        <v/>
      </c>
      <c r="O111" s="259" t="str">
        <f t="shared" ref="O111:AR111" si="16">IF(SUM(N(O104)+N(O105)-N(O109)+N(O110))=0,"",SUM(N(O104)+N(O105)-N(O109)+N(O110)))</f>
        <v/>
      </c>
      <c r="P111" s="259" t="str">
        <f t="shared" si="16"/>
        <v/>
      </c>
      <c r="Q111" s="259" t="str">
        <f t="shared" si="16"/>
        <v/>
      </c>
      <c r="R111" s="259" t="str">
        <f t="shared" si="16"/>
        <v/>
      </c>
      <c r="S111" s="259" t="str">
        <f t="shared" si="16"/>
        <v/>
      </c>
      <c r="T111" s="259" t="str">
        <f t="shared" si="16"/>
        <v/>
      </c>
      <c r="U111" s="259" t="str">
        <f t="shared" si="16"/>
        <v/>
      </c>
      <c r="V111" s="259" t="str">
        <f t="shared" si="16"/>
        <v/>
      </c>
      <c r="W111" s="259" t="str">
        <f t="shared" si="16"/>
        <v/>
      </c>
      <c r="X111" s="259" t="str">
        <f t="shared" si="16"/>
        <v/>
      </c>
      <c r="Y111" s="259" t="str">
        <f t="shared" si="16"/>
        <v/>
      </c>
      <c r="Z111" s="259" t="str">
        <f t="shared" si="16"/>
        <v/>
      </c>
      <c r="AA111" s="259" t="str">
        <f t="shared" si="16"/>
        <v/>
      </c>
      <c r="AB111" s="259" t="str">
        <f t="shared" si="16"/>
        <v/>
      </c>
      <c r="AC111" s="259" t="str">
        <f t="shared" si="16"/>
        <v/>
      </c>
      <c r="AD111" s="259" t="str">
        <f t="shared" si="16"/>
        <v/>
      </c>
      <c r="AE111" s="259" t="str">
        <f t="shared" si="16"/>
        <v/>
      </c>
      <c r="AF111" s="259" t="str">
        <f t="shared" si="16"/>
        <v/>
      </c>
      <c r="AG111" s="259" t="str">
        <f t="shared" si="16"/>
        <v/>
      </c>
      <c r="AH111" s="259" t="str">
        <f t="shared" si="16"/>
        <v/>
      </c>
      <c r="AI111" s="259" t="str">
        <f t="shared" si="16"/>
        <v/>
      </c>
      <c r="AJ111" s="259" t="str">
        <f t="shared" si="16"/>
        <v/>
      </c>
      <c r="AK111" s="259" t="str">
        <f t="shared" si="16"/>
        <v/>
      </c>
      <c r="AL111" s="259" t="str">
        <f t="shared" si="16"/>
        <v/>
      </c>
      <c r="AM111" s="259" t="str">
        <f t="shared" si="16"/>
        <v/>
      </c>
      <c r="AN111" s="259" t="str">
        <f t="shared" si="16"/>
        <v/>
      </c>
      <c r="AO111" s="259" t="str">
        <f t="shared" si="16"/>
        <v/>
      </c>
      <c r="AP111" s="259" t="str">
        <f t="shared" si="16"/>
        <v/>
      </c>
      <c r="AQ111" s="259" t="str">
        <f t="shared" si="16"/>
        <v/>
      </c>
      <c r="AR111" s="258" t="str">
        <f t="shared" si="16"/>
        <v/>
      </c>
    </row>
    <row r="112" spans="10:44" ht="13.8" thickBot="1">
      <c r="J112" s="250"/>
      <c r="K112" s="250"/>
      <c r="L112" s="841" t="s">
        <v>363</v>
      </c>
      <c r="M112" s="844"/>
      <c r="N112" s="260" t="str">
        <f>IF(N111="","",((N111)/(1+Paramètres!$B$19)^N100))</f>
        <v/>
      </c>
      <c r="O112" s="259" t="str">
        <f>IF(O111="","",((O111)/(1+Paramètres!$B$19)^O100))</f>
        <v/>
      </c>
      <c r="P112" s="259" t="str">
        <f>IF(P111="","",((P111)/(1+Paramètres!$B$19)^P100))</f>
        <v/>
      </c>
      <c r="Q112" s="259" t="str">
        <f>IF(Q111="","",((Q111)/(1+Paramètres!$B$19)^Q100))</f>
        <v/>
      </c>
      <c r="R112" s="259" t="str">
        <f>IF(R111="","",((R111)/(1+Paramètres!$B$19)^R100))</f>
        <v/>
      </c>
      <c r="S112" s="259" t="str">
        <f>IF(S111="","",((S111)/(1+Paramètres!$B$19)^S100))</f>
        <v/>
      </c>
      <c r="T112" s="259" t="str">
        <f>IF(T111="","",((T111)/(1+Paramètres!$B$19)^T100))</f>
        <v/>
      </c>
      <c r="U112" s="259" t="str">
        <f>IF(U111="","",((U111)/(1+Paramètres!$B$19)^U100))</f>
        <v/>
      </c>
      <c r="V112" s="259" t="str">
        <f>IF(V111="","",((V111)/(1+Paramètres!$B$19)^V100))</f>
        <v/>
      </c>
      <c r="W112" s="259" t="str">
        <f>IF(W111="","",((W111)/(1+Paramètres!$B$19)^W100))</f>
        <v/>
      </c>
      <c r="X112" s="259" t="str">
        <f>IF(X111="","",((X111)/(1+Paramètres!$B$19)^X100))</f>
        <v/>
      </c>
      <c r="Y112" s="259" t="str">
        <f>IF(Y111="","",((Y111)/(1+Paramètres!$B$19)^Y100))</f>
        <v/>
      </c>
      <c r="Z112" s="259" t="str">
        <f>IF(Z111="","",((Z111)/(1+Paramètres!$B$19)^Z100))</f>
        <v/>
      </c>
      <c r="AA112" s="259" t="str">
        <f>IF(AA111="","",((AA111)/(1+Paramètres!$B$19)^AA100))</f>
        <v/>
      </c>
      <c r="AB112" s="259" t="str">
        <f>IF(AB111="","",((AB111)/(1+Paramètres!$B$19)^AB100))</f>
        <v/>
      </c>
      <c r="AC112" s="259" t="str">
        <f>IF(AC111="","",((AC111)/(1+Paramètres!$B$19)^AC100))</f>
        <v/>
      </c>
      <c r="AD112" s="259" t="str">
        <f>IF(AD111="","",((AD111)/(1+Paramètres!$B$19)^AD100))</f>
        <v/>
      </c>
      <c r="AE112" s="259" t="str">
        <f>IF(AE111="","",((AE111)/(1+Paramètres!$B$19)^AE100))</f>
        <v/>
      </c>
      <c r="AF112" s="259" t="str">
        <f>IF(AF111="","",((AF111)/(1+Paramètres!$B$19)^AF100))</f>
        <v/>
      </c>
      <c r="AG112" s="259" t="str">
        <f>IF(AG111="","",((AG111)/(1+Paramètres!$B$19)^AG100))</f>
        <v/>
      </c>
      <c r="AH112" s="259" t="str">
        <f>IF(AH111="","",((AH111)/(1+Paramètres!$B$19)^AH100))</f>
        <v/>
      </c>
      <c r="AI112" s="259" t="str">
        <f>IF(AI111="","",((AI111)/(1+Paramètres!$B$19)^AI100))</f>
        <v/>
      </c>
      <c r="AJ112" s="259" t="str">
        <f>IF(AJ111="","",((AJ111)/(1+Paramètres!$B$19)^AJ100))</f>
        <v/>
      </c>
      <c r="AK112" s="259" t="str">
        <f>IF(AK111="","",((AK111)/(1+Paramètres!$B$19)^AK100))</f>
        <v/>
      </c>
      <c r="AL112" s="259" t="str">
        <f>IF(AL111="","",((AL111)/(1+Paramètres!$B$19)^AL100))</f>
        <v/>
      </c>
      <c r="AM112" s="259" t="str">
        <f>IF(AM111="","",((AM111)/(1+Paramètres!$B$19)^AM100))</f>
        <v/>
      </c>
      <c r="AN112" s="259" t="str">
        <f>IF(AN111="","",((AN111)/(1+Paramètres!$B$19)^AN100))</f>
        <v/>
      </c>
      <c r="AO112" s="259" t="str">
        <f>IF(AO111="","",((AO111)/(1+Paramètres!$B$19)^AO100))</f>
        <v/>
      </c>
      <c r="AP112" s="259" t="str">
        <f>IF(AP111="","",((AP111)/(1+Paramètres!$B$19)^AP100))</f>
        <v/>
      </c>
      <c r="AQ112" s="259" t="str">
        <f>IF(AQ111="","",((AQ111)/(1+Paramètres!$B$19)^AQ100))</f>
        <v/>
      </c>
      <c r="AR112" s="258" t="str">
        <f>IF(AR111="","",((AR111)/(1+Paramètres!$B$19)^AR100))</f>
        <v/>
      </c>
    </row>
    <row r="113" spans="10:44" ht="13.8" thickBot="1">
      <c r="J113" s="250"/>
      <c r="K113" s="250"/>
      <c r="L113" s="841" t="s">
        <v>364</v>
      </c>
      <c r="M113" s="844"/>
      <c r="N113" s="257" t="str">
        <f>N112</f>
        <v/>
      </c>
      <c r="O113" s="256" t="str">
        <f t="shared" ref="O113:AR113" si="17">IF(O112="","",((N113+O90)))</f>
        <v/>
      </c>
      <c r="P113" s="256" t="str">
        <f t="shared" si="17"/>
        <v/>
      </c>
      <c r="Q113" s="256" t="str">
        <f t="shared" si="17"/>
        <v/>
      </c>
      <c r="R113" s="256" t="str">
        <f t="shared" si="17"/>
        <v/>
      </c>
      <c r="S113" s="256" t="str">
        <f t="shared" si="17"/>
        <v/>
      </c>
      <c r="T113" s="256" t="str">
        <f t="shared" si="17"/>
        <v/>
      </c>
      <c r="U113" s="256" t="str">
        <f t="shared" si="17"/>
        <v/>
      </c>
      <c r="V113" s="256" t="str">
        <f t="shared" si="17"/>
        <v/>
      </c>
      <c r="W113" s="256" t="str">
        <f t="shared" si="17"/>
        <v/>
      </c>
      <c r="X113" s="256" t="str">
        <f t="shared" si="17"/>
        <v/>
      </c>
      <c r="Y113" s="256" t="str">
        <f t="shared" si="17"/>
        <v/>
      </c>
      <c r="Z113" s="256" t="str">
        <f t="shared" si="17"/>
        <v/>
      </c>
      <c r="AA113" s="256" t="str">
        <f t="shared" si="17"/>
        <v/>
      </c>
      <c r="AB113" s="256" t="str">
        <f t="shared" si="17"/>
        <v/>
      </c>
      <c r="AC113" s="256" t="str">
        <f t="shared" si="17"/>
        <v/>
      </c>
      <c r="AD113" s="256" t="str">
        <f t="shared" si="17"/>
        <v/>
      </c>
      <c r="AE113" s="256" t="str">
        <f t="shared" si="17"/>
        <v/>
      </c>
      <c r="AF113" s="256" t="str">
        <f t="shared" si="17"/>
        <v/>
      </c>
      <c r="AG113" s="256" t="str">
        <f t="shared" si="17"/>
        <v/>
      </c>
      <c r="AH113" s="256" t="str">
        <f t="shared" si="17"/>
        <v/>
      </c>
      <c r="AI113" s="256" t="str">
        <f t="shared" si="17"/>
        <v/>
      </c>
      <c r="AJ113" s="256" t="str">
        <f t="shared" si="17"/>
        <v/>
      </c>
      <c r="AK113" s="256" t="str">
        <f t="shared" si="17"/>
        <v/>
      </c>
      <c r="AL113" s="256" t="str">
        <f t="shared" si="17"/>
        <v/>
      </c>
      <c r="AM113" s="256" t="str">
        <f t="shared" si="17"/>
        <v/>
      </c>
      <c r="AN113" s="256" t="str">
        <f t="shared" si="17"/>
        <v/>
      </c>
      <c r="AO113" s="256" t="str">
        <f t="shared" si="17"/>
        <v/>
      </c>
      <c r="AP113" s="256" t="str">
        <f t="shared" si="17"/>
        <v/>
      </c>
      <c r="AQ113" s="256" t="str">
        <f t="shared" si="17"/>
        <v/>
      </c>
      <c r="AR113" s="255" t="str">
        <f t="shared" si="17"/>
        <v/>
      </c>
    </row>
    <row r="114" spans="10:44" ht="13.8" thickBot="1"/>
    <row r="115" spans="10:44">
      <c r="L115" s="254" t="s">
        <v>225</v>
      </c>
      <c r="M115" s="253" t="str">
        <f>IFERROR(IRR(N111:AR111), "PROJET NON RENTABLE")</f>
        <v>PROJET NON RENTABLE</v>
      </c>
    </row>
    <row r="116" spans="10:44" ht="13.8" thickBot="1">
      <c r="L116" s="252" t="s">
        <v>224</v>
      </c>
      <c r="M116" s="412" cm="1">
        <f t="array" ref="M116">IFERROR(INDEX(N100:AR100,MATCH(TRUE,N113:AR113&gt;0,0)),"PROJET NON RENTABLE")</f>
        <v>0</v>
      </c>
    </row>
  </sheetData>
  <mergeCells count="63">
    <mergeCell ref="L103:L104"/>
    <mergeCell ref="L106:L109"/>
    <mergeCell ref="L111:M111"/>
    <mergeCell ref="L112:M112"/>
    <mergeCell ref="L113:M113"/>
    <mergeCell ref="L101:L102"/>
    <mergeCell ref="N79:AR79"/>
    <mergeCell ref="B80:H80"/>
    <mergeCell ref="E81:F81"/>
    <mergeCell ref="L81:L82"/>
    <mergeCell ref="L83:L85"/>
    <mergeCell ref="B87:F87"/>
    <mergeCell ref="L89:M89"/>
    <mergeCell ref="L90:M90"/>
    <mergeCell ref="L91:M91"/>
    <mergeCell ref="J97:AR97"/>
    <mergeCell ref="N99:AR99"/>
    <mergeCell ref="K67:K72"/>
    <mergeCell ref="B70:H70"/>
    <mergeCell ref="E71:F71"/>
    <mergeCell ref="B77:F77"/>
    <mergeCell ref="J77:AR77"/>
    <mergeCell ref="B58:E58"/>
    <mergeCell ref="B59:F59"/>
    <mergeCell ref="B60:F60"/>
    <mergeCell ref="B61:F61"/>
    <mergeCell ref="J61:J72"/>
    <mergeCell ref="B67:F67"/>
    <mergeCell ref="K62:K63"/>
    <mergeCell ref="B64:F64"/>
    <mergeCell ref="K64:K65"/>
    <mergeCell ref="B65:F65"/>
    <mergeCell ref="B66:F66"/>
    <mergeCell ref="N48:O48"/>
    <mergeCell ref="J51:Q51"/>
    <mergeCell ref="J54:N54"/>
    <mergeCell ref="J55:J59"/>
    <mergeCell ref="K55:K56"/>
    <mergeCell ref="K57:K58"/>
    <mergeCell ref="N47:O47"/>
    <mergeCell ref="B21:H21"/>
    <mergeCell ref="J26:Q26"/>
    <mergeCell ref="C31:F31"/>
    <mergeCell ref="N31:O31"/>
    <mergeCell ref="C33:F33"/>
    <mergeCell ref="N33:O33"/>
    <mergeCell ref="C35:F35"/>
    <mergeCell ref="N35:O35"/>
    <mergeCell ref="O37:O45"/>
    <mergeCell ref="B42:H42"/>
    <mergeCell ref="B46:H46"/>
    <mergeCell ref="B17:H17"/>
    <mergeCell ref="B1:H1"/>
    <mergeCell ref="B2:H2"/>
    <mergeCell ref="J2:AR2"/>
    <mergeCell ref="B3:H3"/>
    <mergeCell ref="F5:G5"/>
    <mergeCell ref="L6:M6"/>
    <mergeCell ref="L7:M7"/>
    <mergeCell ref="J8:K8"/>
    <mergeCell ref="M8:N8"/>
    <mergeCell ref="B9:H9"/>
    <mergeCell ref="B13:C13"/>
  </mergeCells>
  <dataValidations count="5">
    <dataValidation type="list" showInputMessage="1" showErrorMessage="1" sqref="K15" xr:uid="{75F8FFCE-3244-4F09-8A8A-5C0959F9726A}">
      <formula1>"Tertiaire Public,Tertiaire Privé,Industrie"</formula1>
    </dataValidation>
    <dataValidation type="list" showInputMessage="1" showErrorMessage="1" sqref="K10:K14" xr:uid="{040B2F15-AF56-42BA-9A13-500F79023459}">
      <formula1>Poste</formula1>
    </dataValidation>
    <dataValidation type="list" allowBlank="1" showInputMessage="1" showErrorMessage="1" sqref="K24" xr:uid="{4D2C54A2-7139-4DF5-AF83-26D7AEBB7C39}">
      <formula1>"Oui,Non"</formula1>
    </dataValidation>
    <dataValidation type="list" allowBlank="1" showInputMessage="1" showErrorMessage="1" sqref="K22:K23" xr:uid="{982194E1-C165-4F98-9F64-174E8714029E}">
      <formula1>"OUI,NON"</formula1>
    </dataValidation>
    <dataValidation type="list" allowBlank="1" showInputMessage="1" showErrorMessage="1" sqref="C37" xr:uid="{99A2DF73-16FE-45DC-98A1-766D0C2D83B2}">
      <formula1>"2030,2040,2050"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1200" r:id="rId1"/>
  <headerFooter alignWithMargins="0">
    <oddHeader>&amp;C&amp;"Arial,Gras"&amp;14ECONOTEC / 3J-CONSULT</oddHeader>
    <oddFooter>&amp;L&amp;F&amp;R&amp;A</oddFooter>
  </headerFooter>
  <rowBreaks count="1" manualBreakCount="1">
    <brk id="67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2A0209C-611A-4FA7-A323-CA91B9D27D86}">
          <x14:formula1>
            <xm:f>Paramètres!$C$57:$C$60</xm:f>
          </x14:formula1>
          <xm:sqref>F27</xm:sqref>
        </x14:dataValidation>
        <x14:dataValidation type="list" allowBlank="1" showInputMessage="1" showErrorMessage="1" xr:uid="{AD438554-8103-453B-B3BC-E17F2DE68920}">
          <x14:formula1>
            <xm:f>Paramètres!$A$57:$A$83</xm:f>
          </x14:formula1>
          <xm:sqref>B13:B14</xm:sqref>
        </x14:dataValidation>
        <x14:dataValidation type="list" allowBlank="1" showInputMessage="1" showErrorMessage="1" xr:uid="{0D4112EA-717F-49B5-8C1D-A20D079E1213}">
          <x14:formula1>
            <xm:f>Paramètres!$B$57:$B$82</xm:f>
          </x14:formula1>
          <xm:sqref>C35:F35 C33:F33 C31:F31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4B44D-215F-422B-AE89-21CD1D72C6C6}">
  <dimension ref="B1:AR116"/>
  <sheetViews>
    <sheetView topLeftCell="A2" zoomScaleNormal="100" workbookViewId="0">
      <selection activeCell="H32" sqref="H32"/>
    </sheetView>
  </sheetViews>
  <sheetFormatPr baseColWidth="10" defaultColWidth="11.44140625" defaultRowHeight="13.2"/>
  <cols>
    <col min="1" max="1" width="1.88671875" customWidth="1"/>
    <col min="2" max="2" width="16.88671875" customWidth="1"/>
    <col min="6" max="6" width="14" bestFit="1" customWidth="1"/>
    <col min="7" max="7" width="11.88671875" customWidth="1"/>
    <col min="8" max="8" width="12.6640625" bestFit="1" customWidth="1"/>
    <col min="10" max="10" width="49" bestFit="1" customWidth="1"/>
    <col min="11" max="11" width="31.109375" bestFit="1" customWidth="1"/>
    <col min="12" max="12" width="41.44140625" bestFit="1" customWidth="1"/>
    <col min="13" max="13" width="35.5546875" bestFit="1" customWidth="1"/>
    <col min="14" max="14" width="10.109375" bestFit="1" customWidth="1"/>
    <col min="15" max="15" width="9.6640625" bestFit="1" customWidth="1"/>
    <col min="16" max="18" width="5" bestFit="1" customWidth="1"/>
    <col min="19" max="29" width="5.33203125" bestFit="1" customWidth="1"/>
    <col min="30" max="44" width="2.88671875" bestFit="1" customWidth="1"/>
  </cols>
  <sheetData>
    <row r="1" spans="2:44" ht="21">
      <c r="B1" s="772" t="str">
        <f>Entête!C15</f>
        <v>NOM DE L'ENTITE</v>
      </c>
      <c r="C1" s="773"/>
      <c r="D1" s="773"/>
      <c r="E1" s="773"/>
      <c r="F1" s="773"/>
      <c r="G1" s="773"/>
      <c r="H1" s="774"/>
      <c r="J1" s="250"/>
      <c r="K1" s="250"/>
      <c r="L1" s="250"/>
      <c r="M1" s="251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</row>
    <row r="2" spans="2:44" ht="21">
      <c r="B2" s="775"/>
      <c r="C2" s="776"/>
      <c r="D2" s="776"/>
      <c r="E2" s="776"/>
      <c r="F2" s="776"/>
      <c r="G2" s="776"/>
      <c r="H2" s="777"/>
      <c r="J2" s="778" t="s">
        <v>260</v>
      </c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79"/>
      <c r="AP2" s="779"/>
      <c r="AQ2" s="779"/>
      <c r="AR2" s="779"/>
    </row>
    <row r="3" spans="2:44" ht="16.2" thickBot="1">
      <c r="B3" s="780" t="s">
        <v>261</v>
      </c>
      <c r="C3" s="781"/>
      <c r="D3" s="781"/>
      <c r="E3" s="781"/>
      <c r="F3" s="781"/>
      <c r="G3" s="781"/>
      <c r="H3" s="782"/>
      <c r="J3" s="375"/>
      <c r="K3" s="375"/>
      <c r="L3" s="375"/>
      <c r="M3" s="416"/>
      <c r="N3" s="375"/>
      <c r="O3" s="375"/>
      <c r="P3" s="375"/>
      <c r="Q3" s="375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</row>
    <row r="4" spans="2:44">
      <c r="J4" s="375"/>
      <c r="K4" s="375"/>
      <c r="L4" s="375"/>
      <c r="M4" s="375"/>
      <c r="N4" s="375"/>
      <c r="O4" s="375"/>
      <c r="P4" s="375"/>
      <c r="Q4" s="375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</row>
    <row r="5" spans="2:44" ht="16.2" thickBot="1">
      <c r="B5" s="198" t="s">
        <v>262</v>
      </c>
      <c r="F5" s="783" t="s">
        <v>383</v>
      </c>
      <c r="G5" s="784"/>
      <c r="J5" s="375"/>
      <c r="K5" s="375"/>
      <c r="L5" s="375"/>
      <c r="M5" s="417"/>
      <c r="N5" s="375"/>
      <c r="O5" s="375"/>
      <c r="P5" s="375"/>
      <c r="Q5" s="375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</row>
    <row r="6" spans="2:44" ht="16.2" thickBot="1">
      <c r="B6" s="198"/>
      <c r="F6" s="199"/>
      <c r="G6" s="199"/>
      <c r="J6" s="376" t="s">
        <v>264</v>
      </c>
      <c r="K6" s="389"/>
      <c r="L6" s="785"/>
      <c r="M6" s="785"/>
      <c r="N6" s="387"/>
      <c r="O6" s="387"/>
      <c r="P6" s="387"/>
      <c r="Q6" s="387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4"/>
      <c r="AE6" s="414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</row>
    <row r="7" spans="2:44" ht="16.2" thickBot="1">
      <c r="B7" s="198" t="s">
        <v>265</v>
      </c>
      <c r="J7" s="388"/>
      <c r="K7" s="387"/>
      <c r="L7" s="785"/>
      <c r="M7" s="785"/>
      <c r="N7" s="387"/>
      <c r="O7" s="387"/>
      <c r="P7" s="387"/>
      <c r="Q7" s="387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4"/>
      <c r="AE7" s="414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</row>
    <row r="8" spans="2:44" ht="16.2" thickBot="1">
      <c r="J8" s="786" t="s">
        <v>266</v>
      </c>
      <c r="K8" s="787"/>
      <c r="L8" s="374"/>
      <c r="M8" s="786" t="s">
        <v>267</v>
      </c>
      <c r="N8" s="787"/>
      <c r="O8" s="374"/>
      <c r="P8" s="374"/>
      <c r="Q8" s="374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</row>
    <row r="9" spans="2:44" ht="16.2" thickBot="1">
      <c r="B9" s="788" t="s">
        <v>384</v>
      </c>
      <c r="C9" s="789"/>
      <c r="D9" s="789"/>
      <c r="E9" s="789"/>
      <c r="F9" s="789"/>
      <c r="G9" s="789"/>
      <c r="H9" s="790"/>
      <c r="J9" s="262"/>
      <c r="K9" s="262"/>
      <c r="L9" s="262"/>
      <c r="M9" s="262"/>
      <c r="N9" s="262"/>
      <c r="O9" s="262"/>
      <c r="P9" s="262"/>
      <c r="Q9" s="262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</row>
    <row r="10" spans="2:44" ht="16.2" thickBot="1">
      <c r="J10" s="378" t="s">
        <v>268</v>
      </c>
      <c r="K10" s="376" t="s">
        <v>55</v>
      </c>
      <c r="L10" s="262"/>
      <c r="M10" s="386" t="s">
        <v>269</v>
      </c>
      <c r="N10" s="385" t="str">
        <f>M93</f>
        <v>PROJET NON RENTABLE</v>
      </c>
      <c r="O10" s="262"/>
      <c r="P10" s="262"/>
      <c r="Q10" s="262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</row>
    <row r="11" spans="2:44" ht="15.6">
      <c r="B11" s="198" t="s">
        <v>191</v>
      </c>
      <c r="J11" s="262"/>
      <c r="K11" s="621"/>
      <c r="L11" s="262"/>
      <c r="M11" s="622"/>
      <c r="N11" s="623"/>
      <c r="O11" s="262"/>
      <c r="P11" s="262"/>
      <c r="Q11" s="262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</row>
    <row r="12" spans="2:44" ht="15.6">
      <c r="B12" s="635" t="s">
        <v>270</v>
      </c>
      <c r="J12" s="262"/>
      <c r="K12" s="621"/>
      <c r="L12" s="262"/>
      <c r="M12" s="622"/>
      <c r="N12" s="623"/>
      <c r="O12" s="262"/>
      <c r="P12" s="262"/>
      <c r="Q12" s="262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2:44" ht="24.9" customHeight="1">
      <c r="B13" s="788" t="s">
        <v>83</v>
      </c>
      <c r="C13" s="790"/>
      <c r="J13" s="262"/>
      <c r="K13" s="621"/>
      <c r="L13" s="262"/>
      <c r="M13" s="622"/>
      <c r="N13" s="623"/>
      <c r="O13" s="262"/>
      <c r="P13" s="262"/>
      <c r="Q13" s="262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</row>
    <row r="14" spans="2:44" ht="15.6">
      <c r="B14" s="199"/>
      <c r="J14" s="262"/>
      <c r="K14" s="621"/>
      <c r="L14" s="262"/>
      <c r="M14" s="622"/>
      <c r="N14" s="623"/>
      <c r="O14" s="262"/>
      <c r="P14" s="262"/>
      <c r="Q14" s="262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</row>
    <row r="15" spans="2:44" ht="16.2" thickBot="1">
      <c r="B15" s="198" t="s">
        <v>271</v>
      </c>
      <c r="J15" s="262"/>
      <c r="K15" s="262"/>
      <c r="L15" s="262"/>
      <c r="M15" s="384" t="s">
        <v>272</v>
      </c>
      <c r="N15" s="383">
        <f>M94</f>
        <v>0</v>
      </c>
      <c r="O15" s="262"/>
      <c r="P15" s="262"/>
      <c r="Q15" s="262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</row>
    <row r="16" spans="2:44" ht="16.2" thickBot="1">
      <c r="J16" s="378" t="s">
        <v>51</v>
      </c>
      <c r="K16" s="381">
        <f>VLOOKUP(K10,Paramètres!A27:C29,3)</f>
        <v>15</v>
      </c>
      <c r="L16" s="375"/>
      <c r="M16" s="310"/>
      <c r="N16" s="310"/>
      <c r="O16" s="262"/>
      <c r="P16" s="262"/>
      <c r="Q16" s="262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</row>
    <row r="17" spans="2:44" ht="29.25" customHeight="1" thickBot="1">
      <c r="B17" s="769"/>
      <c r="C17" s="770"/>
      <c r="D17" s="770"/>
      <c r="E17" s="770"/>
      <c r="F17" s="770"/>
      <c r="G17" s="770"/>
      <c r="H17" s="771"/>
      <c r="J17" s="262"/>
      <c r="K17" s="262"/>
      <c r="L17" s="375"/>
      <c r="M17" s="300" t="s">
        <v>273</v>
      </c>
      <c r="N17" s="382" t="str">
        <f>M115</f>
        <v>PROJET NON RENTABLE</v>
      </c>
      <c r="O17" s="262"/>
      <c r="P17" s="262"/>
      <c r="Q17" s="262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</row>
    <row r="18" spans="2:44" ht="16.2" thickBot="1">
      <c r="J18" s="378" t="s">
        <v>274</v>
      </c>
      <c r="K18" s="381">
        <f>VLOOKUP(K10,Paramètres!A27:D29,4)</f>
        <v>8</v>
      </c>
      <c r="L18" s="262"/>
      <c r="M18" s="311" t="s">
        <v>275</v>
      </c>
      <c r="N18" s="380">
        <f>M116</f>
        <v>0</v>
      </c>
      <c r="O18" s="262"/>
      <c r="P18" s="262"/>
      <c r="Q18" s="262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</row>
    <row r="19" spans="2:44" ht="16.2" thickBot="1">
      <c r="B19" s="198" t="s">
        <v>276</v>
      </c>
      <c r="J19" s="262"/>
      <c r="K19" s="262"/>
      <c r="L19" s="262"/>
      <c r="M19" s="375"/>
      <c r="N19" s="375"/>
      <c r="O19" s="262"/>
      <c r="P19" s="262"/>
      <c r="Q19" s="262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</row>
    <row r="20" spans="2:44" ht="16.2" thickBot="1">
      <c r="J20" s="377" t="s">
        <v>277</v>
      </c>
      <c r="K20" s="379">
        <v>10</v>
      </c>
      <c r="L20" s="262"/>
      <c r="M20" s="262"/>
      <c r="N20" s="418"/>
      <c r="O20" s="262"/>
      <c r="P20" s="262"/>
      <c r="Q20" s="262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</row>
    <row r="21" spans="2:44" ht="16.2" thickBot="1">
      <c r="B21" s="769"/>
      <c r="C21" s="770"/>
      <c r="D21" s="770"/>
      <c r="E21" s="770"/>
      <c r="F21" s="770"/>
      <c r="G21" s="770"/>
      <c r="H21" s="771"/>
      <c r="J21" s="374"/>
      <c r="K21" s="262"/>
      <c r="L21" s="262"/>
      <c r="M21" s="262"/>
      <c r="N21" s="418"/>
      <c r="O21" s="262"/>
      <c r="P21" s="262"/>
      <c r="Q21" s="262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</row>
    <row r="22" spans="2:44" ht="16.2" thickBot="1">
      <c r="J22" s="378" t="s">
        <v>278</v>
      </c>
      <c r="K22" s="376" t="s">
        <v>279</v>
      </c>
      <c r="L22" s="262"/>
      <c r="M22" s="262"/>
      <c r="N22" s="262"/>
      <c r="O22" s="262"/>
      <c r="P22" s="262"/>
      <c r="Q22" s="262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</row>
    <row r="23" spans="2:44" ht="16.2" thickBot="1">
      <c r="B23" s="198" t="s">
        <v>280</v>
      </c>
      <c r="F23" s="421">
        <f>C50*Paramètres!C13+C51*Paramètres!D13</f>
        <v>0</v>
      </c>
      <c r="G23" s="145"/>
      <c r="J23" s="377" t="s">
        <v>281</v>
      </c>
      <c r="K23" s="376" t="s">
        <v>282</v>
      </c>
      <c r="L23" s="262"/>
      <c r="M23" s="262"/>
      <c r="N23" s="262"/>
      <c r="O23" s="262"/>
      <c r="P23" s="262"/>
      <c r="Q23" s="262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</row>
    <row r="24" spans="2:44" ht="15.6">
      <c r="J24" s="262"/>
      <c r="K24" s="262"/>
      <c r="L24" s="262"/>
      <c r="M24" s="262"/>
      <c r="N24" s="262"/>
      <c r="O24" s="262"/>
      <c r="P24" s="262"/>
      <c r="Q24" s="262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</row>
    <row r="25" spans="2:44" ht="16.2" thickBot="1">
      <c r="B25" s="198" t="s">
        <v>283</v>
      </c>
      <c r="F25" s="421">
        <f>+G61*1000</f>
        <v>0</v>
      </c>
      <c r="J25" s="374"/>
      <c r="K25" s="262"/>
      <c r="L25" s="262"/>
      <c r="M25" s="262"/>
      <c r="N25" s="262"/>
      <c r="O25" s="262"/>
      <c r="P25" s="302"/>
      <c r="Q25" s="302"/>
      <c r="R25" s="302"/>
      <c r="S25" s="302"/>
      <c r="T25" s="302"/>
      <c r="U25" s="302"/>
      <c r="V25" s="302"/>
      <c r="W25" s="302"/>
      <c r="X25" s="302"/>
      <c r="Y25" s="321"/>
      <c r="Z25" s="321"/>
      <c r="AA25" s="321"/>
      <c r="AB25" s="321"/>
      <c r="AC25" s="321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</row>
    <row r="26" spans="2:44" ht="16.2" thickBot="1">
      <c r="J26" s="786" t="s">
        <v>284</v>
      </c>
      <c r="K26" s="793"/>
      <c r="L26" s="793"/>
      <c r="M26" s="793"/>
      <c r="N26" s="793"/>
      <c r="O26" s="793"/>
      <c r="P26" s="793"/>
      <c r="Q26" s="787"/>
      <c r="R26" s="302"/>
      <c r="S26" s="302"/>
      <c r="T26" s="302"/>
      <c r="U26" s="302"/>
      <c r="V26" s="302"/>
      <c r="W26" s="302"/>
      <c r="X26" s="302"/>
      <c r="Y26" s="321"/>
      <c r="Z26" s="321"/>
      <c r="AA26" s="321"/>
      <c r="AB26" s="321"/>
      <c r="AC26" s="321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</row>
    <row r="27" spans="2:44" ht="15.6">
      <c r="B27" s="198" t="s">
        <v>78</v>
      </c>
      <c r="F27" s="628" t="s">
        <v>88</v>
      </c>
      <c r="G27" s="420"/>
      <c r="J27" s="374"/>
      <c r="K27" s="262"/>
      <c r="L27" s="262"/>
      <c r="M27" s="262"/>
      <c r="N27" s="262"/>
      <c r="O27" s="262"/>
      <c r="P27" s="302"/>
      <c r="Q27" s="302"/>
      <c r="R27" s="302"/>
      <c r="S27" s="302"/>
      <c r="T27" s="302"/>
      <c r="U27" s="302"/>
      <c r="V27" s="302"/>
      <c r="W27" s="302"/>
      <c r="X27" s="302"/>
      <c r="Y27" s="321"/>
      <c r="Z27" s="321"/>
      <c r="AA27" s="321"/>
      <c r="AB27" s="321"/>
      <c r="AC27" s="321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</row>
    <row r="28" spans="2:44" ht="15.6">
      <c r="B28" s="198"/>
      <c r="F28" s="199"/>
      <c r="G28" s="420"/>
      <c r="J28" s="374"/>
      <c r="K28" s="262"/>
      <c r="L28" s="262"/>
      <c r="M28" s="262"/>
      <c r="N28" s="262"/>
      <c r="O28" s="262"/>
      <c r="P28" s="302"/>
      <c r="Q28" s="302"/>
      <c r="R28" s="302"/>
      <c r="S28" s="302"/>
      <c r="T28" s="302"/>
      <c r="U28" s="302"/>
      <c r="V28" s="302"/>
      <c r="W28" s="302"/>
      <c r="X28" s="302"/>
      <c r="Y28" s="321"/>
      <c r="Z28" s="321"/>
      <c r="AA28" s="321"/>
      <c r="AB28" s="321"/>
      <c r="AC28" s="321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</row>
    <row r="29" spans="2:44" ht="15.6">
      <c r="C29" s="198" t="s">
        <v>285</v>
      </c>
      <c r="F29" s="199"/>
      <c r="G29" s="420"/>
      <c r="J29" s="374"/>
      <c r="K29" s="262"/>
      <c r="L29" s="262"/>
      <c r="M29" s="262"/>
      <c r="N29" s="262"/>
      <c r="O29" s="262"/>
      <c r="P29" s="302"/>
      <c r="Q29" s="302"/>
      <c r="R29" s="302"/>
      <c r="S29" s="302"/>
      <c r="T29" s="302"/>
      <c r="U29" s="302"/>
      <c r="V29" s="302"/>
      <c r="W29" s="302"/>
      <c r="X29" s="302"/>
      <c r="Y29" s="321"/>
      <c r="Z29" s="321"/>
      <c r="AA29" s="321"/>
      <c r="AB29" s="321"/>
      <c r="AC29" s="321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</row>
    <row r="30" spans="2:44" ht="16.2" thickBot="1">
      <c r="B30" s="198"/>
      <c r="C30" s="635" t="s">
        <v>270</v>
      </c>
      <c r="F30" s="199"/>
      <c r="G30" s="420"/>
      <c r="J30" s="374"/>
      <c r="K30" s="262"/>
      <c r="L30" s="262"/>
      <c r="M30" s="262"/>
      <c r="N30" s="262"/>
      <c r="O30" s="262"/>
      <c r="P30" s="302"/>
      <c r="Q30" s="302"/>
      <c r="R30" s="302"/>
      <c r="S30" s="302"/>
      <c r="T30" s="302"/>
      <c r="U30" s="302"/>
      <c r="V30" s="302"/>
      <c r="W30" s="302"/>
      <c r="X30" s="302"/>
      <c r="Y30" s="321"/>
      <c r="Z30" s="321"/>
      <c r="AA30" s="321"/>
      <c r="AB30" s="321"/>
      <c r="AC30" s="321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</row>
    <row r="31" spans="2:44" ht="12.9" customHeight="1">
      <c r="B31" t="s">
        <v>286</v>
      </c>
      <c r="C31" s="794" t="s">
        <v>377</v>
      </c>
      <c r="D31" s="795"/>
      <c r="E31" s="795"/>
      <c r="F31" s="796"/>
      <c r="G31" s="420"/>
      <c r="J31" s="373"/>
      <c r="K31" s="302"/>
      <c r="L31" s="302"/>
      <c r="M31" s="319"/>
      <c r="N31" s="797" t="s">
        <v>287</v>
      </c>
      <c r="O31" s="798"/>
      <c r="P31" s="302"/>
      <c r="Q31" s="302"/>
      <c r="R31" s="302"/>
      <c r="S31" s="302"/>
      <c r="T31" s="302"/>
      <c r="U31" s="302"/>
      <c r="V31" s="302"/>
      <c r="W31" s="321"/>
      <c r="X31" s="321"/>
      <c r="Y31" s="321"/>
      <c r="Z31" s="321"/>
      <c r="AA31" s="321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</row>
    <row r="32" spans="2:44" ht="16.2" thickBot="1">
      <c r="B32" s="198"/>
      <c r="C32" s="625"/>
      <c r="D32" s="625"/>
      <c r="E32" s="625"/>
      <c r="F32" s="626"/>
      <c r="G32" s="420"/>
      <c r="J32" s="374"/>
      <c r="K32" s="262"/>
      <c r="L32" s="262"/>
      <c r="M32" s="262"/>
      <c r="N32" s="262"/>
      <c r="O32" s="262"/>
      <c r="P32" s="302"/>
      <c r="Q32" s="302"/>
      <c r="R32" s="302"/>
      <c r="S32" s="302"/>
      <c r="T32" s="302"/>
      <c r="U32" s="302"/>
      <c r="V32" s="302"/>
      <c r="W32" s="302"/>
      <c r="X32" s="302"/>
      <c r="Y32" s="321"/>
      <c r="Z32" s="321"/>
      <c r="AA32" s="321"/>
      <c r="AB32" s="321"/>
      <c r="AC32" s="321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</row>
    <row r="33" spans="2:44" ht="13.8">
      <c r="B33" t="s">
        <v>288</v>
      </c>
      <c r="C33" s="794" t="s">
        <v>103</v>
      </c>
      <c r="D33" s="795"/>
      <c r="E33" s="795"/>
      <c r="F33" s="796"/>
      <c r="G33" s="420"/>
      <c r="J33" s="373"/>
      <c r="K33" s="302"/>
      <c r="L33" s="302"/>
      <c r="M33" s="319"/>
      <c r="N33" s="797" t="s">
        <v>287</v>
      </c>
      <c r="O33" s="798"/>
      <c r="P33" s="302"/>
      <c r="Q33" s="302"/>
      <c r="R33" s="302"/>
      <c r="S33" s="302"/>
      <c r="T33" s="302"/>
      <c r="U33" s="302"/>
      <c r="V33" s="302"/>
      <c r="W33" s="321"/>
      <c r="X33" s="321"/>
      <c r="Y33" s="321"/>
      <c r="Z33" s="321"/>
      <c r="AA33" s="321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</row>
    <row r="34" spans="2:44" ht="16.2" thickBot="1">
      <c r="B34" s="198"/>
      <c r="C34" s="625"/>
      <c r="D34" s="625"/>
      <c r="E34" s="625"/>
      <c r="F34" s="626"/>
      <c r="G34" s="420"/>
      <c r="J34" s="374"/>
      <c r="K34" s="262"/>
      <c r="L34" s="262"/>
      <c r="M34" s="262"/>
      <c r="N34" s="262"/>
      <c r="O34" s="262"/>
      <c r="P34" s="302"/>
      <c r="Q34" s="302"/>
      <c r="R34" s="302"/>
      <c r="S34" s="302"/>
      <c r="T34" s="302"/>
      <c r="U34" s="302"/>
      <c r="V34" s="302"/>
      <c r="W34" s="302"/>
      <c r="X34" s="302"/>
      <c r="Y34" s="321"/>
      <c r="Z34" s="321"/>
      <c r="AA34" s="321"/>
      <c r="AB34" s="321"/>
      <c r="AC34" s="321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</row>
    <row r="35" spans="2:44" ht="14.4" thickBot="1">
      <c r="B35" t="s">
        <v>289</v>
      </c>
      <c r="C35" s="794" t="s">
        <v>81</v>
      </c>
      <c r="D35" s="795"/>
      <c r="E35" s="795"/>
      <c r="F35" s="796"/>
      <c r="G35" s="420"/>
      <c r="J35" s="373"/>
      <c r="K35" s="302"/>
      <c r="L35" s="302"/>
      <c r="M35" s="319"/>
      <c r="N35" s="797" t="s">
        <v>287</v>
      </c>
      <c r="O35" s="798"/>
      <c r="P35" s="302"/>
      <c r="Q35" s="302"/>
      <c r="R35" s="302"/>
      <c r="S35" s="302"/>
      <c r="T35" s="302"/>
      <c r="U35" s="302"/>
      <c r="V35" s="302"/>
      <c r="W35" s="321"/>
      <c r="X35" s="321"/>
      <c r="Y35" s="321"/>
      <c r="Z35" s="321"/>
      <c r="AA35" s="321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</row>
    <row r="36" spans="2:44" ht="36.6" thickBot="1">
      <c r="C36" s="635" t="s">
        <v>270</v>
      </c>
      <c r="J36" s="370" t="s">
        <v>290</v>
      </c>
      <c r="K36" s="370" t="s">
        <v>291</v>
      </c>
      <c r="L36" s="372" t="s">
        <v>292</v>
      </c>
      <c r="M36" s="372" t="s">
        <v>293</v>
      </c>
      <c r="N36" s="371" t="s">
        <v>294</v>
      </c>
      <c r="O36" s="370" t="s">
        <v>295</v>
      </c>
      <c r="P36" s="302"/>
      <c r="Q36" s="302"/>
      <c r="R36" s="302"/>
      <c r="S36" s="302"/>
      <c r="T36" s="302"/>
      <c r="U36" s="302"/>
      <c r="V36" s="302"/>
      <c r="W36" s="321"/>
      <c r="X36" s="321"/>
      <c r="Y36" s="321"/>
      <c r="Z36" s="321"/>
      <c r="AA36" s="321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</row>
    <row r="37" spans="2:44" ht="15.6">
      <c r="B37" s="198" t="s">
        <v>79</v>
      </c>
      <c r="C37" s="629">
        <v>2050</v>
      </c>
      <c r="J37" s="369" t="s">
        <v>296</v>
      </c>
      <c r="K37" s="368">
        <f>Paramètres!C12</f>
        <v>0.216</v>
      </c>
      <c r="L37" s="367"/>
      <c r="M37" s="367"/>
      <c r="N37" s="366">
        <f>Paramètres!C13*1000</f>
        <v>0</v>
      </c>
      <c r="O37" s="799">
        <v>70</v>
      </c>
      <c r="P37" s="302"/>
      <c r="Q37" s="302"/>
      <c r="R37" s="302"/>
      <c r="S37" s="302"/>
      <c r="T37" s="302"/>
      <c r="U37" s="302"/>
      <c r="V37" s="302"/>
      <c r="W37" s="321"/>
      <c r="X37" s="321"/>
      <c r="Y37" s="321"/>
      <c r="Z37" s="321"/>
      <c r="AA37" s="321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</row>
    <row r="38" spans="2:44" ht="15.6">
      <c r="B38" s="198"/>
      <c r="J38" s="364" t="s">
        <v>12</v>
      </c>
      <c r="K38" s="365">
        <f>Paramètres!D12</f>
        <v>0.218</v>
      </c>
      <c r="L38" s="362"/>
      <c r="M38" s="362"/>
      <c r="N38" s="361">
        <f>Paramètres!D13*1000</f>
        <v>0</v>
      </c>
      <c r="O38" s="800"/>
      <c r="P38" s="302"/>
      <c r="Q38" s="302"/>
      <c r="R38" s="302"/>
      <c r="S38" s="302"/>
      <c r="T38" s="302"/>
      <c r="U38" s="302"/>
      <c r="V38" s="302"/>
      <c r="W38" s="321"/>
      <c r="X38" s="321"/>
      <c r="Y38" s="321"/>
      <c r="Z38" s="321"/>
      <c r="AA38" s="321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</row>
    <row r="39" spans="2:44">
      <c r="J39" s="364" t="s">
        <v>297</v>
      </c>
      <c r="K39" s="365">
        <f>Paramètres!E12/1000/(35.9/0.94/3600)</f>
        <v>0.30700138161559892</v>
      </c>
      <c r="L39" s="362"/>
      <c r="M39" s="362"/>
      <c r="N39" s="361">
        <f>Paramètres!E13/Paramètres!E10*1000</f>
        <v>0</v>
      </c>
      <c r="O39" s="800"/>
      <c r="P39" s="302"/>
      <c r="Q39" s="302"/>
      <c r="R39" s="302"/>
      <c r="S39" s="302"/>
      <c r="T39" s="302"/>
      <c r="U39" s="302"/>
      <c r="V39" s="302"/>
      <c r="W39" s="321"/>
      <c r="X39" s="321"/>
      <c r="Y39" s="321"/>
      <c r="Z39" s="321"/>
      <c r="AA39" s="321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</row>
    <row r="40" spans="2:44" ht="15.6">
      <c r="B40" s="198" t="s">
        <v>298</v>
      </c>
      <c r="J40" s="364" t="s">
        <v>299</v>
      </c>
      <c r="K40" s="365">
        <f>2.9209/1000/(43.77/0.94/3600)</f>
        <v>0.22582420836189168</v>
      </c>
      <c r="L40" s="362"/>
      <c r="M40" s="362"/>
      <c r="N40" s="361"/>
      <c r="O40" s="800"/>
      <c r="P40" s="302"/>
      <c r="Q40" s="302"/>
      <c r="R40" s="302"/>
      <c r="S40" s="302"/>
      <c r="T40" s="302"/>
      <c r="U40" s="302"/>
      <c r="V40" s="302"/>
      <c r="W40" s="321"/>
      <c r="X40" s="321"/>
      <c r="Y40" s="321"/>
      <c r="Z40" s="321"/>
      <c r="AA40" s="321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</row>
    <row r="41" spans="2:44">
      <c r="J41" s="364" t="s">
        <v>300</v>
      </c>
      <c r="K41" s="365">
        <f>3.3679/1000/(35.9/0.94/3600)</f>
        <v>0.31746444568245125</v>
      </c>
      <c r="L41" s="362"/>
      <c r="M41" s="362"/>
      <c r="N41" s="361"/>
      <c r="O41" s="800"/>
      <c r="P41" s="302"/>
      <c r="Q41" s="302"/>
      <c r="R41" s="302"/>
      <c r="S41" s="302"/>
      <c r="T41" s="302"/>
      <c r="U41" s="302"/>
      <c r="V41" s="302"/>
      <c r="W41" s="321"/>
      <c r="X41" s="321"/>
      <c r="Y41" s="321"/>
      <c r="Z41" s="321"/>
      <c r="AA41" s="321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</row>
    <row r="42" spans="2:44" ht="12.9" customHeight="1">
      <c r="B42" s="769"/>
      <c r="C42" s="770"/>
      <c r="D42" s="770"/>
      <c r="E42" s="770"/>
      <c r="F42" s="770"/>
      <c r="G42" s="770"/>
      <c r="H42" s="771"/>
      <c r="J42" s="364" t="s">
        <v>301</v>
      </c>
      <c r="K42" s="365">
        <f>3.0567/1000/(29.31/0.96/3600)</f>
        <v>0.36042153531218019</v>
      </c>
      <c r="L42" s="362"/>
      <c r="M42" s="362"/>
      <c r="N42" s="361"/>
      <c r="O42" s="800"/>
      <c r="P42" s="302"/>
      <c r="Q42" s="302"/>
      <c r="R42" s="302"/>
      <c r="S42" s="302"/>
      <c r="T42" s="302"/>
      <c r="U42" s="302"/>
      <c r="V42" s="302"/>
      <c r="W42" s="321"/>
      <c r="X42" s="321"/>
      <c r="Y42" s="321"/>
      <c r="Z42" s="321"/>
      <c r="AA42" s="321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</row>
    <row r="43" spans="2:44">
      <c r="J43" s="364" t="s">
        <v>302</v>
      </c>
      <c r="K43" s="411">
        <v>0</v>
      </c>
      <c r="L43" s="362"/>
      <c r="M43" s="362"/>
      <c r="N43" s="361"/>
      <c r="O43" s="800"/>
      <c r="P43" s="302"/>
      <c r="Q43" s="302"/>
      <c r="R43" s="302"/>
      <c r="S43" s="302"/>
      <c r="T43" s="302"/>
      <c r="U43" s="302"/>
      <c r="V43" s="302"/>
      <c r="W43" s="321"/>
      <c r="X43" s="321"/>
      <c r="Y43" s="321"/>
      <c r="Z43" s="321"/>
      <c r="AA43" s="321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</row>
    <row r="44" spans="2:44" ht="15.6">
      <c r="B44" s="198" t="s">
        <v>303</v>
      </c>
      <c r="J44" s="364" t="s">
        <v>304</v>
      </c>
      <c r="K44" s="363"/>
      <c r="L44" s="362"/>
      <c r="M44" s="362"/>
      <c r="N44" s="361"/>
      <c r="O44" s="800"/>
      <c r="P44" s="302"/>
      <c r="Q44" s="302"/>
      <c r="R44" s="302"/>
      <c r="S44" s="302"/>
      <c r="T44" s="302"/>
      <c r="U44" s="302"/>
      <c r="V44" s="302"/>
      <c r="W44" s="321"/>
      <c r="X44" s="321"/>
      <c r="Y44" s="321"/>
      <c r="Z44" s="321"/>
      <c r="AA44" s="321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</row>
    <row r="45" spans="2:44" ht="13.8" thickBot="1">
      <c r="J45" s="360" t="s">
        <v>304</v>
      </c>
      <c r="K45" s="359"/>
      <c r="L45" s="358"/>
      <c r="M45" s="358"/>
      <c r="N45" s="357"/>
      <c r="O45" s="801"/>
      <c r="P45" s="302"/>
      <c r="Q45" s="302"/>
      <c r="R45" s="302"/>
      <c r="S45" s="302"/>
      <c r="T45" s="302"/>
      <c r="U45" s="302"/>
      <c r="V45" s="302"/>
      <c r="W45" s="321"/>
      <c r="X45" s="321"/>
      <c r="Y45" s="321"/>
      <c r="Z45" s="321"/>
      <c r="AA45" s="321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</row>
    <row r="46" spans="2:44" ht="25.5" customHeight="1" thickBot="1">
      <c r="B46" s="788"/>
      <c r="C46" s="789"/>
      <c r="D46" s="789"/>
      <c r="E46" s="789"/>
      <c r="F46" s="789"/>
      <c r="G46" s="789"/>
      <c r="H46" s="790"/>
      <c r="J46" s="302"/>
      <c r="K46" s="302"/>
      <c r="L46" s="302"/>
      <c r="M46" s="319"/>
      <c r="N46" s="302"/>
      <c r="O46" s="302"/>
      <c r="P46" s="302"/>
      <c r="Q46" s="302"/>
      <c r="R46" s="302"/>
      <c r="S46" s="302"/>
      <c r="T46" s="302"/>
      <c r="U46" s="302"/>
      <c r="V46" s="302"/>
      <c r="W46" s="321"/>
      <c r="X46" s="321"/>
      <c r="Y46" s="321"/>
      <c r="Z46" s="321"/>
      <c r="AA46" s="321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</row>
    <row r="47" spans="2:44" ht="13.8" thickBot="1">
      <c r="B47" s="197"/>
      <c r="C47" s="197"/>
      <c r="D47" s="197"/>
      <c r="E47" s="197"/>
      <c r="F47" s="197"/>
      <c r="G47" s="197"/>
      <c r="H47" s="197"/>
      <c r="I47" s="1"/>
      <c r="J47" s="302"/>
      <c r="K47" s="302"/>
      <c r="L47" s="302"/>
      <c r="M47" s="356" t="s">
        <v>305</v>
      </c>
      <c r="N47" s="791">
        <f>(((L37-M37)*N37)+((L38-M38)*N38)+((L39-M39)*N39)+((L40-M40)*N40)+((L41-M41)*N41)+((L42-M42)*N42)+((L43-M43)*N43)+((L44-M44)*N44)+((L45-M45)*N45))</f>
        <v>0</v>
      </c>
      <c r="O47" s="792"/>
      <c r="P47" s="302"/>
      <c r="Q47" s="302"/>
      <c r="R47" s="302"/>
      <c r="S47" s="302"/>
      <c r="T47" s="302"/>
      <c r="U47" s="302"/>
      <c r="V47" s="302"/>
      <c r="W47" s="321"/>
      <c r="X47" s="321"/>
      <c r="Y47" s="321"/>
      <c r="Z47" s="321"/>
      <c r="AA47" s="321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</row>
    <row r="48" spans="2:44" ht="16.2" thickBot="1">
      <c r="B48" s="198" t="s">
        <v>306</v>
      </c>
      <c r="C48" s="423"/>
      <c r="D48" s="423"/>
      <c r="E48" s="423"/>
      <c r="F48" s="423"/>
      <c r="G48" s="423"/>
      <c r="H48" s="423"/>
      <c r="I48" s="1"/>
      <c r="J48" s="302"/>
      <c r="K48" s="302"/>
      <c r="L48" s="302"/>
      <c r="M48" s="355" t="s">
        <v>307</v>
      </c>
      <c r="N48" s="791">
        <f>IF(K22="OUI",((((L38-M38)*K38)+((L39-M39)*K39)+((L40-M40)*K40)+((L41-M41)*K41)+((L42-M42)*K42)+((L43-M43)*K43)+((L44-M44)*K44)+((L45-M45)*K45)))*O37,0)</f>
        <v>0</v>
      </c>
      <c r="O48" s="792"/>
      <c r="P48" s="302"/>
      <c r="Q48" s="302"/>
      <c r="R48" s="302"/>
      <c r="S48" s="302"/>
      <c r="T48" s="302"/>
      <c r="U48" s="302"/>
      <c r="V48" s="302"/>
      <c r="W48" s="321"/>
      <c r="X48" s="321"/>
      <c r="Y48" s="321"/>
      <c r="Z48" s="321"/>
      <c r="AA48" s="321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</row>
    <row r="49" spans="2:44">
      <c r="G49" s="196"/>
      <c r="I49" s="1"/>
      <c r="J49" s="302"/>
      <c r="K49" s="302"/>
      <c r="L49" s="302"/>
      <c r="M49" s="354"/>
      <c r="N49" s="353"/>
      <c r="O49" s="353"/>
      <c r="P49" s="302"/>
      <c r="Q49" s="302"/>
      <c r="R49" s="302"/>
      <c r="S49" s="302"/>
      <c r="T49" s="302"/>
      <c r="U49" s="302"/>
      <c r="V49" s="302"/>
      <c r="W49" s="321"/>
      <c r="X49" s="321"/>
      <c r="Y49" s="321"/>
      <c r="Z49" s="321"/>
      <c r="AA49" s="321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</row>
    <row r="50" spans="2:44" ht="17.100000000000001" customHeight="1" thickBot="1">
      <c r="B50" t="str">
        <f>Paramètres!C5</f>
        <v>Electricité 
achetée</v>
      </c>
      <c r="C50" s="448"/>
      <c r="D50" t="str">
        <f>Paramètres!C6</f>
        <v>kWh</v>
      </c>
      <c r="G50" s="196"/>
      <c r="J50" s="302"/>
      <c r="K50" s="302"/>
      <c r="L50" s="302"/>
      <c r="M50" s="354"/>
      <c r="N50" s="353"/>
      <c r="O50" s="353"/>
      <c r="P50" s="353"/>
      <c r="Q50" s="353"/>
      <c r="R50" s="302"/>
      <c r="S50" s="302"/>
      <c r="T50" s="302"/>
      <c r="U50" s="302"/>
      <c r="V50" s="302"/>
      <c r="W50" s="302"/>
      <c r="X50" s="302"/>
      <c r="Y50" s="321"/>
      <c r="Z50" s="321"/>
      <c r="AA50" s="321"/>
      <c r="AB50" s="321"/>
      <c r="AC50" s="321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</row>
    <row r="51" spans="2:44" ht="17.100000000000001" customHeight="1" thickBot="1">
      <c r="B51" t="str">
        <f>Paramètres!D5</f>
        <v>Gaz Naturel</v>
      </c>
      <c r="C51" s="448"/>
      <c r="D51" s="145" t="str">
        <f>Paramètres!D6</f>
        <v>kWhs</v>
      </c>
      <c r="G51" s="196"/>
      <c r="H51" s="145"/>
      <c r="J51" s="786" t="s">
        <v>308</v>
      </c>
      <c r="K51" s="793"/>
      <c r="L51" s="793"/>
      <c r="M51" s="793"/>
      <c r="N51" s="793"/>
      <c r="O51" s="793"/>
      <c r="P51" s="793"/>
      <c r="Q51" s="787"/>
      <c r="R51" s="302"/>
      <c r="S51" s="302"/>
      <c r="T51" s="302"/>
      <c r="U51" s="302"/>
      <c r="V51" s="302"/>
      <c r="W51" s="302"/>
      <c r="X51" s="302"/>
      <c r="Y51" s="321"/>
      <c r="Z51" s="321"/>
      <c r="AA51" s="321"/>
      <c r="AB51" s="321"/>
      <c r="AC51" s="321"/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</row>
    <row r="52" spans="2:44" ht="17.100000000000001" customHeight="1">
      <c r="B52" t="str">
        <f>Paramètres!F5</f>
        <v>Biogaz</v>
      </c>
      <c r="C52" s="448"/>
      <c r="D52" s="145" t="str">
        <f>Paramètres!F6</f>
        <v>kWhs</v>
      </c>
      <c r="G52" s="196"/>
      <c r="H52" s="145"/>
      <c r="J52" s="633"/>
      <c r="K52" s="633"/>
      <c r="L52" s="633"/>
      <c r="M52" s="633"/>
      <c r="N52" s="633"/>
      <c r="O52" s="633"/>
      <c r="P52" s="633"/>
      <c r="Q52" s="633"/>
      <c r="R52" s="302"/>
      <c r="S52" s="302"/>
      <c r="T52" s="302"/>
      <c r="U52" s="302"/>
      <c r="V52" s="302"/>
      <c r="W52" s="302"/>
      <c r="X52" s="302"/>
      <c r="Y52" s="321"/>
      <c r="Z52" s="321"/>
      <c r="AA52" s="321"/>
      <c r="AB52" s="321"/>
      <c r="AC52" s="321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</row>
    <row r="53" spans="2:44" ht="17.100000000000001" customHeight="1">
      <c r="B53" t="str">
        <f>Paramètres!G5</f>
        <v>Elec SER</v>
      </c>
      <c r="C53" s="448"/>
      <c r="D53" s="145" t="str">
        <f>Paramètres!G6</f>
        <v>kWh</v>
      </c>
      <c r="G53" s="196"/>
      <c r="H53" s="145"/>
      <c r="J53" s="633"/>
      <c r="K53" s="633"/>
      <c r="L53" s="633"/>
      <c r="M53" s="633"/>
      <c r="N53" s="633"/>
      <c r="O53" s="633"/>
      <c r="P53" s="633"/>
      <c r="Q53" s="633"/>
      <c r="R53" s="302"/>
      <c r="S53" s="302"/>
      <c r="T53" s="302"/>
      <c r="U53" s="302"/>
      <c r="V53" s="302"/>
      <c r="W53" s="302"/>
      <c r="X53" s="302"/>
      <c r="Y53" s="321"/>
      <c r="Z53" s="321"/>
      <c r="AA53" s="321"/>
      <c r="AB53" s="321"/>
      <c r="AC53" s="321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</row>
    <row r="54" spans="2:44" ht="17.100000000000001" customHeight="1" thickBot="1">
      <c r="B54" t="str">
        <f>Paramètres!H5</f>
        <v>Process</v>
      </c>
      <c r="C54" s="448">
        <v>9000000</v>
      </c>
      <c r="D54" s="145" t="str">
        <f>Paramètres!H6</f>
        <v>kgCO2</v>
      </c>
      <c r="G54" s="196"/>
      <c r="J54" s="802"/>
      <c r="K54" s="802"/>
      <c r="L54" s="802"/>
      <c r="M54" s="802"/>
      <c r="N54" s="8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21"/>
      <c r="AB54" s="321"/>
      <c r="AC54" s="321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</row>
    <row r="55" spans="2:44">
      <c r="C55" s="195"/>
      <c r="J55" s="803" t="s">
        <v>309</v>
      </c>
      <c r="K55" s="806" t="s">
        <v>310</v>
      </c>
      <c r="L55" s="330" t="s">
        <v>311</v>
      </c>
      <c r="M55" s="352"/>
      <c r="N55" s="333" t="s">
        <v>312</v>
      </c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21"/>
      <c r="AB55" s="321"/>
      <c r="AC55" s="321"/>
      <c r="AD55" s="321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</row>
    <row r="56" spans="2:44" ht="16.2" thickBot="1">
      <c r="B56" s="198" t="s">
        <v>313</v>
      </c>
      <c r="C56" s="423"/>
      <c r="D56" s="423"/>
      <c r="E56" s="423"/>
      <c r="F56" s="423"/>
      <c r="G56" s="423"/>
      <c r="H56" s="423"/>
      <c r="J56" s="804"/>
      <c r="K56" s="807"/>
      <c r="L56" s="326" t="s">
        <v>314</v>
      </c>
      <c r="M56" s="327"/>
      <c r="N56" s="326" t="s">
        <v>312</v>
      </c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21"/>
      <c r="AB56" s="321"/>
      <c r="AC56" s="321"/>
      <c r="AD56" s="321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</row>
    <row r="57" spans="2:44">
      <c r="H57" s="178"/>
      <c r="J57" s="804"/>
      <c r="K57" s="807" t="s">
        <v>315</v>
      </c>
      <c r="L57" s="341" t="s">
        <v>316</v>
      </c>
      <c r="M57" s="340"/>
      <c r="N57" s="333" t="s">
        <v>312</v>
      </c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21"/>
      <c r="AB57" s="321"/>
      <c r="AC57" s="321"/>
      <c r="AD57" s="321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</row>
    <row r="58" spans="2:44" ht="13.8" thickBot="1">
      <c r="B58" s="810"/>
      <c r="C58" s="811"/>
      <c r="D58" s="811"/>
      <c r="E58" s="812"/>
      <c r="G58" s="630">
        <v>0</v>
      </c>
      <c r="H58" s="476"/>
      <c r="J58" s="804"/>
      <c r="K58" s="807"/>
      <c r="L58" s="339" t="s">
        <v>317</v>
      </c>
      <c r="M58" s="351"/>
      <c r="N58" s="326" t="s">
        <v>312</v>
      </c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21"/>
      <c r="AB58" s="321"/>
      <c r="AC58" s="321"/>
      <c r="AD58" s="321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</row>
    <row r="59" spans="2:44" ht="13.8" thickBot="1">
      <c r="B59" s="808"/>
      <c r="C59" s="808"/>
      <c r="D59" s="808"/>
      <c r="E59" s="808"/>
      <c r="F59" s="808"/>
      <c r="G59" s="422"/>
      <c r="H59" s="178"/>
      <c r="J59" s="805"/>
      <c r="K59" s="350" t="s">
        <v>318</v>
      </c>
      <c r="L59" s="322" t="s">
        <v>319</v>
      </c>
      <c r="M59" s="349"/>
      <c r="N59" s="331" t="s">
        <v>312</v>
      </c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21"/>
      <c r="AB59" s="321"/>
      <c r="AC59" s="321"/>
      <c r="AD59" s="321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</row>
    <row r="60" spans="2:44" ht="13.8" thickBot="1">
      <c r="B60" s="808"/>
      <c r="C60" s="808"/>
      <c r="D60" s="808"/>
      <c r="E60" s="808"/>
      <c r="F60" s="808"/>
      <c r="G60" s="422"/>
      <c r="H60" s="178"/>
      <c r="J60" s="348"/>
      <c r="K60" s="346"/>
      <c r="L60" s="346"/>
      <c r="M60" s="347"/>
      <c r="N60" s="346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21"/>
      <c r="AB60" s="321"/>
      <c r="AC60" s="321"/>
      <c r="AD60" s="321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</row>
    <row r="61" spans="2:44" ht="13.8" thickBot="1">
      <c r="B61" s="813" t="s">
        <v>320</v>
      </c>
      <c r="C61" s="813"/>
      <c r="D61" s="813"/>
      <c r="E61" s="813"/>
      <c r="F61" s="813"/>
      <c r="G61" s="449">
        <f>SUM(G58:G60)/1000</f>
        <v>0</v>
      </c>
      <c r="H61" s="190"/>
      <c r="J61" s="814" t="s">
        <v>321</v>
      </c>
      <c r="K61" s="344" t="s">
        <v>322</v>
      </c>
      <c r="L61" s="343" t="s">
        <v>323</v>
      </c>
      <c r="M61" s="342"/>
      <c r="N61" s="333" t="s">
        <v>324</v>
      </c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21"/>
      <c r="AB61" s="321"/>
      <c r="AC61" s="321"/>
      <c r="AD61" s="321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</row>
    <row r="62" spans="2:44">
      <c r="B62" s="193"/>
      <c r="C62" s="194"/>
      <c r="D62" s="193"/>
      <c r="E62" s="193"/>
      <c r="F62" s="193"/>
      <c r="J62" s="815"/>
      <c r="K62" s="807" t="s">
        <v>325</v>
      </c>
      <c r="L62" s="341" t="s">
        <v>326</v>
      </c>
      <c r="M62" s="340"/>
      <c r="N62" s="333" t="s">
        <v>324</v>
      </c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21"/>
      <c r="AB62" s="321"/>
      <c r="AC62" s="321"/>
      <c r="AD62" s="321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</row>
    <row r="63" spans="2:44" ht="16.2" thickBot="1">
      <c r="B63" s="198" t="s">
        <v>327</v>
      </c>
      <c r="C63" s="423"/>
      <c r="D63" s="423"/>
      <c r="E63" s="423"/>
      <c r="F63" s="423"/>
      <c r="G63" s="423"/>
      <c r="H63" s="423"/>
      <c r="J63" s="815"/>
      <c r="K63" s="807"/>
      <c r="L63" s="339" t="s">
        <v>328</v>
      </c>
      <c r="M63" s="338"/>
      <c r="N63" s="322" t="s">
        <v>329</v>
      </c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21"/>
      <c r="AB63" s="321"/>
      <c r="AC63" s="321"/>
      <c r="AD63" s="321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</row>
    <row r="64" spans="2:44">
      <c r="B64" s="808"/>
      <c r="C64" s="808"/>
      <c r="D64" s="808"/>
      <c r="E64" s="808"/>
      <c r="F64" s="808"/>
      <c r="G64" s="192"/>
      <c r="H64" s="178" t="s">
        <v>330</v>
      </c>
      <c r="J64" s="815"/>
      <c r="K64" s="807" t="s">
        <v>331</v>
      </c>
      <c r="L64" s="337" t="s">
        <v>332</v>
      </c>
      <c r="M64" s="336">
        <f>N47/1000</f>
        <v>0</v>
      </c>
      <c r="N64" s="333" t="s">
        <v>324</v>
      </c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21"/>
      <c r="AB64" s="321"/>
      <c r="AC64" s="321"/>
      <c r="AD64" s="321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</row>
    <row r="65" spans="2:44" ht="13.8" thickBot="1">
      <c r="B65" s="808"/>
      <c r="C65" s="808"/>
      <c r="D65" s="808"/>
      <c r="E65" s="808"/>
      <c r="F65" s="808"/>
      <c r="G65" s="192"/>
      <c r="H65" s="178" t="s">
        <v>330</v>
      </c>
      <c r="J65" s="815"/>
      <c r="K65" s="809"/>
      <c r="L65" s="328" t="s">
        <v>333</v>
      </c>
      <c r="M65" s="335">
        <f>N48/1000</f>
        <v>0</v>
      </c>
      <c r="N65" s="326" t="s">
        <v>324</v>
      </c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21"/>
      <c r="AB65" s="321"/>
      <c r="AC65" s="321"/>
      <c r="AD65" s="321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</row>
    <row r="66" spans="2:44" ht="13.8" thickBot="1">
      <c r="B66" s="808"/>
      <c r="C66" s="808"/>
      <c r="D66" s="808"/>
      <c r="E66" s="808"/>
      <c r="F66" s="808"/>
      <c r="G66" s="192"/>
      <c r="H66" s="178" t="s">
        <v>330</v>
      </c>
      <c r="J66" s="815"/>
      <c r="K66" s="334" t="s">
        <v>334</v>
      </c>
      <c r="L66" s="333" t="s">
        <v>335</v>
      </c>
      <c r="M66" s="332">
        <v>0</v>
      </c>
      <c r="N66" s="331" t="s">
        <v>324</v>
      </c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21"/>
      <c r="AB66" s="321"/>
      <c r="AC66" s="321"/>
      <c r="AD66" s="321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</row>
    <row r="67" spans="2:44">
      <c r="B67" s="813" t="s">
        <v>336</v>
      </c>
      <c r="C67" s="813"/>
      <c r="D67" s="813"/>
      <c r="E67" s="813"/>
      <c r="F67" s="813"/>
      <c r="G67" s="191">
        <f>SUM(G64:G66)</f>
        <v>0</v>
      </c>
      <c r="H67" s="190" t="s">
        <v>330</v>
      </c>
      <c r="J67" s="815"/>
      <c r="K67" s="817" t="s">
        <v>337</v>
      </c>
      <c r="L67" s="330" t="s">
        <v>338</v>
      </c>
      <c r="M67" s="327"/>
      <c r="N67" s="326" t="s">
        <v>324</v>
      </c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21"/>
      <c r="AB67" s="321"/>
      <c r="AC67" s="321"/>
      <c r="AD67" s="321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</row>
    <row r="68" spans="2:44" ht="26.4">
      <c r="B68" s="423"/>
      <c r="C68" s="423"/>
      <c r="D68" s="423"/>
      <c r="E68" s="423"/>
      <c r="F68" s="423"/>
      <c r="G68" s="423"/>
      <c r="H68" s="423"/>
      <c r="J68" s="815"/>
      <c r="K68" s="807"/>
      <c r="L68" s="328" t="s">
        <v>339</v>
      </c>
      <c r="M68" s="327"/>
      <c r="N68" s="326" t="s">
        <v>324</v>
      </c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21"/>
      <c r="AB68" s="321"/>
      <c r="AC68" s="321"/>
      <c r="AD68" s="321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</row>
    <row r="69" spans="2:44">
      <c r="B69" s="145"/>
      <c r="J69" s="815"/>
      <c r="K69" s="807"/>
      <c r="L69" s="328" t="s">
        <v>340</v>
      </c>
      <c r="M69" s="327"/>
      <c r="N69" s="326" t="s">
        <v>324</v>
      </c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21"/>
      <c r="AB69" s="321"/>
      <c r="AC69" s="321"/>
      <c r="AD69" s="321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</row>
    <row r="70" spans="2:44" ht="18" customHeight="1">
      <c r="B70" s="819" t="s">
        <v>341</v>
      </c>
      <c r="C70" s="820"/>
      <c r="D70" s="820"/>
      <c r="E70" s="820"/>
      <c r="F70" s="820"/>
      <c r="G70" s="820"/>
      <c r="H70" s="821"/>
      <c r="J70" s="815"/>
      <c r="K70" s="807"/>
      <c r="L70" s="328" t="s">
        <v>342</v>
      </c>
      <c r="M70" s="327"/>
      <c r="N70" s="326" t="s">
        <v>324</v>
      </c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21"/>
      <c r="AB70" s="321"/>
      <c r="AC70" s="321"/>
      <c r="AD70" s="321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</row>
    <row r="71" spans="2:44" ht="34.5" customHeight="1">
      <c r="B71" s="186" t="s">
        <v>343</v>
      </c>
      <c r="C71" s="187" t="s">
        <v>344</v>
      </c>
      <c r="D71" s="187" t="s">
        <v>129</v>
      </c>
      <c r="E71" s="822" t="s">
        <v>345</v>
      </c>
      <c r="F71" s="823"/>
      <c r="G71" s="186" t="s">
        <v>346</v>
      </c>
      <c r="H71" s="185"/>
      <c r="J71" s="815"/>
      <c r="K71" s="807"/>
      <c r="L71" s="328" t="s">
        <v>347</v>
      </c>
      <c r="M71" s="327"/>
      <c r="N71" s="326" t="s">
        <v>324</v>
      </c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21"/>
      <c r="AB71" s="321"/>
      <c r="AC71" s="321"/>
      <c r="AD71" s="321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</row>
    <row r="72" spans="2:44" ht="13.8" thickBot="1">
      <c r="B72" s="184" t="str">
        <f t="shared" ref="B72:D76" si="0">+B50</f>
        <v>Electricité 
achetée</v>
      </c>
      <c r="C72" s="183">
        <f t="shared" si="0"/>
        <v>0</v>
      </c>
      <c r="D72" t="str">
        <f t="shared" si="0"/>
        <v>kWh</v>
      </c>
      <c r="E72" s="189">
        <f>Paramètres!C10</f>
        <v>1</v>
      </c>
      <c r="F72" s="145" t="str">
        <f>"kWhf/"&amp;D72</f>
        <v>kWhf/kWh</v>
      </c>
      <c r="G72" s="214">
        <f>+C72*E72/1000</f>
        <v>0</v>
      </c>
      <c r="H72" s="212" t="s">
        <v>233</v>
      </c>
      <c r="J72" s="816"/>
      <c r="K72" s="818"/>
      <c r="L72" s="324" t="s">
        <v>232</v>
      </c>
      <c r="M72" s="323"/>
      <c r="N72" s="322" t="s">
        <v>324</v>
      </c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21"/>
      <c r="AB72" s="321"/>
      <c r="AC72" s="321"/>
      <c r="AD72" s="321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</row>
    <row r="73" spans="2:44" ht="14.4">
      <c r="B73" s="184" t="str">
        <f t="shared" si="0"/>
        <v>Gaz Naturel</v>
      </c>
      <c r="C73" s="183">
        <f t="shared" si="0"/>
        <v>0</v>
      </c>
      <c r="D73" t="str">
        <f t="shared" si="0"/>
        <v>kWhs</v>
      </c>
      <c r="E73" s="189">
        <f>Paramètres!D10</f>
        <v>1</v>
      </c>
      <c r="F73" s="145" t="str">
        <f t="shared" ref="F73:F75" si="1">"kWhf/"&amp;D73</f>
        <v>kWhf/kWhs</v>
      </c>
      <c r="G73" s="214">
        <f>+C73*E73/1000</f>
        <v>0</v>
      </c>
      <c r="H73" s="212" t="s">
        <v>233</v>
      </c>
      <c r="J73" s="320"/>
      <c r="K73" s="302"/>
      <c r="L73" s="302"/>
      <c r="M73" s="319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</row>
    <row r="74" spans="2:44" ht="14.4">
      <c r="B74" s="184" t="str">
        <f t="shared" si="0"/>
        <v>Biogaz</v>
      </c>
      <c r="C74" s="183">
        <f t="shared" si="0"/>
        <v>0</v>
      </c>
      <c r="D74" t="str">
        <f t="shared" si="0"/>
        <v>kWhs</v>
      </c>
      <c r="E74" s="189">
        <f>Paramètres!F10</f>
        <v>1</v>
      </c>
      <c r="F74" s="145" t="str">
        <f t="shared" ref="F74" si="2">"kWhf/"&amp;D74</f>
        <v>kWhf/kWhs</v>
      </c>
      <c r="G74" s="214">
        <f>+C74*E74/1000</f>
        <v>0</v>
      </c>
      <c r="H74" s="212" t="s">
        <v>233</v>
      </c>
      <c r="J74" s="320"/>
      <c r="K74" s="302"/>
      <c r="L74" s="302"/>
      <c r="M74" s="319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</row>
    <row r="75" spans="2:44" ht="14.4">
      <c r="B75" s="184" t="str">
        <f t="shared" si="0"/>
        <v>Elec SER</v>
      </c>
      <c r="C75" s="183">
        <f t="shared" si="0"/>
        <v>0</v>
      </c>
      <c r="D75" t="str">
        <f t="shared" si="0"/>
        <v>kWh</v>
      </c>
      <c r="E75" s="189">
        <f>Paramètres!G10</f>
        <v>1</v>
      </c>
      <c r="F75" s="145" t="str">
        <f t="shared" si="1"/>
        <v>kWhf/kWh</v>
      </c>
      <c r="G75" s="214">
        <f>+C75*E75/1000</f>
        <v>0</v>
      </c>
      <c r="H75" s="212" t="s">
        <v>233</v>
      </c>
      <c r="J75" s="320"/>
      <c r="K75" s="302"/>
      <c r="L75" s="302"/>
      <c r="M75" s="319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</row>
    <row r="76" spans="2:44" ht="15" thickBot="1">
      <c r="B76" s="184" t="str">
        <f t="shared" si="0"/>
        <v>Process</v>
      </c>
      <c r="C76" s="183">
        <f t="shared" si="0"/>
        <v>9000000</v>
      </c>
      <c r="D76" t="str">
        <f t="shared" si="0"/>
        <v>kgCO2</v>
      </c>
      <c r="E76" s="189">
        <f>Paramètres!H10</f>
        <v>0</v>
      </c>
      <c r="F76" s="145" t="str">
        <f t="shared" ref="F76" si="3">"kWhf/"&amp;D76</f>
        <v>kWhf/kgCO2</v>
      </c>
      <c r="G76" s="214">
        <f>+C76*E76/1000</f>
        <v>0</v>
      </c>
      <c r="H76" s="212" t="s">
        <v>233</v>
      </c>
      <c r="J76" s="320"/>
      <c r="K76" s="302"/>
      <c r="L76" s="302"/>
      <c r="M76" s="319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</row>
    <row r="77" spans="2:44" ht="16.2" thickBot="1">
      <c r="B77" s="824" t="s">
        <v>348</v>
      </c>
      <c r="C77" s="825"/>
      <c r="D77" s="825"/>
      <c r="E77" s="825"/>
      <c r="F77" s="825"/>
      <c r="G77" s="215">
        <f>SUM(G72:G75)</f>
        <v>0</v>
      </c>
      <c r="H77" s="213" t="s">
        <v>233</v>
      </c>
      <c r="J77" s="826" t="s">
        <v>349</v>
      </c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7"/>
      <c r="V77" s="827"/>
      <c r="W77" s="827"/>
      <c r="X77" s="827"/>
      <c r="Y77" s="827"/>
      <c r="Z77" s="827"/>
      <c r="AA77" s="827"/>
      <c r="AB77" s="827"/>
      <c r="AC77" s="827"/>
      <c r="AD77" s="827"/>
      <c r="AE77" s="827"/>
      <c r="AF77" s="827"/>
      <c r="AG77" s="827"/>
      <c r="AH77" s="827"/>
      <c r="AI77" s="827"/>
      <c r="AJ77" s="827"/>
      <c r="AK77" s="827"/>
      <c r="AL77" s="827"/>
      <c r="AM77" s="827"/>
      <c r="AN77" s="827"/>
      <c r="AO77" s="827"/>
      <c r="AP77" s="827"/>
      <c r="AQ77" s="827"/>
      <c r="AR77" s="828"/>
    </row>
    <row r="78" spans="2:44" ht="13.8" thickBot="1">
      <c r="B78" s="86"/>
      <c r="C78" s="86"/>
      <c r="D78" s="86"/>
      <c r="E78" s="86"/>
      <c r="F78" s="86"/>
      <c r="G78" s="216">
        <f>G77/'2023'!H35</f>
        <v>0</v>
      </c>
      <c r="H78" s="228">
        <f>G77/'2023'!T17</f>
        <v>0</v>
      </c>
      <c r="J78" s="302"/>
      <c r="K78" s="302"/>
      <c r="L78" s="302"/>
      <c r="M78" s="301"/>
      <c r="N78" s="302"/>
      <c r="O78" s="308"/>
      <c r="P78" s="308"/>
      <c r="Q78" s="308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</row>
    <row r="79" spans="2:44" ht="14.4" thickBot="1">
      <c r="B79" s="188"/>
      <c r="C79" s="188"/>
      <c r="D79" s="188"/>
      <c r="E79" s="188"/>
      <c r="F79" s="188"/>
      <c r="G79" s="188"/>
      <c r="H79" s="188"/>
      <c r="J79" s="302"/>
      <c r="K79" s="302"/>
      <c r="L79" s="302"/>
      <c r="M79" s="301"/>
      <c r="N79" s="831" t="s">
        <v>350</v>
      </c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  <c r="AQ79" s="832"/>
      <c r="AR79" s="833"/>
    </row>
    <row r="80" spans="2:44" ht="19.5" customHeight="1" thickBot="1">
      <c r="B80" s="819" t="s">
        <v>351</v>
      </c>
      <c r="C80" s="820"/>
      <c r="D80" s="820"/>
      <c r="E80" s="820"/>
      <c r="F80" s="820"/>
      <c r="G80" s="820"/>
      <c r="H80" s="821"/>
      <c r="J80" s="302"/>
      <c r="K80" s="302"/>
      <c r="L80" s="310"/>
      <c r="M80" s="310"/>
      <c r="N80" s="300">
        <v>0</v>
      </c>
      <c r="O80" s="299">
        <v>1</v>
      </c>
      <c r="P80" s="299">
        <v>2</v>
      </c>
      <c r="Q80" s="299">
        <v>3</v>
      </c>
      <c r="R80" s="299">
        <v>4</v>
      </c>
      <c r="S80" s="299">
        <v>5</v>
      </c>
      <c r="T80" s="299">
        <v>6</v>
      </c>
      <c r="U80" s="299">
        <v>7</v>
      </c>
      <c r="V80" s="299">
        <v>8</v>
      </c>
      <c r="W80" s="299">
        <v>9</v>
      </c>
      <c r="X80" s="299">
        <v>10</v>
      </c>
      <c r="Y80" s="299">
        <v>11</v>
      </c>
      <c r="Z80" s="299">
        <v>12</v>
      </c>
      <c r="AA80" s="299">
        <v>13</v>
      </c>
      <c r="AB80" s="299">
        <v>14</v>
      </c>
      <c r="AC80" s="299">
        <v>15</v>
      </c>
      <c r="AD80" s="299">
        <v>16</v>
      </c>
      <c r="AE80" s="299">
        <v>17</v>
      </c>
      <c r="AF80" s="299">
        <v>18</v>
      </c>
      <c r="AG80" s="299">
        <v>19</v>
      </c>
      <c r="AH80" s="299">
        <v>20</v>
      </c>
      <c r="AI80" s="299">
        <v>21</v>
      </c>
      <c r="AJ80" s="299">
        <v>22</v>
      </c>
      <c r="AK80" s="299">
        <v>23</v>
      </c>
      <c r="AL80" s="299">
        <v>24</v>
      </c>
      <c r="AM80" s="299">
        <v>25</v>
      </c>
      <c r="AN80" s="299">
        <v>26</v>
      </c>
      <c r="AO80" s="299">
        <v>27</v>
      </c>
      <c r="AP80" s="299">
        <v>28</v>
      </c>
      <c r="AQ80" s="299">
        <v>29</v>
      </c>
      <c r="AR80" s="298">
        <v>30</v>
      </c>
    </row>
    <row r="81" spans="2:44" ht="30" customHeight="1">
      <c r="B81" s="186" t="str">
        <f>+B71</f>
        <v>Vecteurs énergétiques</v>
      </c>
      <c r="C81" s="186" t="str">
        <f>+C71</f>
        <v>Quantités</v>
      </c>
      <c r="D81" s="186" t="str">
        <f>+D71</f>
        <v>Unités</v>
      </c>
      <c r="E81" s="834" t="s">
        <v>352</v>
      </c>
      <c r="F81" s="834"/>
      <c r="G81" s="186" t="s">
        <v>353</v>
      </c>
      <c r="H81" s="185"/>
      <c r="J81" s="302"/>
      <c r="K81" s="302"/>
      <c r="L81" s="835" t="s">
        <v>354</v>
      </c>
      <c r="M81" s="297" t="s">
        <v>311</v>
      </c>
      <c r="N81" s="296">
        <f>(M55)</f>
        <v>0</v>
      </c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7"/>
    </row>
    <row r="82" spans="2:44" ht="16.2" thickBot="1">
      <c r="B82" s="184" t="str">
        <f>+B72</f>
        <v>Electricité 
achetée</v>
      </c>
      <c r="C82" s="183">
        <f t="shared" ref="C82:D86" si="4">C72</f>
        <v>0</v>
      </c>
      <c r="D82" s="183" t="str">
        <f t="shared" si="4"/>
        <v>kWh</v>
      </c>
      <c r="E82" s="211">
        <f>Paramètres!C$12</f>
        <v>0.216</v>
      </c>
      <c r="F82" s="145" t="str">
        <f>"kgCO2/"&amp;D82</f>
        <v>kgCO2/kWh</v>
      </c>
      <c r="G82" s="182">
        <f>+C82*E82</f>
        <v>0</v>
      </c>
      <c r="H82" s="181" t="s">
        <v>355</v>
      </c>
      <c r="J82" s="302"/>
      <c r="K82" s="302"/>
      <c r="L82" s="836"/>
      <c r="M82" s="310" t="s">
        <v>314</v>
      </c>
      <c r="N82" s="290">
        <f>M56</f>
        <v>0</v>
      </c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16"/>
    </row>
    <row r="83" spans="2:44" ht="15.6">
      <c r="B83" s="184" t="str">
        <f>+B73</f>
        <v>Gaz Naturel</v>
      </c>
      <c r="C83" s="183">
        <f t="shared" si="4"/>
        <v>0</v>
      </c>
      <c r="D83" s="183" t="str">
        <f t="shared" si="4"/>
        <v>kWhs</v>
      </c>
      <c r="E83" s="211">
        <f>Paramètres!D$12</f>
        <v>0.218</v>
      </c>
      <c r="F83" s="145" t="str">
        <f t="shared" ref="F83:F86" si="5">"kgCO2/"&amp;D83</f>
        <v>kgCO2/kWhs</v>
      </c>
      <c r="G83" s="182">
        <f>+C83*E83</f>
        <v>0</v>
      </c>
      <c r="H83" s="181" t="s">
        <v>355</v>
      </c>
      <c r="I83" s="81"/>
      <c r="J83" s="302"/>
      <c r="K83" s="302"/>
      <c r="L83" s="837" t="s">
        <v>356</v>
      </c>
      <c r="M83" s="297" t="s">
        <v>357</v>
      </c>
      <c r="N83" s="290">
        <f>M57+M58</f>
        <v>0</v>
      </c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16"/>
    </row>
    <row r="84" spans="2:44" ht="15.6">
      <c r="B84" s="184" t="str">
        <f>+B74</f>
        <v>Biogaz</v>
      </c>
      <c r="C84" s="183">
        <f t="shared" si="4"/>
        <v>0</v>
      </c>
      <c r="D84" s="183" t="str">
        <f t="shared" si="4"/>
        <v>kWhs</v>
      </c>
      <c r="E84" s="211">
        <f>Paramètres!F$12</f>
        <v>0</v>
      </c>
      <c r="F84" s="145" t="str">
        <f t="shared" ref="F84" si="6">"kgCO2/"&amp;D84</f>
        <v>kgCO2/kWhs</v>
      </c>
      <c r="G84" s="182">
        <f>+C84*E84</f>
        <v>0</v>
      </c>
      <c r="H84" s="181" t="s">
        <v>355</v>
      </c>
      <c r="I84" s="81"/>
      <c r="J84" s="302"/>
      <c r="K84" s="302"/>
      <c r="L84" s="836"/>
      <c r="M84" s="310"/>
      <c r="N84" s="290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16"/>
    </row>
    <row r="85" spans="2:44" ht="16.2" thickBot="1">
      <c r="B85" s="184" t="str">
        <f>+B75</f>
        <v>Elec SER</v>
      </c>
      <c r="C85" s="183">
        <f t="shared" si="4"/>
        <v>0</v>
      </c>
      <c r="D85" s="183" t="str">
        <f t="shared" si="4"/>
        <v>kWh</v>
      </c>
      <c r="E85" s="211">
        <f>Paramètres!G$12</f>
        <v>0</v>
      </c>
      <c r="F85" s="145" t="str">
        <f t="shared" si="5"/>
        <v>kgCO2/kWh</v>
      </c>
      <c r="G85" s="182">
        <f>+C85*E85</f>
        <v>0</v>
      </c>
      <c r="H85" s="181" t="s">
        <v>355</v>
      </c>
      <c r="J85" s="302"/>
      <c r="K85" s="302"/>
      <c r="L85" s="838"/>
      <c r="M85" s="315" t="s">
        <v>358</v>
      </c>
      <c r="N85" s="278"/>
      <c r="O85" s="277" t="str">
        <f t="shared" ref="O85:Y85" si="7">IF(O80&lt;=$M$63,$M$62,"")</f>
        <v/>
      </c>
      <c r="P85" s="277" t="str">
        <f t="shared" si="7"/>
        <v/>
      </c>
      <c r="Q85" s="277" t="str">
        <f t="shared" si="7"/>
        <v/>
      </c>
      <c r="R85" s="277" t="str">
        <f t="shared" si="7"/>
        <v/>
      </c>
      <c r="S85" s="277" t="str">
        <f t="shared" si="7"/>
        <v/>
      </c>
      <c r="T85" s="277" t="str">
        <f t="shared" si="7"/>
        <v/>
      </c>
      <c r="U85" s="277" t="str">
        <f t="shared" si="7"/>
        <v/>
      </c>
      <c r="V85" s="277" t="str">
        <f t="shared" si="7"/>
        <v/>
      </c>
      <c r="W85" s="277" t="str">
        <f t="shared" si="7"/>
        <v/>
      </c>
      <c r="X85" s="277" t="str">
        <f t="shared" si="7"/>
        <v/>
      </c>
      <c r="Y85" s="277" t="str">
        <f t="shared" si="7"/>
        <v/>
      </c>
      <c r="Z85" s="277" t="str">
        <f t="shared" ref="Z85:AR85" si="8">IF(X80&lt;=$M$63,$M$62,"")</f>
        <v/>
      </c>
      <c r="AA85" s="277" t="str">
        <f t="shared" si="8"/>
        <v/>
      </c>
      <c r="AB85" s="277" t="str">
        <f t="shared" si="8"/>
        <v/>
      </c>
      <c r="AC85" s="277" t="str">
        <f t="shared" si="8"/>
        <v/>
      </c>
      <c r="AD85" s="277" t="str">
        <f t="shared" si="8"/>
        <v/>
      </c>
      <c r="AE85" s="277" t="str">
        <f t="shared" si="8"/>
        <v/>
      </c>
      <c r="AF85" s="277" t="str">
        <f t="shared" si="8"/>
        <v/>
      </c>
      <c r="AG85" s="277" t="str">
        <f t="shared" si="8"/>
        <v/>
      </c>
      <c r="AH85" s="277" t="str">
        <f t="shared" si="8"/>
        <v/>
      </c>
      <c r="AI85" s="277" t="str">
        <f t="shared" si="8"/>
        <v/>
      </c>
      <c r="AJ85" s="277" t="str">
        <f t="shared" si="8"/>
        <v/>
      </c>
      <c r="AK85" s="277" t="str">
        <f t="shared" si="8"/>
        <v/>
      </c>
      <c r="AL85" s="277" t="str">
        <f t="shared" si="8"/>
        <v/>
      </c>
      <c r="AM85" s="277" t="str">
        <f t="shared" si="8"/>
        <v/>
      </c>
      <c r="AN85" s="277" t="str">
        <f t="shared" si="8"/>
        <v/>
      </c>
      <c r="AO85" s="277" t="str">
        <f t="shared" si="8"/>
        <v/>
      </c>
      <c r="AP85" s="277" t="str">
        <f t="shared" si="8"/>
        <v/>
      </c>
      <c r="AQ85" s="277" t="str">
        <f t="shared" si="8"/>
        <v/>
      </c>
      <c r="AR85" s="276" t="str">
        <f t="shared" si="8"/>
        <v/>
      </c>
    </row>
    <row r="86" spans="2:44" ht="16.2" thickBot="1">
      <c r="B86" s="184" t="str">
        <f>+B76</f>
        <v>Process</v>
      </c>
      <c r="C86" s="183">
        <f t="shared" si="4"/>
        <v>9000000</v>
      </c>
      <c r="D86" s="183" t="str">
        <f t="shared" si="4"/>
        <v>kgCO2</v>
      </c>
      <c r="E86" s="211">
        <f>Paramètres!H$12</f>
        <v>1</v>
      </c>
      <c r="F86" s="145" t="str">
        <f t="shared" si="5"/>
        <v>kgCO2/kgCO2</v>
      </c>
      <c r="G86" s="182">
        <f>+C86*E86</f>
        <v>9000000</v>
      </c>
      <c r="H86" s="181" t="s">
        <v>355</v>
      </c>
      <c r="J86" s="302"/>
      <c r="K86" s="302"/>
      <c r="L86" s="312"/>
      <c r="M86" s="292"/>
      <c r="N86" s="278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6"/>
    </row>
    <row r="87" spans="2:44" ht="16.2" thickBot="1">
      <c r="B87" s="824" t="s">
        <v>359</v>
      </c>
      <c r="C87" s="825"/>
      <c r="D87" s="825"/>
      <c r="E87" s="825"/>
      <c r="F87" s="825"/>
      <c r="G87" s="180">
        <f>SUM(G82:G85)</f>
        <v>0</v>
      </c>
      <c r="H87" s="179" t="s">
        <v>355</v>
      </c>
      <c r="J87" s="302"/>
      <c r="K87" s="302"/>
      <c r="L87" s="314" t="s">
        <v>360</v>
      </c>
      <c r="M87" s="313" t="s">
        <v>360</v>
      </c>
      <c r="N87" s="278"/>
      <c r="O87" s="277">
        <f>IF(O80&lt;=$K$16,($M$61+$M$64+$M$65+$M$66+$M$67+$M$68+$M$69+$M$70+$M$71+$M$72),"")</f>
        <v>0</v>
      </c>
      <c r="P87" s="277">
        <f>IF(P80&lt;=$K$16,('AA4'!O87*(1+Paramètres!$B$20)),"")</f>
        <v>0</v>
      </c>
      <c r="Q87" s="277">
        <f>IF(Q80&lt;=$K$16,('AA4'!P87*(1+Paramètres!$B$20)),"")</f>
        <v>0</v>
      </c>
      <c r="R87" s="277">
        <f>IF(R80&lt;=$K$16,('AA4'!Q87*(1+Paramètres!$B$20)),"")</f>
        <v>0</v>
      </c>
      <c r="S87" s="277">
        <f>IF(S80&lt;=$K$16,('AA4'!R87*(1+Paramètres!$B$20)),"")</f>
        <v>0</v>
      </c>
      <c r="T87" s="277">
        <f>IF(T80&lt;=$K$16,('AA4'!S87*(1+Paramètres!$B$20)),"")</f>
        <v>0</v>
      </c>
      <c r="U87" s="277">
        <f>IF(U80&lt;=$K$16,('AA4'!T87*(1+Paramètres!$B$20)),"")</f>
        <v>0</v>
      </c>
      <c r="V87" s="277">
        <f>IF(V80&lt;=$K$16,('AA4'!U87*(1+Paramètres!$B$20)),"")</f>
        <v>0</v>
      </c>
      <c r="W87" s="277">
        <f>IF(W80&lt;=$K$16,('AA4'!V87*(1+Paramètres!$B$20)),"")</f>
        <v>0</v>
      </c>
      <c r="X87" s="277">
        <f>IF(X80&lt;=$K$16,('AA4'!W87*(1+Paramètres!$B$20)),"")</f>
        <v>0</v>
      </c>
      <c r="Y87" s="277">
        <f>IF(Y80&lt;=$K$16,('AA4'!X87*(1+Paramètres!$B$20)),"")</f>
        <v>0</v>
      </c>
      <c r="Z87" s="277">
        <f>IF(Z80&lt;=$K$16,('AA4'!Y87*(1+Paramètres!$B$20)),"")</f>
        <v>0</v>
      </c>
      <c r="AA87" s="277">
        <f>IF(AA80&lt;=$K$16,('AA4'!Z87*(1+Paramètres!$B$20)),"")</f>
        <v>0</v>
      </c>
      <c r="AB87" s="277">
        <f>IF(AB80&lt;=$K$16,('AA4'!AA87*(1+Paramètres!$B$20)),"")</f>
        <v>0</v>
      </c>
      <c r="AC87" s="277">
        <f>IF(AC80&lt;=$K$16,('AA4'!AB87*(1+Paramètres!$B$20)),"")</f>
        <v>0</v>
      </c>
      <c r="AD87" s="277" t="str">
        <f>IF(AD80&lt;=$K$16,('AA4'!AC87*(1+Paramètres!$B$20)),"")</f>
        <v/>
      </c>
      <c r="AE87" s="277" t="str">
        <f>IF(AE80&lt;=$K$16,('AA4'!AD87*(1+Paramètres!$B$20)),"")</f>
        <v/>
      </c>
      <c r="AF87" s="277" t="str">
        <f>IF(AF80&lt;=$K$16,('AA4'!AE87*(1+Paramètres!$B$20)),"")</f>
        <v/>
      </c>
      <c r="AG87" s="277" t="str">
        <f>IF(AG80&lt;=$K$16,('AA4'!AF87*(1+Paramètres!$B$20)),"")</f>
        <v/>
      </c>
      <c r="AH87" s="277" t="str">
        <f>IF(AH80&lt;=$K$16,('AA4'!AG87*(1+Paramètres!$B$20)),"")</f>
        <v/>
      </c>
      <c r="AI87" s="277" t="str">
        <f>IF(AI80&lt;=$K$16,('AA4'!AH87*(1+Paramètres!$B$20)),"")</f>
        <v/>
      </c>
      <c r="AJ87" s="277" t="str">
        <f>IF(AJ80&lt;=$K$16,('AA4'!AI87*(1+Paramètres!$B$20)),"")</f>
        <v/>
      </c>
      <c r="AK87" s="277" t="str">
        <f>IF(AK80&lt;=$K$16,('AA4'!AJ87*(1+Paramètres!$B$20)),"")</f>
        <v/>
      </c>
      <c r="AL87" s="277" t="str">
        <f>IF(AL80&lt;=$K$16,('AA4'!AK87*(1+Paramètres!$B$20)),"")</f>
        <v/>
      </c>
      <c r="AM87" s="277" t="str">
        <f>IF(AM80&lt;=$K$16,('AA4'!AL87*(1+Paramètres!$B$20)),"")</f>
        <v/>
      </c>
      <c r="AN87" s="277" t="str">
        <f>IF(AN80&lt;=$K$16,('AA4'!AM87*(1+Paramètres!$B$20)),"")</f>
        <v/>
      </c>
      <c r="AO87" s="277" t="str">
        <f>IF(AO80&lt;=$K$16,('AA4'!AN87*(1+Paramètres!$B$20)),"")</f>
        <v/>
      </c>
      <c r="AP87" s="277" t="str">
        <f>IF(AP80&lt;=$K$16,('AA4'!AO87*(1+Paramètres!$B$20)),"")</f>
        <v/>
      </c>
      <c r="AQ87" s="277" t="str">
        <f>IF(AQ80&lt;=$K$16,('AA4'!AP87*(1+Paramètres!$B$20)),"")</f>
        <v/>
      </c>
      <c r="AR87" s="276" t="str">
        <f>IF(AR80&lt;=$K$16,('AA4'!AQ87*(1+Paramètres!$B$20)),"")</f>
        <v/>
      </c>
    </row>
    <row r="88" spans="2:44" ht="13.8" thickBot="1">
      <c r="G88" s="217">
        <f>G87/'2023'!H36</f>
        <v>0</v>
      </c>
      <c r="H88" s="144">
        <f>G87/'2023'!H36</f>
        <v>0</v>
      </c>
      <c r="J88" s="302"/>
      <c r="K88" s="302"/>
      <c r="L88" s="312" t="s">
        <v>361</v>
      </c>
      <c r="M88" s="292" t="s">
        <v>319</v>
      </c>
      <c r="N88" s="265" t="str">
        <f t="shared" ref="N88:AR88" si="9">IF(N80=$K$16,$M$59,"")</f>
        <v/>
      </c>
      <c r="O88" s="264" t="str">
        <f t="shared" si="9"/>
        <v/>
      </c>
      <c r="P88" s="264" t="str">
        <f t="shared" si="9"/>
        <v/>
      </c>
      <c r="Q88" s="264" t="str">
        <f t="shared" si="9"/>
        <v/>
      </c>
      <c r="R88" s="264" t="str">
        <f t="shared" si="9"/>
        <v/>
      </c>
      <c r="S88" s="264" t="str">
        <f t="shared" si="9"/>
        <v/>
      </c>
      <c r="T88" s="264" t="str">
        <f t="shared" si="9"/>
        <v/>
      </c>
      <c r="U88" s="264" t="str">
        <f t="shared" si="9"/>
        <v/>
      </c>
      <c r="V88" s="264" t="str">
        <f t="shared" si="9"/>
        <v/>
      </c>
      <c r="W88" s="264" t="str">
        <f t="shared" si="9"/>
        <v/>
      </c>
      <c r="X88" s="264" t="str">
        <f t="shared" si="9"/>
        <v/>
      </c>
      <c r="Y88" s="264" t="str">
        <f t="shared" si="9"/>
        <v/>
      </c>
      <c r="Z88" s="264" t="str">
        <f t="shared" si="9"/>
        <v/>
      </c>
      <c r="AA88" s="264" t="str">
        <f t="shared" si="9"/>
        <v/>
      </c>
      <c r="AB88" s="264" t="str">
        <f t="shared" si="9"/>
        <v/>
      </c>
      <c r="AC88" s="264">
        <f t="shared" si="9"/>
        <v>0</v>
      </c>
      <c r="AD88" s="264" t="str">
        <f t="shared" si="9"/>
        <v/>
      </c>
      <c r="AE88" s="264" t="str">
        <f t="shared" si="9"/>
        <v/>
      </c>
      <c r="AF88" s="264" t="str">
        <f t="shared" si="9"/>
        <v/>
      </c>
      <c r="AG88" s="264" t="str">
        <f t="shared" si="9"/>
        <v/>
      </c>
      <c r="AH88" s="264" t="str">
        <f t="shared" si="9"/>
        <v/>
      </c>
      <c r="AI88" s="264" t="str">
        <f t="shared" si="9"/>
        <v/>
      </c>
      <c r="AJ88" s="264" t="str">
        <f t="shared" si="9"/>
        <v/>
      </c>
      <c r="AK88" s="264" t="str">
        <f t="shared" si="9"/>
        <v/>
      </c>
      <c r="AL88" s="264" t="str">
        <f t="shared" si="9"/>
        <v/>
      </c>
      <c r="AM88" s="264" t="str">
        <f t="shared" si="9"/>
        <v/>
      </c>
      <c r="AN88" s="264" t="str">
        <f t="shared" si="9"/>
        <v/>
      </c>
      <c r="AO88" s="264" t="str">
        <f t="shared" si="9"/>
        <v/>
      </c>
      <c r="AP88" s="264" t="str">
        <f t="shared" si="9"/>
        <v/>
      </c>
      <c r="AQ88" s="264" t="str">
        <f t="shared" si="9"/>
        <v/>
      </c>
      <c r="AR88" s="263" t="str">
        <f t="shared" si="9"/>
        <v/>
      </c>
    </row>
    <row r="89" spans="2:44" ht="13.8" thickBot="1">
      <c r="J89" s="302"/>
      <c r="K89" s="302"/>
      <c r="L89" s="839" t="s">
        <v>362</v>
      </c>
      <c r="M89" s="840"/>
      <c r="N89" s="260" t="str">
        <f t="shared" ref="N89:AR89" si="10">IF(SUM(N81:N88)=0,"",SUM(N81:N88))</f>
        <v/>
      </c>
      <c r="O89" s="259" t="str">
        <f t="shared" si="10"/>
        <v/>
      </c>
      <c r="P89" s="259" t="str">
        <f t="shared" si="10"/>
        <v/>
      </c>
      <c r="Q89" s="259" t="str">
        <f t="shared" si="10"/>
        <v/>
      </c>
      <c r="R89" s="259" t="str">
        <f t="shared" si="10"/>
        <v/>
      </c>
      <c r="S89" s="259" t="str">
        <f t="shared" si="10"/>
        <v/>
      </c>
      <c r="T89" s="259" t="str">
        <f t="shared" si="10"/>
        <v/>
      </c>
      <c r="U89" s="259" t="str">
        <f t="shared" si="10"/>
        <v/>
      </c>
      <c r="V89" s="259" t="str">
        <f t="shared" si="10"/>
        <v/>
      </c>
      <c r="W89" s="259" t="str">
        <f t="shared" si="10"/>
        <v/>
      </c>
      <c r="X89" s="259" t="str">
        <f t="shared" si="10"/>
        <v/>
      </c>
      <c r="Y89" s="259" t="str">
        <f t="shared" si="10"/>
        <v/>
      </c>
      <c r="Z89" s="259" t="str">
        <f t="shared" si="10"/>
        <v/>
      </c>
      <c r="AA89" s="259" t="str">
        <f t="shared" si="10"/>
        <v/>
      </c>
      <c r="AB89" s="259" t="str">
        <f t="shared" si="10"/>
        <v/>
      </c>
      <c r="AC89" s="259" t="str">
        <f t="shared" si="10"/>
        <v/>
      </c>
      <c r="AD89" s="259" t="str">
        <f t="shared" si="10"/>
        <v/>
      </c>
      <c r="AE89" s="259" t="str">
        <f t="shared" si="10"/>
        <v/>
      </c>
      <c r="AF89" s="259" t="str">
        <f t="shared" si="10"/>
        <v/>
      </c>
      <c r="AG89" s="259" t="str">
        <f t="shared" si="10"/>
        <v/>
      </c>
      <c r="AH89" s="259" t="str">
        <f t="shared" si="10"/>
        <v/>
      </c>
      <c r="AI89" s="259" t="str">
        <f t="shared" si="10"/>
        <v/>
      </c>
      <c r="AJ89" s="259" t="str">
        <f t="shared" si="10"/>
        <v/>
      </c>
      <c r="AK89" s="259" t="str">
        <f t="shared" si="10"/>
        <v/>
      </c>
      <c r="AL89" s="259" t="str">
        <f t="shared" si="10"/>
        <v/>
      </c>
      <c r="AM89" s="259" t="str">
        <f t="shared" si="10"/>
        <v/>
      </c>
      <c r="AN89" s="259" t="str">
        <f t="shared" si="10"/>
        <v/>
      </c>
      <c r="AO89" s="259" t="str">
        <f t="shared" si="10"/>
        <v/>
      </c>
      <c r="AP89" s="259" t="str">
        <f t="shared" si="10"/>
        <v/>
      </c>
      <c r="AQ89" s="259" t="str">
        <f t="shared" si="10"/>
        <v/>
      </c>
      <c r="AR89" s="258" t="str">
        <f t="shared" si="10"/>
        <v/>
      </c>
    </row>
    <row r="90" spans="2:44" ht="13.8" thickBot="1">
      <c r="J90" s="302"/>
      <c r="K90" s="302"/>
      <c r="L90" s="841" t="s">
        <v>363</v>
      </c>
      <c r="M90" s="842"/>
      <c r="N90" s="260" t="str">
        <f>IF(N89="","",((N89)/(1+Paramètres!$B$19)^N80))</f>
        <v/>
      </c>
      <c r="O90" s="259" t="str">
        <f>IF(O89="","",((O89)/(1+Paramètres!$B$19)^O80))</f>
        <v/>
      </c>
      <c r="P90" s="259" t="str">
        <f>IF(P89="","",((P89)/(1+Paramètres!$B$19)^P80))</f>
        <v/>
      </c>
      <c r="Q90" s="259" t="str">
        <f>IF(Q89="","",((Q89)/(1+Paramètres!$B$19)^Q80))</f>
        <v/>
      </c>
      <c r="R90" s="259" t="str">
        <f>IF(R89="","",((R89)/(1+Paramètres!$B$19)^R80))</f>
        <v/>
      </c>
      <c r="S90" s="259" t="str">
        <f>IF(S89="","",((S89)/(1+Paramètres!$B$19)^S80))</f>
        <v/>
      </c>
      <c r="T90" s="259" t="str">
        <f>IF(T89="","",((T89)/(1+Paramètres!$B$19)^T80))</f>
        <v/>
      </c>
      <c r="U90" s="259" t="str">
        <f>IF(U89="","",((U89)/(1+Paramètres!$B$19)^U80))</f>
        <v/>
      </c>
      <c r="V90" s="259" t="str">
        <f>IF(V89="","",((V89)/(1+Paramètres!$B$19)^V80))</f>
        <v/>
      </c>
      <c r="W90" s="259" t="str">
        <f>IF(W89="","",((W89)/(1+Paramètres!$B$19)^W80))</f>
        <v/>
      </c>
      <c r="X90" s="259" t="str">
        <f>IF(X89="","",((X89)/(1+Paramètres!$B$19)^X80))</f>
        <v/>
      </c>
      <c r="Y90" s="259" t="str">
        <f>IF(Y89="","",((Y89)/(1+Paramètres!$B$19)^Y80))</f>
        <v/>
      </c>
      <c r="Z90" s="259" t="str">
        <f>IF(Z89="","",((Z89)/(1+Paramètres!$B$19)^Z80))</f>
        <v/>
      </c>
      <c r="AA90" s="259" t="str">
        <f>IF(AA89="","",((AA89)/(1+Paramètres!$B$19)^AA80))</f>
        <v/>
      </c>
      <c r="AB90" s="259" t="str">
        <f>IF(AB89="","",((AB89)/(1+Paramètres!$B$19)^AB80))</f>
        <v/>
      </c>
      <c r="AC90" s="259" t="str">
        <f>IF(AC89="","",((AC89)/(1+Paramètres!$B$19)^AC80))</f>
        <v/>
      </c>
      <c r="AD90" s="259" t="str">
        <f>IF(AD89="","",((AD89)/(1+Paramètres!$B$19)^AD80))</f>
        <v/>
      </c>
      <c r="AE90" s="259" t="str">
        <f>IF(AE89="","",((AE89)/(1+Paramètres!$B$19)^AE80))</f>
        <v/>
      </c>
      <c r="AF90" s="259" t="str">
        <f>IF(AF89="","",((AF89)/(1+Paramètres!$B$19)^AF80))</f>
        <v/>
      </c>
      <c r="AG90" s="259" t="str">
        <f>IF(AG89="","",((AG89)/(1+Paramètres!$B$19)^AG80))</f>
        <v/>
      </c>
      <c r="AH90" s="259" t="str">
        <f>IF(AH89="","",((AH89)/(1+Paramètres!$B$19)^AH80))</f>
        <v/>
      </c>
      <c r="AI90" s="259" t="str">
        <f>IF(AI89="","",((AI89)/(1+Paramètres!$B$19)^AI80))</f>
        <v/>
      </c>
      <c r="AJ90" s="259" t="str">
        <f>IF(AJ89="","",((AJ89)/(1+Paramètres!$B$19)^AJ80))</f>
        <v/>
      </c>
      <c r="AK90" s="259" t="str">
        <f>IF(AK89="","",((AK89)/(1+Paramètres!$B$19)^AK80))</f>
        <v/>
      </c>
      <c r="AL90" s="259" t="str">
        <f>IF(AL89="","",((AL89)/(1+Paramètres!$B$19)^AL80))</f>
        <v/>
      </c>
      <c r="AM90" s="259" t="str">
        <f>IF(AM89="","",((AM89)/(1+Paramètres!$B$19)^AM80))</f>
        <v/>
      </c>
      <c r="AN90" s="259" t="str">
        <f>IF(AN89="","",((AN89)/(1+Paramètres!$B$19)^AN80))</f>
        <v/>
      </c>
      <c r="AO90" s="259" t="str">
        <f>IF(AO89="","",((AO89)/(1+Paramètres!$B$19)^AO80))</f>
        <v/>
      </c>
      <c r="AP90" s="259" t="str">
        <f>IF(AP89="","",((AP89)/(1+Paramètres!$B$19)^AP80))</f>
        <v/>
      </c>
      <c r="AQ90" s="259" t="str">
        <f>IF(AQ89="","",((AQ89)/(1+Paramètres!$B$19)^AQ80))</f>
        <v/>
      </c>
      <c r="AR90" s="258" t="str">
        <f>IF(AR89="","",((AR89)/(1+Paramètres!$B$19)^AR80))</f>
        <v/>
      </c>
    </row>
    <row r="91" spans="2:44" ht="13.8" thickBot="1">
      <c r="J91" s="302"/>
      <c r="K91" s="302"/>
      <c r="L91" s="841" t="s">
        <v>364</v>
      </c>
      <c r="M91" s="842"/>
      <c r="N91" s="257" t="str">
        <f>N90</f>
        <v/>
      </c>
      <c r="O91" s="256" t="str">
        <f t="shared" ref="O91:AR91" si="11">IF(O90="","",((N91+O90)))</f>
        <v/>
      </c>
      <c r="P91" s="256" t="str">
        <f t="shared" si="11"/>
        <v/>
      </c>
      <c r="Q91" s="256" t="str">
        <f t="shared" si="11"/>
        <v/>
      </c>
      <c r="R91" s="256" t="str">
        <f t="shared" si="11"/>
        <v/>
      </c>
      <c r="S91" s="256" t="str">
        <f t="shared" si="11"/>
        <v/>
      </c>
      <c r="T91" s="256" t="str">
        <f t="shared" si="11"/>
        <v/>
      </c>
      <c r="U91" s="256" t="str">
        <f t="shared" si="11"/>
        <v/>
      </c>
      <c r="V91" s="256" t="str">
        <f t="shared" si="11"/>
        <v/>
      </c>
      <c r="W91" s="256" t="str">
        <f t="shared" si="11"/>
        <v/>
      </c>
      <c r="X91" s="256" t="str">
        <f t="shared" si="11"/>
        <v/>
      </c>
      <c r="Y91" s="256" t="str">
        <f t="shared" si="11"/>
        <v/>
      </c>
      <c r="Z91" s="256" t="str">
        <f t="shared" si="11"/>
        <v/>
      </c>
      <c r="AA91" s="256" t="str">
        <f t="shared" si="11"/>
        <v/>
      </c>
      <c r="AB91" s="256" t="str">
        <f t="shared" si="11"/>
        <v/>
      </c>
      <c r="AC91" s="256" t="str">
        <f t="shared" si="11"/>
        <v/>
      </c>
      <c r="AD91" s="256" t="str">
        <f t="shared" si="11"/>
        <v/>
      </c>
      <c r="AE91" s="256" t="str">
        <f t="shared" si="11"/>
        <v/>
      </c>
      <c r="AF91" s="256" t="str">
        <f t="shared" si="11"/>
        <v/>
      </c>
      <c r="AG91" s="256" t="str">
        <f t="shared" si="11"/>
        <v/>
      </c>
      <c r="AH91" s="256" t="str">
        <f t="shared" si="11"/>
        <v/>
      </c>
      <c r="AI91" s="256" t="str">
        <f t="shared" si="11"/>
        <v/>
      </c>
      <c r="AJ91" s="256" t="str">
        <f t="shared" si="11"/>
        <v/>
      </c>
      <c r="AK91" s="256" t="str">
        <f t="shared" si="11"/>
        <v/>
      </c>
      <c r="AL91" s="256" t="str">
        <f t="shared" si="11"/>
        <v/>
      </c>
      <c r="AM91" s="256" t="str">
        <f t="shared" si="11"/>
        <v/>
      </c>
      <c r="AN91" s="256" t="str">
        <f t="shared" si="11"/>
        <v/>
      </c>
      <c r="AO91" s="256" t="str">
        <f t="shared" si="11"/>
        <v/>
      </c>
      <c r="AP91" s="256" t="str">
        <f t="shared" si="11"/>
        <v/>
      </c>
      <c r="AQ91" s="256" t="str">
        <f t="shared" si="11"/>
        <v/>
      </c>
      <c r="AR91" s="255" t="str">
        <f t="shared" si="11"/>
        <v/>
      </c>
    </row>
    <row r="92" spans="2:44" ht="13.8" thickBot="1">
      <c r="J92" s="302"/>
      <c r="K92" s="302"/>
      <c r="L92" s="302"/>
      <c r="M92" s="302"/>
      <c r="N92" s="302"/>
      <c r="O92" s="301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</row>
    <row r="93" spans="2:44">
      <c r="J93" s="308"/>
      <c r="K93" s="308"/>
      <c r="L93" s="254" t="s">
        <v>225</v>
      </c>
      <c r="M93" s="253" t="str">
        <f>IFERROR(IRR(N89:AR89), "PROJET NON RENTABLE")</f>
        <v>PROJET NON RENTABLE</v>
      </c>
      <c r="N93" s="309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</row>
    <row r="94" spans="2:44" ht="13.8" thickBot="1">
      <c r="J94" s="305"/>
      <c r="K94" s="305"/>
      <c r="L94" s="252" t="s">
        <v>224</v>
      </c>
      <c r="M94" s="412" cm="1">
        <f t="array" ref="M94">IFERROR(INDEX(N80:AR80,MATCH(TRUE,N91:AR91&gt;0,0)),"PROJET NON RENTABLE")</f>
        <v>0</v>
      </c>
      <c r="N94" s="307"/>
      <c r="O94" s="305"/>
      <c r="P94" s="305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</row>
    <row r="95" spans="2:44">
      <c r="J95" s="302"/>
      <c r="K95" s="302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</row>
    <row r="96" spans="2:44" ht="13.8" thickBot="1">
      <c r="J96" s="302"/>
      <c r="K96" s="302"/>
      <c r="L96" s="302"/>
      <c r="M96" s="303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</row>
    <row r="97" spans="10:44" ht="16.2" thickBot="1">
      <c r="J97" s="826" t="s">
        <v>365</v>
      </c>
      <c r="K97" s="827"/>
      <c r="L97" s="827"/>
      <c r="M97" s="827"/>
      <c r="N97" s="827"/>
      <c r="O97" s="827"/>
      <c r="P97" s="827"/>
      <c r="Q97" s="827"/>
      <c r="R97" s="827"/>
      <c r="S97" s="827"/>
      <c r="T97" s="827"/>
      <c r="U97" s="827"/>
      <c r="V97" s="827"/>
      <c r="W97" s="827"/>
      <c r="X97" s="827"/>
      <c r="Y97" s="827"/>
      <c r="Z97" s="827"/>
      <c r="AA97" s="827"/>
      <c r="AB97" s="827"/>
      <c r="AC97" s="827"/>
      <c r="AD97" s="827"/>
      <c r="AE97" s="827"/>
      <c r="AF97" s="827"/>
      <c r="AG97" s="827"/>
      <c r="AH97" s="827"/>
      <c r="AI97" s="827"/>
      <c r="AJ97" s="827"/>
      <c r="AK97" s="827"/>
      <c r="AL97" s="827"/>
      <c r="AM97" s="827"/>
      <c r="AN97" s="827"/>
      <c r="AO97" s="827"/>
      <c r="AP97" s="827"/>
      <c r="AQ97" s="827"/>
      <c r="AR97" s="828"/>
    </row>
    <row r="98" spans="10:44" ht="21" thickBot="1"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1"/>
      <c r="AE98" s="261"/>
      <c r="AF98" s="261"/>
      <c r="AG98" s="261"/>
      <c r="AH98" s="261"/>
      <c r="AI98" s="261"/>
      <c r="AJ98" s="261"/>
      <c r="AK98" s="261"/>
      <c r="AL98" s="261"/>
      <c r="AM98" s="261"/>
      <c r="AN98" s="261"/>
      <c r="AO98" s="261"/>
      <c r="AP98" s="261"/>
      <c r="AQ98" s="261"/>
      <c r="AR98" s="261"/>
    </row>
    <row r="99" spans="10:44" ht="16.2" thickBot="1">
      <c r="J99" s="262"/>
      <c r="K99" s="262"/>
      <c r="L99" s="302"/>
      <c r="M99" s="301"/>
      <c r="N99" s="831" t="s">
        <v>366</v>
      </c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3"/>
    </row>
    <row r="100" spans="10:44" ht="16.2" thickBot="1">
      <c r="J100" s="262"/>
      <c r="K100" s="262"/>
      <c r="L100" s="302"/>
      <c r="M100" s="301"/>
      <c r="N100" s="300">
        <v>0</v>
      </c>
      <c r="O100" s="299">
        <v>1</v>
      </c>
      <c r="P100" s="299">
        <v>2</v>
      </c>
      <c r="Q100" s="299">
        <v>3</v>
      </c>
      <c r="R100" s="299">
        <v>4</v>
      </c>
      <c r="S100" s="299">
        <v>5</v>
      </c>
      <c r="T100" s="299">
        <v>6</v>
      </c>
      <c r="U100" s="299">
        <v>7</v>
      </c>
      <c r="V100" s="299">
        <v>8</v>
      </c>
      <c r="W100" s="299">
        <v>9</v>
      </c>
      <c r="X100" s="299">
        <v>10</v>
      </c>
      <c r="Y100" s="299">
        <v>11</v>
      </c>
      <c r="Z100" s="299">
        <v>12</v>
      </c>
      <c r="AA100" s="299">
        <v>13</v>
      </c>
      <c r="AB100" s="299">
        <v>14</v>
      </c>
      <c r="AC100" s="299">
        <v>15</v>
      </c>
      <c r="AD100" s="299">
        <v>16</v>
      </c>
      <c r="AE100" s="299">
        <v>17</v>
      </c>
      <c r="AF100" s="299">
        <v>18</v>
      </c>
      <c r="AG100" s="299">
        <v>19</v>
      </c>
      <c r="AH100" s="299">
        <v>20</v>
      </c>
      <c r="AI100" s="299">
        <v>21</v>
      </c>
      <c r="AJ100" s="299">
        <v>22</v>
      </c>
      <c r="AK100" s="299">
        <v>23</v>
      </c>
      <c r="AL100" s="299">
        <v>24</v>
      </c>
      <c r="AM100" s="299">
        <v>25</v>
      </c>
      <c r="AN100" s="299">
        <v>26</v>
      </c>
      <c r="AO100" s="299">
        <v>27</v>
      </c>
      <c r="AP100" s="299">
        <v>28</v>
      </c>
      <c r="AQ100" s="299">
        <v>29</v>
      </c>
      <c r="AR100" s="298">
        <v>30</v>
      </c>
    </row>
    <row r="101" spans="10:44" ht="20.399999999999999">
      <c r="J101" s="262"/>
      <c r="K101" s="262"/>
      <c r="L101" s="829" t="s">
        <v>354</v>
      </c>
      <c r="M101" s="297" t="s">
        <v>311</v>
      </c>
      <c r="N101" s="296">
        <f>(M55)</f>
        <v>0</v>
      </c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3"/>
    </row>
    <row r="102" spans="10:44" ht="21" thickBot="1">
      <c r="J102" s="262"/>
      <c r="K102" s="262"/>
      <c r="L102" s="830"/>
      <c r="M102" s="292" t="s">
        <v>314</v>
      </c>
      <c r="N102" s="290">
        <f>M56</f>
        <v>0</v>
      </c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  <c r="AO102" s="261"/>
      <c r="AP102" s="261"/>
      <c r="AQ102" s="261"/>
      <c r="AR102" s="288"/>
    </row>
    <row r="103" spans="10:44" ht="20.399999999999999">
      <c r="J103" s="262"/>
      <c r="K103" s="262"/>
      <c r="L103" s="829" t="s">
        <v>356</v>
      </c>
      <c r="M103" s="291" t="s">
        <v>357</v>
      </c>
      <c r="N103" s="290">
        <f>M57+M58</f>
        <v>0</v>
      </c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  <c r="AO103" s="261"/>
      <c r="AP103" s="261"/>
      <c r="AQ103" s="261"/>
      <c r="AR103" s="288"/>
    </row>
    <row r="104" spans="10:44" ht="16.2" thickBot="1">
      <c r="J104" s="262"/>
      <c r="K104" s="262"/>
      <c r="L104" s="830"/>
      <c r="M104" s="287" t="s">
        <v>358</v>
      </c>
      <c r="N104" s="278"/>
      <c r="O104" s="277" t="str">
        <f t="shared" ref="O104:AR104" si="12">IF(O100&lt;=$M$63,$M$62,"")</f>
        <v/>
      </c>
      <c r="P104" s="277" t="str">
        <f t="shared" si="12"/>
        <v/>
      </c>
      <c r="Q104" s="277" t="str">
        <f t="shared" si="12"/>
        <v/>
      </c>
      <c r="R104" s="277" t="str">
        <f t="shared" si="12"/>
        <v/>
      </c>
      <c r="S104" s="277" t="str">
        <f t="shared" si="12"/>
        <v/>
      </c>
      <c r="T104" s="277" t="str">
        <f t="shared" si="12"/>
        <v/>
      </c>
      <c r="U104" s="277" t="str">
        <f t="shared" si="12"/>
        <v/>
      </c>
      <c r="V104" s="277" t="str">
        <f t="shared" si="12"/>
        <v/>
      </c>
      <c r="W104" s="277" t="str">
        <f t="shared" si="12"/>
        <v/>
      </c>
      <c r="X104" s="277" t="str">
        <f t="shared" si="12"/>
        <v/>
      </c>
      <c r="Y104" s="277" t="str">
        <f t="shared" si="12"/>
        <v/>
      </c>
      <c r="Z104" s="277" t="str">
        <f t="shared" si="12"/>
        <v/>
      </c>
      <c r="AA104" s="277" t="str">
        <f t="shared" si="12"/>
        <v/>
      </c>
      <c r="AB104" s="277" t="str">
        <f t="shared" si="12"/>
        <v/>
      </c>
      <c r="AC104" s="277" t="str">
        <f t="shared" si="12"/>
        <v/>
      </c>
      <c r="AD104" s="277" t="str">
        <f t="shared" si="12"/>
        <v/>
      </c>
      <c r="AE104" s="277" t="str">
        <f t="shared" si="12"/>
        <v/>
      </c>
      <c r="AF104" s="277" t="str">
        <f t="shared" si="12"/>
        <v/>
      </c>
      <c r="AG104" s="277" t="str">
        <f t="shared" si="12"/>
        <v/>
      </c>
      <c r="AH104" s="277" t="str">
        <f t="shared" si="12"/>
        <v/>
      </c>
      <c r="AI104" s="277" t="str">
        <f t="shared" si="12"/>
        <v/>
      </c>
      <c r="AJ104" s="277" t="str">
        <f t="shared" si="12"/>
        <v/>
      </c>
      <c r="AK104" s="277" t="str">
        <f t="shared" si="12"/>
        <v/>
      </c>
      <c r="AL104" s="277" t="str">
        <f t="shared" si="12"/>
        <v/>
      </c>
      <c r="AM104" s="277" t="str">
        <f t="shared" si="12"/>
        <v/>
      </c>
      <c r="AN104" s="277" t="str">
        <f t="shared" si="12"/>
        <v/>
      </c>
      <c r="AO104" s="277" t="str">
        <f t="shared" si="12"/>
        <v/>
      </c>
      <c r="AP104" s="277" t="str">
        <f t="shared" si="12"/>
        <v/>
      </c>
      <c r="AQ104" s="277" t="str">
        <f t="shared" si="12"/>
        <v/>
      </c>
      <c r="AR104" s="276" t="str">
        <f t="shared" si="12"/>
        <v/>
      </c>
    </row>
    <row r="105" spans="10:44" ht="16.2" thickBot="1">
      <c r="J105" s="262"/>
      <c r="K105" s="262"/>
      <c r="L105" s="286" t="s">
        <v>360</v>
      </c>
      <c r="M105" s="285" t="s">
        <v>360</v>
      </c>
      <c r="N105" s="274"/>
      <c r="O105" s="284">
        <f>IF(O100&lt;=$K$16,($M$61+$M$64+$M$65+$M$66+$M$67+$M$68+$M$69+$M$70+$M$71+$M$72),"")</f>
        <v>0</v>
      </c>
      <c r="P105" s="284">
        <f>IF(P100&lt;=$K$16,O105*(1+Paramètres!$B$20),"")</f>
        <v>0</v>
      </c>
      <c r="Q105" s="284">
        <f>IF(Q100&lt;=$K$16,P105*(1+Paramètres!$B$20),"")</f>
        <v>0</v>
      </c>
      <c r="R105" s="284">
        <f>IF(R100&lt;=$K$16,Q105*(1+Paramètres!$B$20),"")</f>
        <v>0</v>
      </c>
      <c r="S105" s="284">
        <f>IF(S100&lt;=$K$16,R105*(1+Paramètres!$B$20),"")</f>
        <v>0</v>
      </c>
      <c r="T105" s="284">
        <f>IF(T100&lt;=$K$16,S105*(1+Paramètres!$B$20),"")</f>
        <v>0</v>
      </c>
      <c r="U105" s="284">
        <f>IF(U100&lt;=$K$16,T105*(1+Paramètres!$B$20),"")</f>
        <v>0</v>
      </c>
      <c r="V105" s="284">
        <f>IF(V100&lt;=$K$16,U105*(1+Paramètres!$B$20),"")</f>
        <v>0</v>
      </c>
      <c r="W105" s="284">
        <f>IF(W100&lt;=$K$16,V105*(1+Paramètres!$B$20),"")</f>
        <v>0</v>
      </c>
      <c r="X105" s="284">
        <f>IF(X100&lt;=$K$16,W105*(1+Paramètres!$B$20),"")</f>
        <v>0</v>
      </c>
      <c r="Y105" s="284">
        <f>IF(Y100&lt;=$K$16,X105*(1+Paramètres!$B$20),"")</f>
        <v>0</v>
      </c>
      <c r="Z105" s="284">
        <f>IF(Z100&lt;=$K$16,Y105*(1+Paramètres!$B$20),"")</f>
        <v>0</v>
      </c>
      <c r="AA105" s="284">
        <f>IF(AA100&lt;=$K$16,Z105*(1+Paramètres!$B$20),"")</f>
        <v>0</v>
      </c>
      <c r="AB105" s="284">
        <f>IF(AB100&lt;=$K$16,AA105*(1+Paramètres!$B$20),"")</f>
        <v>0</v>
      </c>
      <c r="AC105" s="284">
        <f>IF(AC100&lt;=$K$16,AB105*(1+Paramètres!$B$20),"")</f>
        <v>0</v>
      </c>
      <c r="AD105" s="284" t="str">
        <f>IF(AD100&lt;=$K$16,AC105*(1+Paramètres!$B$20),"")</f>
        <v/>
      </c>
      <c r="AE105" s="284" t="str">
        <f>IF(AE100&lt;=$K$16,AD105*(1+Paramètres!$B$20),"")</f>
        <v/>
      </c>
      <c r="AF105" s="284" t="str">
        <f>IF(AF100&lt;=$K$16,AE105*(1+Paramètres!$B$20),"")</f>
        <v/>
      </c>
      <c r="AG105" s="284" t="str">
        <f>IF(AG100&lt;=$K$16,AF105*(1+Paramètres!$B$20),"")</f>
        <v/>
      </c>
      <c r="AH105" s="284" t="str">
        <f>IF(AH100&lt;=$K$16,AG105*(1+Paramètres!$B$20),"")</f>
        <v/>
      </c>
      <c r="AI105" s="284" t="str">
        <f>IF(AI100&lt;=$K$16,AH105*(1+Paramètres!$B$20),"")</f>
        <v/>
      </c>
      <c r="AJ105" s="284" t="str">
        <f>IF(AJ100&lt;=$K$16,AI105*(1+Paramètres!$B$20),"")</f>
        <v/>
      </c>
      <c r="AK105" s="284" t="str">
        <f>IF(AK100&lt;=$K$16,AJ105*(1+Paramètres!$B$20),"")</f>
        <v/>
      </c>
      <c r="AL105" s="284" t="str">
        <f>IF(AL100&lt;=$K$16,AK105*(1+Paramètres!$B$20),"")</f>
        <v/>
      </c>
      <c r="AM105" s="284" t="str">
        <f>IF(AM100&lt;=$K$16,AL105*(1+Paramètres!$B$20),"")</f>
        <v/>
      </c>
      <c r="AN105" s="284" t="str">
        <f>IF(AN100&lt;=$K$16,AM105*(1+Paramètres!$B$20),"")</f>
        <v/>
      </c>
      <c r="AO105" s="284" t="str">
        <f>IF(AO100&lt;=$K$16,AN105*(1+Paramètres!$B$20),"")</f>
        <v/>
      </c>
      <c r="AP105" s="284" t="str">
        <f>IF(AP100&lt;=$K$16,AO105*(1+Paramètres!$B$20),"")</f>
        <v/>
      </c>
      <c r="AQ105" s="284" t="str">
        <f>IF(AQ100&lt;=$K$16,AP105*(1+Paramètres!$B$20),"")</f>
        <v/>
      </c>
      <c r="AR105" s="283" t="str">
        <f>IF(AR100&lt;=$K$16,AQ105*(1+Paramètres!$B$20),"")</f>
        <v/>
      </c>
    </row>
    <row r="106" spans="10:44" ht="15.6">
      <c r="J106" s="262"/>
      <c r="K106" s="262"/>
      <c r="L106" s="829" t="s">
        <v>367</v>
      </c>
      <c r="M106" s="282" t="s">
        <v>46</v>
      </c>
      <c r="N106" s="281"/>
      <c r="O106" s="280">
        <f>IF(AND(O100=1,K23="OUI"),(Paramètres!$B$22*'AA4'!M55),"")</f>
        <v>0</v>
      </c>
      <c r="P106" s="280" t="str">
        <f>IF(P100=1,(Paramètres!$B$22*'AA4'!N55),"")</f>
        <v/>
      </c>
      <c r="Q106" s="280" t="str">
        <f>IF(Q100=1,(Paramètres!$B$22*'AA4'!O55),"")</f>
        <v/>
      </c>
      <c r="R106" s="280" t="str">
        <f>IF(R100=1,(Paramètres!$B$22*'AA4'!P55),"")</f>
        <v/>
      </c>
      <c r="S106" s="280" t="str">
        <f>IF(S100=1,(Paramètres!$B$22*'AA4'!Q55),"")</f>
        <v/>
      </c>
      <c r="T106" s="280" t="str">
        <f>IF(T100=1,(Paramètres!$B$22*'AA4'!R55),"")</f>
        <v/>
      </c>
      <c r="U106" s="280" t="str">
        <f>IF(U100=1,(Paramètres!$B$22*'AA4'!S55),"")</f>
        <v/>
      </c>
      <c r="V106" s="280" t="str">
        <f>IF(V100=1,(Paramètres!$B$22*'AA4'!T55),"")</f>
        <v/>
      </c>
      <c r="W106" s="280" t="str">
        <f>IF(W100=1,(Paramètres!$B$22*'AA4'!U55),"")</f>
        <v/>
      </c>
      <c r="X106" s="280" t="str">
        <f>IF(X100=1,(Paramètres!$B$22*'AA4'!V55),"")</f>
        <v/>
      </c>
      <c r="Y106" s="280" t="str">
        <f>IF(Y100=1,(Paramètres!$B$22*'AA4'!W55),"")</f>
        <v/>
      </c>
      <c r="Z106" s="280" t="str">
        <f>IF(Z100=1,(Paramètres!$B$22*'AA4'!X55),"")</f>
        <v/>
      </c>
      <c r="AA106" s="280" t="str">
        <f>IF(AA100=1,(Paramètres!$B$22*'AA4'!Y55),"")</f>
        <v/>
      </c>
      <c r="AB106" s="280" t="str">
        <f>IF(AB100=1,(Paramètres!$B$22*'AA4'!Z55),"")</f>
        <v/>
      </c>
      <c r="AC106" s="280" t="str">
        <f>IF(AC100=1,(Paramètres!$B$22*'AA4'!AA55),"")</f>
        <v/>
      </c>
      <c r="AD106" s="280" t="str">
        <f>IF(AD100=1,(Paramètres!$B$22*'AA4'!AB55),"")</f>
        <v/>
      </c>
      <c r="AE106" s="280" t="str">
        <f>IF(AE100=1,(Paramètres!$B$22*'AA4'!AC55),"")</f>
        <v/>
      </c>
      <c r="AF106" s="280" t="str">
        <f>IF(AF100=1,(Paramètres!$B$22*'AA4'!AD55),"")</f>
        <v/>
      </c>
      <c r="AG106" s="280" t="str">
        <f>IF(AG100=1,(Paramètres!$B$22*'AA4'!AE55),"")</f>
        <v/>
      </c>
      <c r="AH106" s="280" t="str">
        <f>IF(AH100=1,(Paramètres!$B$22*'AA4'!AF55),"")</f>
        <v/>
      </c>
      <c r="AI106" s="280" t="str">
        <f>IF(AI100=1,(Paramètres!$B$22*'AA4'!AG55),"")</f>
        <v/>
      </c>
      <c r="AJ106" s="280" t="str">
        <f>IF(AJ100=1,(Paramètres!$B$22*'AA4'!AH55),"")</f>
        <v/>
      </c>
      <c r="AK106" s="280" t="str">
        <f>IF(AK100=1,(Paramètres!$B$22*'AA4'!AI55),"")</f>
        <v/>
      </c>
      <c r="AL106" s="280" t="str">
        <f>IF(AL100=1,(Paramètres!$B$22*'AA4'!AJ55),"")</f>
        <v/>
      </c>
      <c r="AM106" s="280" t="str">
        <f>IF(AM100=1,(Paramètres!$B$22*'AA4'!AK55),"")</f>
        <v/>
      </c>
      <c r="AN106" s="280" t="str">
        <f>IF(AN100=1,(Paramètres!$B$22*'AA4'!AL55),"")</f>
        <v/>
      </c>
      <c r="AO106" s="280" t="str">
        <f>IF(AO100=1,(Paramètres!$B$22*'AA4'!AM55),"")</f>
        <v/>
      </c>
      <c r="AP106" s="280" t="str">
        <f>IF(AP100=1,(Paramètres!$B$22*'AA4'!AN55),"")</f>
        <v/>
      </c>
      <c r="AQ106" s="280" t="str">
        <f>IF(AQ100=1,(Paramètres!$B$22*'AA4'!AO55),"")</f>
        <v/>
      </c>
      <c r="AR106" s="279" t="str">
        <f>IF(AR100=1,(Paramètres!$B$22*'AA4'!AP55),"")</f>
        <v/>
      </c>
    </row>
    <row r="107" spans="10:44" ht="15.6">
      <c r="J107" s="262"/>
      <c r="K107" s="262"/>
      <c r="L107" s="843"/>
      <c r="M107" s="275" t="s">
        <v>368</v>
      </c>
      <c r="N107" s="278"/>
      <c r="O107" s="277">
        <f t="shared" ref="O107:AR107" si="13">IF(O100&lt;=$K$20,$M$55/$K$20,"")</f>
        <v>0</v>
      </c>
      <c r="P107" s="277">
        <f t="shared" si="13"/>
        <v>0</v>
      </c>
      <c r="Q107" s="277">
        <f t="shared" si="13"/>
        <v>0</v>
      </c>
      <c r="R107" s="277">
        <f t="shared" si="13"/>
        <v>0</v>
      </c>
      <c r="S107" s="277">
        <f t="shared" si="13"/>
        <v>0</v>
      </c>
      <c r="T107" s="277">
        <f t="shared" si="13"/>
        <v>0</v>
      </c>
      <c r="U107" s="277">
        <f t="shared" si="13"/>
        <v>0</v>
      </c>
      <c r="V107" s="277">
        <f t="shared" si="13"/>
        <v>0</v>
      </c>
      <c r="W107" s="277">
        <f t="shared" si="13"/>
        <v>0</v>
      </c>
      <c r="X107" s="277">
        <f t="shared" si="13"/>
        <v>0</v>
      </c>
      <c r="Y107" s="277" t="str">
        <f t="shared" si="13"/>
        <v/>
      </c>
      <c r="Z107" s="277" t="str">
        <f t="shared" si="13"/>
        <v/>
      </c>
      <c r="AA107" s="277" t="str">
        <f t="shared" si="13"/>
        <v/>
      </c>
      <c r="AB107" s="277" t="str">
        <f t="shared" si="13"/>
        <v/>
      </c>
      <c r="AC107" s="277" t="str">
        <f t="shared" si="13"/>
        <v/>
      </c>
      <c r="AD107" s="277" t="str">
        <f t="shared" si="13"/>
        <v/>
      </c>
      <c r="AE107" s="277" t="str">
        <f t="shared" si="13"/>
        <v/>
      </c>
      <c r="AF107" s="277" t="str">
        <f t="shared" si="13"/>
        <v/>
      </c>
      <c r="AG107" s="277" t="str">
        <f t="shared" si="13"/>
        <v/>
      </c>
      <c r="AH107" s="277" t="str">
        <f t="shared" si="13"/>
        <v/>
      </c>
      <c r="AI107" s="277" t="str">
        <f t="shared" si="13"/>
        <v/>
      </c>
      <c r="AJ107" s="277" t="str">
        <f t="shared" si="13"/>
        <v/>
      </c>
      <c r="AK107" s="277" t="str">
        <f t="shared" si="13"/>
        <v/>
      </c>
      <c r="AL107" s="277" t="str">
        <f t="shared" si="13"/>
        <v/>
      </c>
      <c r="AM107" s="277" t="str">
        <f t="shared" si="13"/>
        <v/>
      </c>
      <c r="AN107" s="277" t="str">
        <f t="shared" si="13"/>
        <v/>
      </c>
      <c r="AO107" s="277" t="str">
        <f t="shared" si="13"/>
        <v/>
      </c>
      <c r="AP107" s="277" t="str">
        <f t="shared" si="13"/>
        <v/>
      </c>
      <c r="AQ107" s="277" t="str">
        <f t="shared" si="13"/>
        <v/>
      </c>
      <c r="AR107" s="276" t="str">
        <f t="shared" si="13"/>
        <v/>
      </c>
    </row>
    <row r="108" spans="10:44" ht="16.2" thickBot="1">
      <c r="J108" s="262"/>
      <c r="K108" s="262"/>
      <c r="L108" s="843"/>
      <c r="M108" s="275" t="s">
        <v>369</v>
      </c>
      <c r="N108" s="274"/>
      <c r="O108" s="273" t="str">
        <f t="shared" ref="O108:AR108" si="14">IF(SUM(O104:O107)=0,"",SUM(O104:O107))</f>
        <v/>
      </c>
      <c r="P108" s="273" t="str">
        <f t="shared" si="14"/>
        <v/>
      </c>
      <c r="Q108" s="273" t="str">
        <f t="shared" si="14"/>
        <v/>
      </c>
      <c r="R108" s="273" t="str">
        <f t="shared" si="14"/>
        <v/>
      </c>
      <c r="S108" s="273" t="str">
        <f t="shared" si="14"/>
        <v/>
      </c>
      <c r="T108" s="273" t="str">
        <f t="shared" si="14"/>
        <v/>
      </c>
      <c r="U108" s="273" t="str">
        <f t="shared" si="14"/>
        <v/>
      </c>
      <c r="V108" s="273" t="str">
        <f t="shared" si="14"/>
        <v/>
      </c>
      <c r="W108" s="273" t="str">
        <f t="shared" si="14"/>
        <v/>
      </c>
      <c r="X108" s="273" t="str">
        <f t="shared" si="14"/>
        <v/>
      </c>
      <c r="Y108" s="273" t="str">
        <f t="shared" si="14"/>
        <v/>
      </c>
      <c r="Z108" s="273" t="str">
        <f t="shared" si="14"/>
        <v/>
      </c>
      <c r="AA108" s="273" t="str">
        <f t="shared" si="14"/>
        <v/>
      </c>
      <c r="AB108" s="273" t="str">
        <f t="shared" si="14"/>
        <v/>
      </c>
      <c r="AC108" s="273" t="str">
        <f t="shared" si="14"/>
        <v/>
      </c>
      <c r="AD108" s="273" t="str">
        <f t="shared" si="14"/>
        <v/>
      </c>
      <c r="AE108" s="273" t="str">
        <f t="shared" si="14"/>
        <v/>
      </c>
      <c r="AF108" s="273" t="str">
        <f t="shared" si="14"/>
        <v/>
      </c>
      <c r="AG108" s="273" t="str">
        <f t="shared" si="14"/>
        <v/>
      </c>
      <c r="AH108" s="273" t="str">
        <f t="shared" si="14"/>
        <v/>
      </c>
      <c r="AI108" s="273" t="str">
        <f t="shared" si="14"/>
        <v/>
      </c>
      <c r="AJ108" s="273" t="str">
        <f t="shared" si="14"/>
        <v/>
      </c>
      <c r="AK108" s="273" t="str">
        <f t="shared" si="14"/>
        <v/>
      </c>
      <c r="AL108" s="273" t="str">
        <f t="shared" si="14"/>
        <v/>
      </c>
      <c r="AM108" s="273" t="str">
        <f t="shared" si="14"/>
        <v/>
      </c>
      <c r="AN108" s="273" t="str">
        <f t="shared" si="14"/>
        <v/>
      </c>
      <c r="AO108" s="273" t="str">
        <f t="shared" si="14"/>
        <v/>
      </c>
      <c r="AP108" s="273" t="str">
        <f t="shared" si="14"/>
        <v/>
      </c>
      <c r="AQ108" s="273" t="str">
        <f t="shared" si="14"/>
        <v/>
      </c>
      <c r="AR108" s="272" t="str">
        <f t="shared" si="14"/>
        <v/>
      </c>
    </row>
    <row r="109" spans="10:44" ht="16.2" thickBot="1">
      <c r="J109" s="262"/>
      <c r="K109" s="262"/>
      <c r="L109" s="830"/>
      <c r="M109" s="271" t="s">
        <v>370</v>
      </c>
      <c r="N109" s="270">
        <f>N102*Paramètres!$B$21</f>
        <v>0</v>
      </c>
      <c r="O109" s="269" t="str">
        <f>IF(N(O108)&gt;0,O108*Paramètres!$B$21,"")</f>
        <v/>
      </c>
      <c r="P109" s="269" t="str">
        <f>IF(N(P108)&gt;0,P108*Paramètres!$B$21,"")</f>
        <v/>
      </c>
      <c r="Q109" s="269" t="str">
        <f>IF(N(Q108)&gt;0,Q108*Paramètres!$B$21,"")</f>
        <v/>
      </c>
      <c r="R109" s="269" t="str">
        <f>IF(N(R108)&gt;0,R108*Paramètres!$B$21,"")</f>
        <v/>
      </c>
      <c r="S109" s="269" t="str">
        <f>IF(N(S108)&gt;0,S108*Paramètres!$B$21,"")</f>
        <v/>
      </c>
      <c r="T109" s="269" t="str">
        <f>IF(N(T108)&gt;0,T108*Paramètres!$B$21,"")</f>
        <v/>
      </c>
      <c r="U109" s="269" t="str">
        <f>IF(N(U108)&gt;0,U108*Paramètres!$B$21,"")</f>
        <v/>
      </c>
      <c r="V109" s="269" t="str">
        <f>IF(N(V108)&gt;0,V108*Paramètres!$B$21,"")</f>
        <v/>
      </c>
      <c r="W109" s="269" t="str">
        <f>IF(N(W108)&gt;0,W108*Paramètres!$B$21,"")</f>
        <v/>
      </c>
      <c r="X109" s="269" t="str">
        <f>IF(N(X108)&gt;0,X108*Paramètres!$B$21,"")</f>
        <v/>
      </c>
      <c r="Y109" s="269" t="str">
        <f>IF(N(Y108)&gt;0,Y108*Paramètres!$B$21,"")</f>
        <v/>
      </c>
      <c r="Z109" s="269" t="str">
        <f>IF(N(Z108)&gt;0,Z108*Paramètres!$B$21,"")</f>
        <v/>
      </c>
      <c r="AA109" s="269" t="str">
        <f>IF(N(AA108)&gt;0,AA108*Paramètres!$B$21,"")</f>
        <v/>
      </c>
      <c r="AB109" s="269" t="str">
        <f>IF(N(AB108)&gt;0,AB108*Paramètres!$B$21,"")</f>
        <v/>
      </c>
      <c r="AC109" s="269" t="str">
        <f>IF(N(AC108)&gt;0,AC108*Paramètres!$B$21,"")</f>
        <v/>
      </c>
      <c r="AD109" s="269" t="str">
        <f>IF(N(AD108)&gt;0,AD108*Paramètres!$B$21,"")</f>
        <v/>
      </c>
      <c r="AE109" s="269" t="str">
        <f>IF(N(AE108)&gt;0,AE108*Paramètres!$B$21,"")</f>
        <v/>
      </c>
      <c r="AF109" s="269" t="str">
        <f>IF(N(AF108)&gt;0,AF108*Paramètres!$B$21,"")</f>
        <v/>
      </c>
      <c r="AG109" s="269" t="str">
        <f>IF(N(AG108)&gt;0,AG108*Paramètres!$B$21,"")</f>
        <v/>
      </c>
      <c r="AH109" s="269" t="str">
        <f>IF(N(AH108)&gt;0,AH108*Paramètres!$B$21,"")</f>
        <v/>
      </c>
      <c r="AI109" s="269" t="str">
        <f>IF(N(AI108)&gt;0,AI108*Paramètres!$B$21,"")</f>
        <v/>
      </c>
      <c r="AJ109" s="269" t="str">
        <f>IF(N(AJ108)&gt;0,AJ108*Paramètres!$B$21,"")</f>
        <v/>
      </c>
      <c r="AK109" s="269" t="str">
        <f>IF(N(AK108)&gt;0,AK108*Paramètres!$B$21,"")</f>
        <v/>
      </c>
      <c r="AL109" s="269" t="str">
        <f>IF(N(AL108)&gt;0,AL108*Paramètres!$B$21,"")</f>
        <v/>
      </c>
      <c r="AM109" s="269" t="str">
        <f>IF(N(AM108)&gt;0,AM108*Paramètres!$B$21,"")</f>
        <v/>
      </c>
      <c r="AN109" s="269" t="str">
        <f>IF(N(AN108)&gt;0,AN108*Paramètres!$B$21,"")</f>
        <v/>
      </c>
      <c r="AO109" s="269" t="str">
        <f>IF(N(AO108)&gt;0,AO108*Paramètres!$B$21,"")</f>
        <v/>
      </c>
      <c r="AP109" s="269" t="str">
        <f>IF(N(AP108)&gt;0,AP108*Paramètres!$B$21,"")</f>
        <v/>
      </c>
      <c r="AQ109" s="269" t="str">
        <f>IF(N(AQ108)&gt;0,AQ108*Paramètres!$B$21,"")</f>
        <v/>
      </c>
      <c r="AR109" s="268" t="str">
        <f>IF(N(AR108)&gt;0,AR108*Paramètres!$B$21,"")</f>
        <v/>
      </c>
    </row>
    <row r="110" spans="10:44" ht="16.2" thickBot="1">
      <c r="J110" s="262"/>
      <c r="K110" s="262"/>
      <c r="L110" s="267" t="s">
        <v>361</v>
      </c>
      <c r="M110" s="266" t="s">
        <v>319</v>
      </c>
      <c r="N110" s="265" t="str">
        <f t="shared" ref="N110:AR110" si="15">IF(N100=$K$16,$M$59,"")</f>
        <v/>
      </c>
      <c r="O110" s="264" t="str">
        <f t="shared" si="15"/>
        <v/>
      </c>
      <c r="P110" s="264" t="str">
        <f t="shared" si="15"/>
        <v/>
      </c>
      <c r="Q110" s="264" t="str">
        <f t="shared" si="15"/>
        <v/>
      </c>
      <c r="R110" s="264" t="str">
        <f t="shared" si="15"/>
        <v/>
      </c>
      <c r="S110" s="264" t="str">
        <f t="shared" si="15"/>
        <v/>
      </c>
      <c r="T110" s="264" t="str">
        <f t="shared" si="15"/>
        <v/>
      </c>
      <c r="U110" s="264" t="str">
        <f t="shared" si="15"/>
        <v/>
      </c>
      <c r="V110" s="264" t="str">
        <f t="shared" si="15"/>
        <v/>
      </c>
      <c r="W110" s="264" t="str">
        <f t="shared" si="15"/>
        <v/>
      </c>
      <c r="X110" s="264" t="str">
        <f t="shared" si="15"/>
        <v/>
      </c>
      <c r="Y110" s="264" t="str">
        <f t="shared" si="15"/>
        <v/>
      </c>
      <c r="Z110" s="264" t="str">
        <f t="shared" si="15"/>
        <v/>
      </c>
      <c r="AA110" s="264" t="str">
        <f t="shared" si="15"/>
        <v/>
      </c>
      <c r="AB110" s="264" t="str">
        <f t="shared" si="15"/>
        <v/>
      </c>
      <c r="AC110" s="264">
        <f t="shared" si="15"/>
        <v>0</v>
      </c>
      <c r="AD110" s="264" t="str">
        <f t="shared" si="15"/>
        <v/>
      </c>
      <c r="AE110" s="264" t="str">
        <f t="shared" si="15"/>
        <v/>
      </c>
      <c r="AF110" s="264" t="str">
        <f t="shared" si="15"/>
        <v/>
      </c>
      <c r="AG110" s="264" t="str">
        <f t="shared" si="15"/>
        <v/>
      </c>
      <c r="AH110" s="264" t="str">
        <f t="shared" si="15"/>
        <v/>
      </c>
      <c r="AI110" s="264" t="str">
        <f t="shared" si="15"/>
        <v/>
      </c>
      <c r="AJ110" s="264" t="str">
        <f t="shared" si="15"/>
        <v/>
      </c>
      <c r="AK110" s="264" t="str">
        <f t="shared" si="15"/>
        <v/>
      </c>
      <c r="AL110" s="264" t="str">
        <f t="shared" si="15"/>
        <v/>
      </c>
      <c r="AM110" s="264" t="str">
        <f t="shared" si="15"/>
        <v/>
      </c>
      <c r="AN110" s="264" t="str">
        <f t="shared" si="15"/>
        <v/>
      </c>
      <c r="AO110" s="264" t="str">
        <f t="shared" si="15"/>
        <v/>
      </c>
      <c r="AP110" s="264" t="str">
        <f t="shared" si="15"/>
        <v/>
      </c>
      <c r="AQ110" s="264" t="str">
        <f t="shared" si="15"/>
        <v/>
      </c>
      <c r="AR110" s="263" t="str">
        <f t="shared" si="15"/>
        <v/>
      </c>
    </row>
    <row r="111" spans="10:44" ht="16.2" thickBot="1">
      <c r="J111" s="262"/>
      <c r="K111" s="262"/>
      <c r="L111" s="841" t="s">
        <v>362</v>
      </c>
      <c r="M111" s="844"/>
      <c r="N111" s="260" t="str">
        <f>IF((SUM(N101:N103)-N109)=0,"",(SUM(N101:N103))-N109)</f>
        <v/>
      </c>
      <c r="O111" s="259" t="str">
        <f t="shared" ref="O111:AR111" si="16">IF(SUM(N(O104)+N(O105)-N(O109)+N(O110))=0,"",SUM(N(O104)+N(O105)-N(O109)+N(O110)))</f>
        <v/>
      </c>
      <c r="P111" s="259" t="str">
        <f t="shared" si="16"/>
        <v/>
      </c>
      <c r="Q111" s="259" t="str">
        <f t="shared" si="16"/>
        <v/>
      </c>
      <c r="R111" s="259" t="str">
        <f t="shared" si="16"/>
        <v/>
      </c>
      <c r="S111" s="259" t="str">
        <f t="shared" si="16"/>
        <v/>
      </c>
      <c r="T111" s="259" t="str">
        <f t="shared" si="16"/>
        <v/>
      </c>
      <c r="U111" s="259" t="str">
        <f t="shared" si="16"/>
        <v/>
      </c>
      <c r="V111" s="259" t="str">
        <f t="shared" si="16"/>
        <v/>
      </c>
      <c r="W111" s="259" t="str">
        <f t="shared" si="16"/>
        <v/>
      </c>
      <c r="X111" s="259" t="str">
        <f t="shared" si="16"/>
        <v/>
      </c>
      <c r="Y111" s="259" t="str">
        <f t="shared" si="16"/>
        <v/>
      </c>
      <c r="Z111" s="259" t="str">
        <f t="shared" si="16"/>
        <v/>
      </c>
      <c r="AA111" s="259" t="str">
        <f t="shared" si="16"/>
        <v/>
      </c>
      <c r="AB111" s="259" t="str">
        <f t="shared" si="16"/>
        <v/>
      </c>
      <c r="AC111" s="259" t="str">
        <f t="shared" si="16"/>
        <v/>
      </c>
      <c r="AD111" s="259" t="str">
        <f t="shared" si="16"/>
        <v/>
      </c>
      <c r="AE111" s="259" t="str">
        <f t="shared" si="16"/>
        <v/>
      </c>
      <c r="AF111" s="259" t="str">
        <f t="shared" si="16"/>
        <v/>
      </c>
      <c r="AG111" s="259" t="str">
        <f t="shared" si="16"/>
        <v/>
      </c>
      <c r="AH111" s="259" t="str">
        <f t="shared" si="16"/>
        <v/>
      </c>
      <c r="AI111" s="259" t="str">
        <f t="shared" si="16"/>
        <v/>
      </c>
      <c r="AJ111" s="259" t="str">
        <f t="shared" si="16"/>
        <v/>
      </c>
      <c r="AK111" s="259" t="str">
        <f t="shared" si="16"/>
        <v/>
      </c>
      <c r="AL111" s="259" t="str">
        <f t="shared" si="16"/>
        <v/>
      </c>
      <c r="AM111" s="259" t="str">
        <f t="shared" si="16"/>
        <v/>
      </c>
      <c r="AN111" s="259" t="str">
        <f t="shared" si="16"/>
        <v/>
      </c>
      <c r="AO111" s="259" t="str">
        <f t="shared" si="16"/>
        <v/>
      </c>
      <c r="AP111" s="259" t="str">
        <f t="shared" si="16"/>
        <v/>
      </c>
      <c r="AQ111" s="259" t="str">
        <f t="shared" si="16"/>
        <v/>
      </c>
      <c r="AR111" s="258" t="str">
        <f t="shared" si="16"/>
        <v/>
      </c>
    </row>
    <row r="112" spans="10:44" ht="13.8" thickBot="1">
      <c r="J112" s="250"/>
      <c r="K112" s="250"/>
      <c r="L112" s="841" t="s">
        <v>363</v>
      </c>
      <c r="M112" s="844"/>
      <c r="N112" s="260" t="str">
        <f>IF(N111="","",((N111)/(1+Paramètres!$B$19)^N100))</f>
        <v/>
      </c>
      <c r="O112" s="259" t="str">
        <f>IF(O111="","",((O111)/(1+Paramètres!$B$19)^O100))</f>
        <v/>
      </c>
      <c r="P112" s="259" t="str">
        <f>IF(P111="","",((P111)/(1+Paramètres!$B$19)^P100))</f>
        <v/>
      </c>
      <c r="Q112" s="259" t="str">
        <f>IF(Q111="","",((Q111)/(1+Paramètres!$B$19)^Q100))</f>
        <v/>
      </c>
      <c r="R112" s="259" t="str">
        <f>IF(R111="","",((R111)/(1+Paramètres!$B$19)^R100))</f>
        <v/>
      </c>
      <c r="S112" s="259" t="str">
        <f>IF(S111="","",((S111)/(1+Paramètres!$B$19)^S100))</f>
        <v/>
      </c>
      <c r="T112" s="259" t="str">
        <f>IF(T111="","",((T111)/(1+Paramètres!$B$19)^T100))</f>
        <v/>
      </c>
      <c r="U112" s="259" t="str">
        <f>IF(U111="","",((U111)/(1+Paramètres!$B$19)^U100))</f>
        <v/>
      </c>
      <c r="V112" s="259" t="str">
        <f>IF(V111="","",((V111)/(1+Paramètres!$B$19)^V100))</f>
        <v/>
      </c>
      <c r="W112" s="259" t="str">
        <f>IF(W111="","",((W111)/(1+Paramètres!$B$19)^W100))</f>
        <v/>
      </c>
      <c r="X112" s="259" t="str">
        <f>IF(X111="","",((X111)/(1+Paramètres!$B$19)^X100))</f>
        <v/>
      </c>
      <c r="Y112" s="259" t="str">
        <f>IF(Y111="","",((Y111)/(1+Paramètres!$B$19)^Y100))</f>
        <v/>
      </c>
      <c r="Z112" s="259" t="str">
        <f>IF(Z111="","",((Z111)/(1+Paramètres!$B$19)^Z100))</f>
        <v/>
      </c>
      <c r="AA112" s="259" t="str">
        <f>IF(AA111="","",((AA111)/(1+Paramètres!$B$19)^AA100))</f>
        <v/>
      </c>
      <c r="AB112" s="259" t="str">
        <f>IF(AB111="","",((AB111)/(1+Paramètres!$B$19)^AB100))</f>
        <v/>
      </c>
      <c r="AC112" s="259" t="str">
        <f>IF(AC111="","",((AC111)/(1+Paramètres!$B$19)^AC100))</f>
        <v/>
      </c>
      <c r="AD112" s="259" t="str">
        <f>IF(AD111="","",((AD111)/(1+Paramètres!$B$19)^AD100))</f>
        <v/>
      </c>
      <c r="AE112" s="259" t="str">
        <f>IF(AE111="","",((AE111)/(1+Paramètres!$B$19)^AE100))</f>
        <v/>
      </c>
      <c r="AF112" s="259" t="str">
        <f>IF(AF111="","",((AF111)/(1+Paramètres!$B$19)^AF100))</f>
        <v/>
      </c>
      <c r="AG112" s="259" t="str">
        <f>IF(AG111="","",((AG111)/(1+Paramètres!$B$19)^AG100))</f>
        <v/>
      </c>
      <c r="AH112" s="259" t="str">
        <f>IF(AH111="","",((AH111)/(1+Paramètres!$B$19)^AH100))</f>
        <v/>
      </c>
      <c r="AI112" s="259" t="str">
        <f>IF(AI111="","",((AI111)/(1+Paramètres!$B$19)^AI100))</f>
        <v/>
      </c>
      <c r="AJ112" s="259" t="str">
        <f>IF(AJ111="","",((AJ111)/(1+Paramètres!$B$19)^AJ100))</f>
        <v/>
      </c>
      <c r="AK112" s="259" t="str">
        <f>IF(AK111="","",((AK111)/(1+Paramètres!$B$19)^AK100))</f>
        <v/>
      </c>
      <c r="AL112" s="259" t="str">
        <f>IF(AL111="","",((AL111)/(1+Paramètres!$B$19)^AL100))</f>
        <v/>
      </c>
      <c r="AM112" s="259" t="str">
        <f>IF(AM111="","",((AM111)/(1+Paramètres!$B$19)^AM100))</f>
        <v/>
      </c>
      <c r="AN112" s="259" t="str">
        <f>IF(AN111="","",((AN111)/(1+Paramètres!$B$19)^AN100))</f>
        <v/>
      </c>
      <c r="AO112" s="259" t="str">
        <f>IF(AO111="","",((AO111)/(1+Paramètres!$B$19)^AO100))</f>
        <v/>
      </c>
      <c r="AP112" s="259" t="str">
        <f>IF(AP111="","",((AP111)/(1+Paramètres!$B$19)^AP100))</f>
        <v/>
      </c>
      <c r="AQ112" s="259" t="str">
        <f>IF(AQ111="","",((AQ111)/(1+Paramètres!$B$19)^AQ100))</f>
        <v/>
      </c>
      <c r="AR112" s="258" t="str">
        <f>IF(AR111="","",((AR111)/(1+Paramètres!$B$19)^AR100))</f>
        <v/>
      </c>
    </row>
    <row r="113" spans="10:44" ht="13.8" thickBot="1">
      <c r="J113" s="250"/>
      <c r="K113" s="250"/>
      <c r="L113" s="841" t="s">
        <v>364</v>
      </c>
      <c r="M113" s="844"/>
      <c r="N113" s="257" t="str">
        <f>N112</f>
        <v/>
      </c>
      <c r="O113" s="256" t="str">
        <f t="shared" ref="O113:AR113" si="17">IF(O112="","",((N113+O90)))</f>
        <v/>
      </c>
      <c r="P113" s="256" t="str">
        <f t="shared" si="17"/>
        <v/>
      </c>
      <c r="Q113" s="256" t="str">
        <f t="shared" si="17"/>
        <v/>
      </c>
      <c r="R113" s="256" t="str">
        <f t="shared" si="17"/>
        <v/>
      </c>
      <c r="S113" s="256" t="str">
        <f t="shared" si="17"/>
        <v/>
      </c>
      <c r="T113" s="256" t="str">
        <f t="shared" si="17"/>
        <v/>
      </c>
      <c r="U113" s="256" t="str">
        <f t="shared" si="17"/>
        <v/>
      </c>
      <c r="V113" s="256" t="str">
        <f t="shared" si="17"/>
        <v/>
      </c>
      <c r="W113" s="256" t="str">
        <f t="shared" si="17"/>
        <v/>
      </c>
      <c r="X113" s="256" t="str">
        <f t="shared" si="17"/>
        <v/>
      </c>
      <c r="Y113" s="256" t="str">
        <f t="shared" si="17"/>
        <v/>
      </c>
      <c r="Z113" s="256" t="str">
        <f t="shared" si="17"/>
        <v/>
      </c>
      <c r="AA113" s="256" t="str">
        <f t="shared" si="17"/>
        <v/>
      </c>
      <c r="AB113" s="256" t="str">
        <f t="shared" si="17"/>
        <v/>
      </c>
      <c r="AC113" s="256" t="str">
        <f t="shared" si="17"/>
        <v/>
      </c>
      <c r="AD113" s="256" t="str">
        <f t="shared" si="17"/>
        <v/>
      </c>
      <c r="AE113" s="256" t="str">
        <f t="shared" si="17"/>
        <v/>
      </c>
      <c r="AF113" s="256" t="str">
        <f t="shared" si="17"/>
        <v/>
      </c>
      <c r="AG113" s="256" t="str">
        <f t="shared" si="17"/>
        <v/>
      </c>
      <c r="AH113" s="256" t="str">
        <f t="shared" si="17"/>
        <v/>
      </c>
      <c r="AI113" s="256" t="str">
        <f t="shared" si="17"/>
        <v/>
      </c>
      <c r="AJ113" s="256" t="str">
        <f t="shared" si="17"/>
        <v/>
      </c>
      <c r="AK113" s="256" t="str">
        <f t="shared" si="17"/>
        <v/>
      </c>
      <c r="AL113" s="256" t="str">
        <f t="shared" si="17"/>
        <v/>
      </c>
      <c r="AM113" s="256" t="str">
        <f t="shared" si="17"/>
        <v/>
      </c>
      <c r="AN113" s="256" t="str">
        <f t="shared" si="17"/>
        <v/>
      </c>
      <c r="AO113" s="256" t="str">
        <f t="shared" si="17"/>
        <v/>
      </c>
      <c r="AP113" s="256" t="str">
        <f t="shared" si="17"/>
        <v/>
      </c>
      <c r="AQ113" s="256" t="str">
        <f t="shared" si="17"/>
        <v/>
      </c>
      <c r="AR113" s="255" t="str">
        <f t="shared" si="17"/>
        <v/>
      </c>
    </row>
    <row r="114" spans="10:44" ht="13.8" thickBot="1"/>
    <row r="115" spans="10:44">
      <c r="L115" s="254" t="s">
        <v>225</v>
      </c>
      <c r="M115" s="253" t="str">
        <f>IFERROR(IRR(N111:AR111), "PROJET NON RENTABLE")</f>
        <v>PROJET NON RENTABLE</v>
      </c>
    </row>
    <row r="116" spans="10:44" ht="13.8" thickBot="1">
      <c r="L116" s="252" t="s">
        <v>224</v>
      </c>
      <c r="M116" s="412" cm="1">
        <f t="array" ref="M116">IFERROR(INDEX(N100:AR100,MATCH(TRUE,N113:AR113&gt;0,0)),"PROJET NON RENTABLE")</f>
        <v>0</v>
      </c>
    </row>
  </sheetData>
  <mergeCells count="63">
    <mergeCell ref="L103:L104"/>
    <mergeCell ref="L106:L109"/>
    <mergeCell ref="L111:M111"/>
    <mergeCell ref="L112:M112"/>
    <mergeCell ref="L113:M113"/>
    <mergeCell ref="L101:L102"/>
    <mergeCell ref="N79:AR79"/>
    <mergeCell ref="B80:H80"/>
    <mergeCell ref="E81:F81"/>
    <mergeCell ref="L81:L82"/>
    <mergeCell ref="L83:L85"/>
    <mergeCell ref="B87:F87"/>
    <mergeCell ref="L89:M89"/>
    <mergeCell ref="L90:M90"/>
    <mergeCell ref="L91:M91"/>
    <mergeCell ref="J97:AR97"/>
    <mergeCell ref="N99:AR99"/>
    <mergeCell ref="K67:K72"/>
    <mergeCell ref="B70:H70"/>
    <mergeCell ref="E71:F71"/>
    <mergeCell ref="B77:F77"/>
    <mergeCell ref="J77:AR77"/>
    <mergeCell ref="B58:E58"/>
    <mergeCell ref="B59:F59"/>
    <mergeCell ref="B60:F60"/>
    <mergeCell ref="B61:F61"/>
    <mergeCell ref="J61:J72"/>
    <mergeCell ref="B67:F67"/>
    <mergeCell ref="K62:K63"/>
    <mergeCell ref="B64:F64"/>
    <mergeCell ref="K64:K65"/>
    <mergeCell ref="B65:F65"/>
    <mergeCell ref="B66:F66"/>
    <mergeCell ref="N48:O48"/>
    <mergeCell ref="J51:Q51"/>
    <mergeCell ref="J54:N54"/>
    <mergeCell ref="J55:J59"/>
    <mergeCell ref="K55:K56"/>
    <mergeCell ref="K57:K58"/>
    <mergeCell ref="N47:O47"/>
    <mergeCell ref="B21:H21"/>
    <mergeCell ref="J26:Q26"/>
    <mergeCell ref="C31:F31"/>
    <mergeCell ref="N31:O31"/>
    <mergeCell ref="C33:F33"/>
    <mergeCell ref="N33:O33"/>
    <mergeCell ref="C35:F35"/>
    <mergeCell ref="N35:O35"/>
    <mergeCell ref="O37:O45"/>
    <mergeCell ref="B42:H42"/>
    <mergeCell ref="B46:H46"/>
    <mergeCell ref="B17:H17"/>
    <mergeCell ref="B1:H1"/>
    <mergeCell ref="B2:H2"/>
    <mergeCell ref="J2:AR2"/>
    <mergeCell ref="B3:H3"/>
    <mergeCell ref="F5:G5"/>
    <mergeCell ref="L6:M6"/>
    <mergeCell ref="L7:M7"/>
    <mergeCell ref="J8:K8"/>
    <mergeCell ref="M8:N8"/>
    <mergeCell ref="B9:H9"/>
    <mergeCell ref="B13:C13"/>
  </mergeCells>
  <dataValidations count="5">
    <dataValidation type="list" allowBlank="1" showInputMessage="1" showErrorMessage="1" sqref="C37" xr:uid="{17C0D225-1BEB-46A7-9FEF-017A928A9D33}">
      <formula1>"2030,2040,2050"</formula1>
    </dataValidation>
    <dataValidation type="list" allowBlank="1" showInputMessage="1" showErrorMessage="1" sqref="K22:K23" xr:uid="{A7F1B608-1C18-4617-8B59-9C8B44122300}">
      <formula1>"OUI,NON"</formula1>
    </dataValidation>
    <dataValidation type="list" allowBlank="1" showInputMessage="1" showErrorMessage="1" sqref="K24" xr:uid="{20D39B37-B3F4-447D-9867-2EF0351092CD}">
      <formula1>"Oui,Non"</formula1>
    </dataValidation>
    <dataValidation type="list" showInputMessage="1" showErrorMessage="1" sqref="K10:K14" xr:uid="{1AE0684C-635A-40A1-8779-8B45A6E99F46}">
      <formula1>Poste</formula1>
    </dataValidation>
    <dataValidation type="list" showInputMessage="1" showErrorMessage="1" sqref="K15" xr:uid="{427219AB-20B1-4C39-9FD5-8A165300B7BC}">
      <formula1>"Tertiaire Public,Tertiaire Privé,Industrie"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1200" r:id="rId1"/>
  <headerFooter alignWithMargins="0">
    <oddHeader>&amp;C&amp;"Arial,Gras"&amp;14ECONOTEC / 3J-CONSULT</oddHeader>
    <oddFooter>&amp;L&amp;F&amp;R&amp;A</oddFooter>
  </headerFooter>
  <rowBreaks count="1" manualBreakCount="1">
    <brk id="67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265A136-E305-4783-8763-13FE29D404C8}">
          <x14:formula1>
            <xm:f>Paramètres!$C$57:$C$60</xm:f>
          </x14:formula1>
          <xm:sqref>F27</xm:sqref>
        </x14:dataValidation>
        <x14:dataValidation type="list" allowBlank="1" showInputMessage="1" showErrorMessage="1" xr:uid="{4DF1FDD5-D295-4BE3-83DD-30F7BBA81B26}">
          <x14:formula1>
            <xm:f>Paramètres!$A$57:$A$83</xm:f>
          </x14:formula1>
          <xm:sqref>B13:B14</xm:sqref>
        </x14:dataValidation>
        <x14:dataValidation type="list" allowBlank="1" showInputMessage="1" showErrorMessage="1" xr:uid="{2CB523F3-AF87-457A-B902-1329AD6F081D}">
          <x14:formula1>
            <xm:f>Paramètres!$B$57:$B$82</xm:f>
          </x14:formula1>
          <xm:sqref>C31:F31 C35:F35 C33:F33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8C07D-6CF9-4E15-AE52-4F41EEE1F4F1}">
  <dimension ref="B1:AR116"/>
  <sheetViews>
    <sheetView zoomScaleNormal="100" workbookViewId="0">
      <selection activeCell="H32" sqref="H32"/>
    </sheetView>
  </sheetViews>
  <sheetFormatPr baseColWidth="10" defaultColWidth="11.44140625" defaultRowHeight="13.2"/>
  <cols>
    <col min="1" max="1" width="1.88671875" customWidth="1"/>
    <col min="2" max="2" width="16.88671875" customWidth="1"/>
    <col min="6" max="6" width="14" bestFit="1" customWidth="1"/>
    <col min="7" max="7" width="11.88671875" customWidth="1"/>
    <col min="8" max="8" width="12.6640625" bestFit="1" customWidth="1"/>
    <col min="10" max="10" width="49" bestFit="1" customWidth="1"/>
    <col min="11" max="11" width="31.109375" bestFit="1" customWidth="1"/>
    <col min="12" max="12" width="41.44140625" bestFit="1" customWidth="1"/>
    <col min="13" max="13" width="35.5546875" bestFit="1" customWidth="1"/>
    <col min="14" max="14" width="10.109375" bestFit="1" customWidth="1"/>
    <col min="15" max="15" width="9.6640625" bestFit="1" customWidth="1"/>
    <col min="16" max="18" width="5" bestFit="1" customWidth="1"/>
    <col min="19" max="29" width="5.33203125" bestFit="1" customWidth="1"/>
    <col min="30" max="44" width="2.88671875" bestFit="1" customWidth="1"/>
  </cols>
  <sheetData>
    <row r="1" spans="2:44" ht="21">
      <c r="B1" s="772" t="str">
        <f>Entête!C15</f>
        <v>NOM DE L'ENTITE</v>
      </c>
      <c r="C1" s="773"/>
      <c r="D1" s="773"/>
      <c r="E1" s="773"/>
      <c r="F1" s="773"/>
      <c r="G1" s="773"/>
      <c r="H1" s="774"/>
      <c r="J1" s="250"/>
      <c r="K1" s="250"/>
      <c r="L1" s="250"/>
      <c r="M1" s="251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</row>
    <row r="2" spans="2:44" ht="21">
      <c r="B2" s="775"/>
      <c r="C2" s="776"/>
      <c r="D2" s="776"/>
      <c r="E2" s="776"/>
      <c r="F2" s="776"/>
      <c r="G2" s="776"/>
      <c r="H2" s="777"/>
      <c r="J2" s="778" t="s">
        <v>260</v>
      </c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79"/>
      <c r="AP2" s="779"/>
      <c r="AQ2" s="779"/>
      <c r="AR2" s="779"/>
    </row>
    <row r="3" spans="2:44" ht="16.2" thickBot="1">
      <c r="B3" s="780" t="s">
        <v>261</v>
      </c>
      <c r="C3" s="781"/>
      <c r="D3" s="781"/>
      <c r="E3" s="781"/>
      <c r="F3" s="781"/>
      <c r="G3" s="781"/>
      <c r="H3" s="782"/>
      <c r="J3" s="375"/>
      <c r="K3" s="375"/>
      <c r="L3" s="375"/>
      <c r="M3" s="416"/>
      <c r="N3" s="375"/>
      <c r="O3" s="375"/>
      <c r="P3" s="375"/>
      <c r="Q3" s="375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</row>
    <row r="4" spans="2:44">
      <c r="J4" s="375"/>
      <c r="K4" s="375"/>
      <c r="L4" s="375"/>
      <c r="M4" s="375"/>
      <c r="N4" s="375"/>
      <c r="O4" s="375"/>
      <c r="P4" s="375"/>
      <c r="Q4" s="375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</row>
    <row r="5" spans="2:44" ht="16.2" thickBot="1">
      <c r="B5" s="198" t="s">
        <v>262</v>
      </c>
      <c r="F5" s="783" t="s">
        <v>385</v>
      </c>
      <c r="G5" s="784"/>
      <c r="J5" s="375"/>
      <c r="K5" s="375"/>
      <c r="L5" s="375"/>
      <c r="M5" s="417"/>
      <c r="N5" s="375"/>
      <c r="O5" s="375"/>
      <c r="P5" s="375"/>
      <c r="Q5" s="375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</row>
    <row r="6" spans="2:44" ht="16.2" thickBot="1">
      <c r="B6" s="198"/>
      <c r="F6" s="199"/>
      <c r="G6" s="199"/>
      <c r="J6" s="376" t="s">
        <v>264</v>
      </c>
      <c r="K6" s="389"/>
      <c r="L6" s="785"/>
      <c r="M6" s="785"/>
      <c r="N6" s="387"/>
      <c r="O6" s="387"/>
      <c r="P6" s="387"/>
      <c r="Q6" s="387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4"/>
      <c r="AE6" s="414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</row>
    <row r="7" spans="2:44" ht="16.2" thickBot="1">
      <c r="B7" s="198" t="s">
        <v>265</v>
      </c>
      <c r="J7" s="388"/>
      <c r="K7" s="387"/>
      <c r="L7" s="785"/>
      <c r="M7" s="785"/>
      <c r="N7" s="387"/>
      <c r="O7" s="387"/>
      <c r="P7" s="387"/>
      <c r="Q7" s="387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4"/>
      <c r="AE7" s="414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</row>
    <row r="8" spans="2:44" ht="16.2" thickBot="1">
      <c r="J8" s="786" t="s">
        <v>266</v>
      </c>
      <c r="K8" s="787"/>
      <c r="L8" s="374"/>
      <c r="M8" s="786" t="s">
        <v>267</v>
      </c>
      <c r="N8" s="787"/>
      <c r="O8" s="374"/>
      <c r="P8" s="374"/>
      <c r="Q8" s="374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</row>
    <row r="9" spans="2:44" ht="16.2" thickBot="1">
      <c r="B9" s="788" t="s">
        <v>386</v>
      </c>
      <c r="C9" s="789"/>
      <c r="D9" s="789"/>
      <c r="E9" s="789"/>
      <c r="F9" s="789"/>
      <c r="G9" s="789"/>
      <c r="H9" s="790"/>
      <c r="J9" s="262"/>
      <c r="K9" s="262"/>
      <c r="L9" s="262"/>
      <c r="M9" s="262"/>
      <c r="N9" s="262"/>
      <c r="O9" s="262"/>
      <c r="P9" s="262"/>
      <c r="Q9" s="262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</row>
    <row r="10" spans="2:44" ht="16.2" thickBot="1">
      <c r="J10" s="378" t="s">
        <v>268</v>
      </c>
      <c r="K10" s="376" t="s">
        <v>55</v>
      </c>
      <c r="L10" s="262"/>
      <c r="M10" s="386" t="s">
        <v>269</v>
      </c>
      <c r="N10" s="385" t="str">
        <f>M93</f>
        <v>PROJET NON RENTABLE</v>
      </c>
      <c r="O10" s="262"/>
      <c r="P10" s="262"/>
      <c r="Q10" s="262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</row>
    <row r="11" spans="2:44" ht="15.6">
      <c r="B11" s="198" t="s">
        <v>191</v>
      </c>
      <c r="J11" s="262"/>
      <c r="K11" s="621"/>
      <c r="L11" s="262"/>
      <c r="M11" s="622"/>
      <c r="N11" s="623"/>
      <c r="O11" s="262"/>
      <c r="P11" s="262"/>
      <c r="Q11" s="262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</row>
    <row r="12" spans="2:44" ht="15.6">
      <c r="B12" s="635" t="s">
        <v>270</v>
      </c>
      <c r="J12" s="262"/>
      <c r="K12" s="621"/>
      <c r="L12" s="262"/>
      <c r="M12" s="622"/>
      <c r="N12" s="623"/>
      <c r="O12" s="262"/>
      <c r="P12" s="262"/>
      <c r="Q12" s="262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2:44" ht="24.9" customHeight="1">
      <c r="B13" s="788" t="s">
        <v>98</v>
      </c>
      <c r="C13" s="790"/>
      <c r="J13" s="262"/>
      <c r="K13" s="621"/>
      <c r="L13" s="262"/>
      <c r="M13" s="622"/>
      <c r="N13" s="623"/>
      <c r="O13" s="262"/>
      <c r="P13" s="262"/>
      <c r="Q13" s="262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</row>
    <row r="14" spans="2:44" ht="15.6">
      <c r="B14" s="199"/>
      <c r="J14" s="262"/>
      <c r="K14" s="621"/>
      <c r="L14" s="262"/>
      <c r="M14" s="622"/>
      <c r="N14" s="623"/>
      <c r="O14" s="262"/>
      <c r="P14" s="262"/>
      <c r="Q14" s="262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</row>
    <row r="15" spans="2:44" ht="16.2" thickBot="1">
      <c r="B15" s="198" t="s">
        <v>271</v>
      </c>
      <c r="J15" s="262"/>
      <c r="K15" s="262"/>
      <c r="L15" s="262"/>
      <c r="M15" s="384" t="s">
        <v>272</v>
      </c>
      <c r="N15" s="383">
        <f>M94</f>
        <v>0</v>
      </c>
      <c r="O15" s="262"/>
      <c r="P15" s="262"/>
      <c r="Q15" s="262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</row>
    <row r="16" spans="2:44" ht="16.2" thickBot="1">
      <c r="J16" s="378" t="s">
        <v>51</v>
      </c>
      <c r="K16" s="381">
        <f>VLOOKUP(K10,Paramètres!A27:C29,3)</f>
        <v>15</v>
      </c>
      <c r="L16" s="375"/>
      <c r="M16" s="310"/>
      <c r="N16" s="310"/>
      <c r="O16" s="262"/>
      <c r="P16" s="262"/>
      <c r="Q16" s="262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</row>
    <row r="17" spans="2:44" ht="29.25" customHeight="1" thickBot="1">
      <c r="B17" s="769"/>
      <c r="C17" s="770"/>
      <c r="D17" s="770"/>
      <c r="E17" s="770"/>
      <c r="F17" s="770"/>
      <c r="G17" s="770"/>
      <c r="H17" s="771"/>
      <c r="J17" s="262"/>
      <c r="K17" s="262"/>
      <c r="L17" s="375"/>
      <c r="M17" s="300" t="s">
        <v>273</v>
      </c>
      <c r="N17" s="382" t="str">
        <f>M115</f>
        <v>PROJET NON RENTABLE</v>
      </c>
      <c r="O17" s="262"/>
      <c r="P17" s="262"/>
      <c r="Q17" s="262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</row>
    <row r="18" spans="2:44" ht="16.2" thickBot="1">
      <c r="J18" s="378" t="s">
        <v>274</v>
      </c>
      <c r="K18" s="381">
        <f>VLOOKUP(K10,Paramètres!A27:D29,4)</f>
        <v>8</v>
      </c>
      <c r="L18" s="262"/>
      <c r="M18" s="311" t="s">
        <v>275</v>
      </c>
      <c r="N18" s="380">
        <f>M116</f>
        <v>0</v>
      </c>
      <c r="O18" s="262"/>
      <c r="P18" s="262"/>
      <c r="Q18" s="262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</row>
    <row r="19" spans="2:44" ht="16.2" thickBot="1">
      <c r="B19" s="198" t="s">
        <v>276</v>
      </c>
      <c r="J19" s="262"/>
      <c r="K19" s="262"/>
      <c r="L19" s="262"/>
      <c r="M19" s="375"/>
      <c r="N19" s="375"/>
      <c r="O19" s="262"/>
      <c r="P19" s="262"/>
      <c r="Q19" s="262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</row>
    <row r="20" spans="2:44" ht="16.2" thickBot="1">
      <c r="J20" s="377" t="s">
        <v>277</v>
      </c>
      <c r="K20" s="379">
        <v>10</v>
      </c>
      <c r="L20" s="262"/>
      <c r="M20" s="262"/>
      <c r="N20" s="418"/>
      <c r="O20" s="262"/>
      <c r="P20" s="262"/>
      <c r="Q20" s="262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</row>
    <row r="21" spans="2:44" ht="16.2" thickBot="1">
      <c r="B21" s="769"/>
      <c r="C21" s="770"/>
      <c r="D21" s="770"/>
      <c r="E21" s="770"/>
      <c r="F21" s="770"/>
      <c r="G21" s="770"/>
      <c r="H21" s="771"/>
      <c r="J21" s="374"/>
      <c r="K21" s="262"/>
      <c r="L21" s="262"/>
      <c r="M21" s="262"/>
      <c r="N21" s="418"/>
      <c r="O21" s="262"/>
      <c r="P21" s="262"/>
      <c r="Q21" s="262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</row>
    <row r="22" spans="2:44" ht="16.2" thickBot="1">
      <c r="J22" s="378" t="s">
        <v>278</v>
      </c>
      <c r="K22" s="376" t="s">
        <v>279</v>
      </c>
      <c r="L22" s="262"/>
      <c r="M22" s="262"/>
      <c r="N22" s="262"/>
      <c r="O22" s="262"/>
      <c r="P22" s="262"/>
      <c r="Q22" s="262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</row>
    <row r="23" spans="2:44" ht="16.2" thickBot="1">
      <c r="B23" s="198" t="s">
        <v>280</v>
      </c>
      <c r="F23" s="421">
        <f>C50*Paramètres!C13+C51*Paramètres!D13</f>
        <v>0</v>
      </c>
      <c r="G23" s="145"/>
      <c r="J23" s="377" t="s">
        <v>281</v>
      </c>
      <c r="K23" s="376" t="s">
        <v>282</v>
      </c>
      <c r="L23" s="262"/>
      <c r="M23" s="262"/>
      <c r="N23" s="262"/>
      <c r="O23" s="262"/>
      <c r="P23" s="262"/>
      <c r="Q23" s="262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</row>
    <row r="24" spans="2:44" ht="15.6">
      <c r="J24" s="262"/>
      <c r="K24" s="262"/>
      <c r="L24" s="262"/>
      <c r="M24" s="262"/>
      <c r="N24" s="262"/>
      <c r="O24" s="262"/>
      <c r="P24" s="262"/>
      <c r="Q24" s="262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</row>
    <row r="25" spans="2:44" ht="16.2" thickBot="1">
      <c r="B25" s="198" t="s">
        <v>283</v>
      </c>
      <c r="F25" s="421">
        <f>+G61*1000</f>
        <v>0</v>
      </c>
      <c r="J25" s="374"/>
      <c r="K25" s="262"/>
      <c r="L25" s="262"/>
      <c r="M25" s="262"/>
      <c r="N25" s="262"/>
      <c r="O25" s="262"/>
      <c r="P25" s="302"/>
      <c r="Q25" s="302"/>
      <c r="R25" s="302"/>
      <c r="S25" s="302"/>
      <c r="T25" s="302"/>
      <c r="U25" s="302"/>
      <c r="V25" s="302"/>
      <c r="W25" s="302"/>
      <c r="X25" s="302"/>
      <c r="Y25" s="321"/>
      <c r="Z25" s="321"/>
      <c r="AA25" s="321"/>
      <c r="AB25" s="321"/>
      <c r="AC25" s="321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</row>
    <row r="26" spans="2:44" ht="16.2" thickBot="1">
      <c r="J26" s="786" t="s">
        <v>284</v>
      </c>
      <c r="K26" s="793"/>
      <c r="L26" s="793"/>
      <c r="M26" s="793"/>
      <c r="N26" s="793"/>
      <c r="O26" s="793"/>
      <c r="P26" s="793"/>
      <c r="Q26" s="787"/>
      <c r="R26" s="302"/>
      <c r="S26" s="302"/>
      <c r="T26" s="302"/>
      <c r="U26" s="302"/>
      <c r="V26" s="302"/>
      <c r="W26" s="302"/>
      <c r="X26" s="302"/>
      <c r="Y26" s="321"/>
      <c r="Z26" s="321"/>
      <c r="AA26" s="321"/>
      <c r="AB26" s="321"/>
      <c r="AC26" s="321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</row>
    <row r="27" spans="2:44" ht="15.6">
      <c r="B27" s="198" t="s">
        <v>78</v>
      </c>
      <c r="F27" s="628" t="s">
        <v>85</v>
      </c>
      <c r="G27" s="420"/>
      <c r="J27" s="374"/>
      <c r="K27" s="262"/>
      <c r="L27" s="262"/>
      <c r="M27" s="262"/>
      <c r="N27" s="262"/>
      <c r="O27" s="262"/>
      <c r="P27" s="302"/>
      <c r="Q27" s="302"/>
      <c r="R27" s="302"/>
      <c r="S27" s="302"/>
      <c r="T27" s="302"/>
      <c r="U27" s="302"/>
      <c r="V27" s="302"/>
      <c r="W27" s="302"/>
      <c r="X27" s="302"/>
      <c r="Y27" s="321"/>
      <c r="Z27" s="321"/>
      <c r="AA27" s="321"/>
      <c r="AB27" s="321"/>
      <c r="AC27" s="321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</row>
    <row r="28" spans="2:44" ht="15.6">
      <c r="B28" s="198"/>
      <c r="F28" s="199"/>
      <c r="G28" s="420"/>
      <c r="J28" s="374"/>
      <c r="K28" s="262"/>
      <c r="L28" s="262"/>
      <c r="M28" s="262"/>
      <c r="N28" s="262"/>
      <c r="O28" s="262"/>
      <c r="P28" s="302"/>
      <c r="Q28" s="302"/>
      <c r="R28" s="302"/>
      <c r="S28" s="302"/>
      <c r="T28" s="302"/>
      <c r="U28" s="302"/>
      <c r="V28" s="302"/>
      <c r="W28" s="302"/>
      <c r="X28" s="302"/>
      <c r="Y28" s="321"/>
      <c r="Z28" s="321"/>
      <c r="AA28" s="321"/>
      <c r="AB28" s="321"/>
      <c r="AC28" s="321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</row>
    <row r="29" spans="2:44" ht="15.6">
      <c r="C29" s="198" t="s">
        <v>285</v>
      </c>
      <c r="F29" s="199"/>
      <c r="G29" s="420"/>
      <c r="J29" s="374"/>
      <c r="K29" s="262"/>
      <c r="L29" s="262"/>
      <c r="M29" s="262"/>
      <c r="N29" s="262"/>
      <c r="O29" s="262"/>
      <c r="P29" s="302"/>
      <c r="Q29" s="302"/>
      <c r="R29" s="302"/>
      <c r="S29" s="302"/>
      <c r="T29" s="302"/>
      <c r="U29" s="302"/>
      <c r="V29" s="302"/>
      <c r="W29" s="302"/>
      <c r="X29" s="302"/>
      <c r="Y29" s="321"/>
      <c r="Z29" s="321"/>
      <c r="AA29" s="321"/>
      <c r="AB29" s="321"/>
      <c r="AC29" s="321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</row>
    <row r="30" spans="2:44" ht="16.2" thickBot="1">
      <c r="B30" s="198"/>
      <c r="C30" s="635" t="s">
        <v>270</v>
      </c>
      <c r="F30" s="199"/>
      <c r="G30" s="420"/>
      <c r="J30" s="374"/>
      <c r="K30" s="262"/>
      <c r="L30" s="262"/>
      <c r="M30" s="262"/>
      <c r="N30" s="262"/>
      <c r="O30" s="262"/>
      <c r="P30" s="302"/>
      <c r="Q30" s="302"/>
      <c r="R30" s="302"/>
      <c r="S30" s="302"/>
      <c r="T30" s="302"/>
      <c r="U30" s="302"/>
      <c r="V30" s="302"/>
      <c r="W30" s="302"/>
      <c r="X30" s="302"/>
      <c r="Y30" s="321"/>
      <c r="Z30" s="321"/>
      <c r="AA30" s="321"/>
      <c r="AB30" s="321"/>
      <c r="AC30" s="321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</row>
    <row r="31" spans="2:44" ht="12.9" customHeight="1">
      <c r="B31" t="s">
        <v>286</v>
      </c>
      <c r="C31" s="794" t="s">
        <v>81</v>
      </c>
      <c r="D31" s="795"/>
      <c r="E31" s="795"/>
      <c r="F31" s="796"/>
      <c r="G31" s="420"/>
      <c r="J31" s="373"/>
      <c r="K31" s="302"/>
      <c r="L31" s="302"/>
      <c r="M31" s="319"/>
      <c r="N31" s="797" t="s">
        <v>287</v>
      </c>
      <c r="O31" s="798"/>
      <c r="P31" s="302"/>
      <c r="Q31" s="302"/>
      <c r="R31" s="302"/>
      <c r="S31" s="302"/>
      <c r="T31" s="302"/>
      <c r="U31" s="302"/>
      <c r="V31" s="302"/>
      <c r="W31" s="321"/>
      <c r="X31" s="321"/>
      <c r="Y31" s="321"/>
      <c r="Z31" s="321"/>
      <c r="AA31" s="321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</row>
    <row r="32" spans="2:44" ht="16.2" thickBot="1">
      <c r="B32" s="198"/>
      <c r="C32" s="625"/>
      <c r="D32" s="625"/>
      <c r="E32" s="625"/>
      <c r="F32" s="626"/>
      <c r="G32" s="420"/>
      <c r="J32" s="374"/>
      <c r="K32" s="262"/>
      <c r="L32" s="262"/>
      <c r="M32" s="262"/>
      <c r="N32" s="262"/>
      <c r="O32" s="262"/>
      <c r="P32" s="302"/>
      <c r="Q32" s="302"/>
      <c r="R32" s="302"/>
      <c r="S32" s="302"/>
      <c r="T32" s="302"/>
      <c r="U32" s="302"/>
      <c r="V32" s="302"/>
      <c r="W32" s="302"/>
      <c r="X32" s="302"/>
      <c r="Y32" s="321"/>
      <c r="Z32" s="321"/>
      <c r="AA32" s="321"/>
      <c r="AB32" s="321"/>
      <c r="AC32" s="321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</row>
    <row r="33" spans="2:44" ht="13.8">
      <c r="B33" t="s">
        <v>288</v>
      </c>
      <c r="C33" s="794" t="s">
        <v>81</v>
      </c>
      <c r="D33" s="795"/>
      <c r="E33" s="795"/>
      <c r="F33" s="796"/>
      <c r="G33" s="420"/>
      <c r="J33" s="373"/>
      <c r="K33" s="302"/>
      <c r="L33" s="302"/>
      <c r="M33" s="319"/>
      <c r="N33" s="797" t="s">
        <v>287</v>
      </c>
      <c r="O33" s="798"/>
      <c r="P33" s="302"/>
      <c r="Q33" s="302"/>
      <c r="R33" s="302"/>
      <c r="S33" s="302"/>
      <c r="T33" s="302"/>
      <c r="U33" s="302"/>
      <c r="V33" s="302"/>
      <c r="W33" s="321"/>
      <c r="X33" s="321"/>
      <c r="Y33" s="321"/>
      <c r="Z33" s="321"/>
      <c r="AA33" s="321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</row>
    <row r="34" spans="2:44" ht="16.2" thickBot="1">
      <c r="B34" s="198"/>
      <c r="C34" s="625"/>
      <c r="D34" s="625"/>
      <c r="E34" s="625"/>
      <c r="F34" s="626"/>
      <c r="G34" s="420"/>
      <c r="J34" s="374"/>
      <c r="K34" s="262"/>
      <c r="L34" s="262"/>
      <c r="M34" s="262"/>
      <c r="N34" s="262"/>
      <c r="O34" s="262"/>
      <c r="P34" s="302"/>
      <c r="Q34" s="302"/>
      <c r="R34" s="302"/>
      <c r="S34" s="302"/>
      <c r="T34" s="302"/>
      <c r="U34" s="302"/>
      <c r="V34" s="302"/>
      <c r="W34" s="302"/>
      <c r="X34" s="302"/>
      <c r="Y34" s="321"/>
      <c r="Z34" s="321"/>
      <c r="AA34" s="321"/>
      <c r="AB34" s="321"/>
      <c r="AC34" s="321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</row>
    <row r="35" spans="2:44" ht="14.4" thickBot="1">
      <c r="B35" t="s">
        <v>289</v>
      </c>
      <c r="C35" s="794" t="s">
        <v>81</v>
      </c>
      <c r="D35" s="795"/>
      <c r="E35" s="795"/>
      <c r="F35" s="796"/>
      <c r="G35" s="420"/>
      <c r="J35" s="373"/>
      <c r="K35" s="302"/>
      <c r="L35" s="302"/>
      <c r="M35" s="319"/>
      <c r="N35" s="797" t="s">
        <v>287</v>
      </c>
      <c r="O35" s="798"/>
      <c r="P35" s="302"/>
      <c r="Q35" s="302"/>
      <c r="R35" s="302"/>
      <c r="S35" s="302"/>
      <c r="T35" s="302"/>
      <c r="U35" s="302"/>
      <c r="V35" s="302"/>
      <c r="W35" s="321"/>
      <c r="X35" s="321"/>
      <c r="Y35" s="321"/>
      <c r="Z35" s="321"/>
      <c r="AA35" s="321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</row>
    <row r="36" spans="2:44" ht="36.6" thickBot="1">
      <c r="C36" s="635" t="s">
        <v>270</v>
      </c>
      <c r="J36" s="370" t="s">
        <v>290</v>
      </c>
      <c r="K36" s="370" t="s">
        <v>291</v>
      </c>
      <c r="L36" s="372" t="s">
        <v>292</v>
      </c>
      <c r="M36" s="372" t="s">
        <v>293</v>
      </c>
      <c r="N36" s="371" t="s">
        <v>294</v>
      </c>
      <c r="O36" s="370" t="s">
        <v>295</v>
      </c>
      <c r="P36" s="302"/>
      <c r="Q36" s="302"/>
      <c r="R36" s="302"/>
      <c r="S36" s="302"/>
      <c r="T36" s="302"/>
      <c r="U36" s="302"/>
      <c r="V36" s="302"/>
      <c r="W36" s="321"/>
      <c r="X36" s="321"/>
      <c r="Y36" s="321"/>
      <c r="Z36" s="321"/>
      <c r="AA36" s="321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</row>
    <row r="37" spans="2:44" ht="15.6">
      <c r="B37" s="198" t="s">
        <v>79</v>
      </c>
      <c r="C37" s="629">
        <v>2030</v>
      </c>
      <c r="J37" s="369" t="s">
        <v>296</v>
      </c>
      <c r="K37" s="368">
        <f>Paramètres!C12</f>
        <v>0.216</v>
      </c>
      <c r="L37" s="367"/>
      <c r="M37" s="367"/>
      <c r="N37" s="366">
        <f>Paramètres!C13*1000</f>
        <v>0</v>
      </c>
      <c r="O37" s="799">
        <v>70</v>
      </c>
      <c r="P37" s="302"/>
      <c r="Q37" s="302"/>
      <c r="R37" s="302"/>
      <c r="S37" s="302"/>
      <c r="T37" s="302"/>
      <c r="U37" s="302"/>
      <c r="V37" s="302"/>
      <c r="W37" s="321"/>
      <c r="X37" s="321"/>
      <c r="Y37" s="321"/>
      <c r="Z37" s="321"/>
      <c r="AA37" s="321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</row>
    <row r="38" spans="2:44" ht="15.6">
      <c r="B38" s="198"/>
      <c r="J38" s="364" t="s">
        <v>12</v>
      </c>
      <c r="K38" s="365">
        <f>Paramètres!D12</f>
        <v>0.218</v>
      </c>
      <c r="L38" s="362"/>
      <c r="M38" s="362"/>
      <c r="N38" s="361">
        <f>Paramètres!D13*1000</f>
        <v>0</v>
      </c>
      <c r="O38" s="800"/>
      <c r="P38" s="302"/>
      <c r="Q38" s="302"/>
      <c r="R38" s="302"/>
      <c r="S38" s="302"/>
      <c r="T38" s="302"/>
      <c r="U38" s="302"/>
      <c r="V38" s="302"/>
      <c r="W38" s="321"/>
      <c r="X38" s="321"/>
      <c r="Y38" s="321"/>
      <c r="Z38" s="321"/>
      <c r="AA38" s="321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</row>
    <row r="39" spans="2:44">
      <c r="J39" s="364" t="s">
        <v>297</v>
      </c>
      <c r="K39" s="365">
        <f>Paramètres!E12/1000/(35.9/0.94/3600)</f>
        <v>0.30700138161559892</v>
      </c>
      <c r="L39" s="362"/>
      <c r="M39" s="362"/>
      <c r="N39" s="361">
        <f>Paramètres!E13/Paramètres!E10*1000</f>
        <v>0</v>
      </c>
      <c r="O39" s="800"/>
      <c r="P39" s="302"/>
      <c r="Q39" s="302"/>
      <c r="R39" s="302"/>
      <c r="S39" s="302"/>
      <c r="T39" s="302"/>
      <c r="U39" s="302"/>
      <c r="V39" s="302"/>
      <c r="W39" s="321"/>
      <c r="X39" s="321"/>
      <c r="Y39" s="321"/>
      <c r="Z39" s="321"/>
      <c r="AA39" s="321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</row>
    <row r="40" spans="2:44" ht="15.6">
      <c r="B40" s="198" t="s">
        <v>298</v>
      </c>
      <c r="J40" s="364" t="s">
        <v>299</v>
      </c>
      <c r="K40" s="365">
        <f>2.9209/1000/(43.77/0.94/3600)</f>
        <v>0.22582420836189168</v>
      </c>
      <c r="L40" s="362"/>
      <c r="M40" s="362"/>
      <c r="N40" s="361"/>
      <c r="O40" s="800"/>
      <c r="P40" s="302"/>
      <c r="Q40" s="302"/>
      <c r="R40" s="302"/>
      <c r="S40" s="302"/>
      <c r="T40" s="302"/>
      <c r="U40" s="302"/>
      <c r="V40" s="302"/>
      <c r="W40" s="321"/>
      <c r="X40" s="321"/>
      <c r="Y40" s="321"/>
      <c r="Z40" s="321"/>
      <c r="AA40" s="321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</row>
    <row r="41" spans="2:44">
      <c r="J41" s="364" t="s">
        <v>300</v>
      </c>
      <c r="K41" s="365">
        <f>3.3679/1000/(35.9/0.94/3600)</f>
        <v>0.31746444568245125</v>
      </c>
      <c r="L41" s="362"/>
      <c r="M41" s="362"/>
      <c r="N41" s="361"/>
      <c r="O41" s="800"/>
      <c r="P41" s="302"/>
      <c r="Q41" s="302"/>
      <c r="R41" s="302"/>
      <c r="S41" s="302"/>
      <c r="T41" s="302"/>
      <c r="U41" s="302"/>
      <c r="V41" s="302"/>
      <c r="W41" s="321"/>
      <c r="X41" s="321"/>
      <c r="Y41" s="321"/>
      <c r="Z41" s="321"/>
      <c r="AA41" s="321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</row>
    <row r="42" spans="2:44" ht="12.9" customHeight="1">
      <c r="B42" s="769"/>
      <c r="C42" s="770"/>
      <c r="D42" s="770"/>
      <c r="E42" s="770"/>
      <c r="F42" s="770"/>
      <c r="G42" s="770"/>
      <c r="H42" s="771"/>
      <c r="J42" s="364" t="s">
        <v>301</v>
      </c>
      <c r="K42" s="365">
        <f>3.0567/1000/(29.31/0.96/3600)</f>
        <v>0.36042153531218019</v>
      </c>
      <c r="L42" s="362"/>
      <c r="M42" s="362"/>
      <c r="N42" s="361"/>
      <c r="O42" s="800"/>
      <c r="P42" s="302"/>
      <c r="Q42" s="302"/>
      <c r="R42" s="302"/>
      <c r="S42" s="302"/>
      <c r="T42" s="302"/>
      <c r="U42" s="302"/>
      <c r="V42" s="302"/>
      <c r="W42" s="321"/>
      <c r="X42" s="321"/>
      <c r="Y42" s="321"/>
      <c r="Z42" s="321"/>
      <c r="AA42" s="321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</row>
    <row r="43" spans="2:44">
      <c r="J43" s="364" t="s">
        <v>302</v>
      </c>
      <c r="K43" s="411">
        <v>0</v>
      </c>
      <c r="L43" s="362"/>
      <c r="M43" s="362"/>
      <c r="N43" s="361"/>
      <c r="O43" s="800"/>
      <c r="P43" s="302"/>
      <c r="Q43" s="302"/>
      <c r="R43" s="302"/>
      <c r="S43" s="302"/>
      <c r="T43" s="302"/>
      <c r="U43" s="302"/>
      <c r="V43" s="302"/>
      <c r="W43" s="321"/>
      <c r="X43" s="321"/>
      <c r="Y43" s="321"/>
      <c r="Z43" s="321"/>
      <c r="AA43" s="321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</row>
    <row r="44" spans="2:44" ht="15.6">
      <c r="B44" s="198" t="s">
        <v>303</v>
      </c>
      <c r="J44" s="364" t="s">
        <v>304</v>
      </c>
      <c r="K44" s="363"/>
      <c r="L44" s="362"/>
      <c r="M44" s="362"/>
      <c r="N44" s="361"/>
      <c r="O44" s="800"/>
      <c r="P44" s="302"/>
      <c r="Q44" s="302"/>
      <c r="R44" s="302"/>
      <c r="S44" s="302"/>
      <c r="T44" s="302"/>
      <c r="U44" s="302"/>
      <c r="V44" s="302"/>
      <c r="W44" s="321"/>
      <c r="X44" s="321"/>
      <c r="Y44" s="321"/>
      <c r="Z44" s="321"/>
      <c r="AA44" s="321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</row>
    <row r="45" spans="2:44" ht="13.8" thickBot="1">
      <c r="J45" s="360" t="s">
        <v>304</v>
      </c>
      <c r="K45" s="359"/>
      <c r="L45" s="358"/>
      <c r="M45" s="358"/>
      <c r="N45" s="357"/>
      <c r="O45" s="801"/>
      <c r="P45" s="302"/>
      <c r="Q45" s="302"/>
      <c r="R45" s="302"/>
      <c r="S45" s="302"/>
      <c r="T45" s="302"/>
      <c r="U45" s="302"/>
      <c r="V45" s="302"/>
      <c r="W45" s="321"/>
      <c r="X45" s="321"/>
      <c r="Y45" s="321"/>
      <c r="Z45" s="321"/>
      <c r="AA45" s="321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</row>
    <row r="46" spans="2:44" ht="25.5" customHeight="1" thickBot="1">
      <c r="B46" s="788"/>
      <c r="C46" s="789"/>
      <c r="D46" s="789"/>
      <c r="E46" s="789"/>
      <c r="F46" s="789"/>
      <c r="G46" s="789"/>
      <c r="H46" s="790"/>
      <c r="J46" s="302"/>
      <c r="K46" s="302"/>
      <c r="L46" s="302"/>
      <c r="M46" s="319"/>
      <c r="N46" s="302"/>
      <c r="O46" s="302"/>
      <c r="P46" s="302"/>
      <c r="Q46" s="302"/>
      <c r="R46" s="302"/>
      <c r="S46" s="302"/>
      <c r="T46" s="302"/>
      <c r="U46" s="302"/>
      <c r="V46" s="302"/>
      <c r="W46" s="321"/>
      <c r="X46" s="321"/>
      <c r="Y46" s="321"/>
      <c r="Z46" s="321"/>
      <c r="AA46" s="321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</row>
    <row r="47" spans="2:44" ht="13.8" thickBot="1">
      <c r="B47" s="197"/>
      <c r="C47" s="197"/>
      <c r="D47" s="197"/>
      <c r="E47" s="197"/>
      <c r="F47" s="197"/>
      <c r="G47" s="197"/>
      <c r="H47" s="197"/>
      <c r="I47" s="1"/>
      <c r="J47" s="302"/>
      <c r="K47" s="302"/>
      <c r="L47" s="302"/>
      <c r="M47" s="356" t="s">
        <v>305</v>
      </c>
      <c r="N47" s="791">
        <f>(((L37-M37)*N37)+((L38-M38)*N38)+((L39-M39)*N39)+((L40-M40)*N40)+((L41-M41)*N41)+((L42-M42)*N42)+((L43-M43)*N43)+((L44-M44)*N44)+((L45-M45)*N45))</f>
        <v>0</v>
      </c>
      <c r="O47" s="792"/>
      <c r="P47" s="302"/>
      <c r="Q47" s="302"/>
      <c r="R47" s="302"/>
      <c r="S47" s="302"/>
      <c r="T47" s="302"/>
      <c r="U47" s="302"/>
      <c r="V47" s="302"/>
      <c r="W47" s="321"/>
      <c r="X47" s="321"/>
      <c r="Y47" s="321"/>
      <c r="Z47" s="321"/>
      <c r="AA47" s="321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</row>
    <row r="48" spans="2:44" ht="16.2" thickBot="1">
      <c r="B48" s="198" t="s">
        <v>306</v>
      </c>
      <c r="C48" s="423"/>
      <c r="D48" s="423"/>
      <c r="E48" s="423"/>
      <c r="F48" s="423"/>
      <c r="G48" s="423"/>
      <c r="H48" s="423"/>
      <c r="I48" s="1"/>
      <c r="J48" s="302"/>
      <c r="K48" s="302"/>
      <c r="L48" s="302"/>
      <c r="M48" s="355" t="s">
        <v>307</v>
      </c>
      <c r="N48" s="791">
        <f>IF(K22="OUI",((((L38-M38)*K38)+((L39-M39)*K39)+((L40-M40)*K40)+((L41-M41)*K41)+((L42-M42)*K42)+((L43-M43)*K43)+((L44-M44)*K44)+((L45-M45)*K45)))*O37,0)</f>
        <v>0</v>
      </c>
      <c r="O48" s="792"/>
      <c r="P48" s="302"/>
      <c r="Q48" s="302"/>
      <c r="R48" s="302"/>
      <c r="S48" s="302"/>
      <c r="T48" s="302"/>
      <c r="U48" s="302"/>
      <c r="V48" s="302"/>
      <c r="W48" s="321"/>
      <c r="X48" s="321"/>
      <c r="Y48" s="321"/>
      <c r="Z48" s="321"/>
      <c r="AA48" s="321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</row>
    <row r="49" spans="2:44">
      <c r="G49" s="196"/>
      <c r="I49" s="1"/>
      <c r="J49" s="302"/>
      <c r="K49" s="302"/>
      <c r="L49" s="302"/>
      <c r="M49" s="354"/>
      <c r="N49" s="353"/>
      <c r="O49" s="353"/>
      <c r="P49" s="302"/>
      <c r="Q49" s="302"/>
      <c r="R49" s="302"/>
      <c r="S49" s="302"/>
      <c r="T49" s="302"/>
      <c r="U49" s="302"/>
      <c r="V49" s="302"/>
      <c r="W49" s="321"/>
      <c r="X49" s="321"/>
      <c r="Y49" s="321"/>
      <c r="Z49" s="321"/>
      <c r="AA49" s="321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</row>
    <row r="50" spans="2:44" ht="17.100000000000001" customHeight="1" thickBot="1">
      <c r="B50" t="str">
        <f>Paramètres!C5</f>
        <v>Electricité 
achetée</v>
      </c>
      <c r="C50" s="448"/>
      <c r="D50" t="str">
        <f>Paramètres!C6</f>
        <v>kWh</v>
      </c>
      <c r="G50" s="196"/>
      <c r="J50" s="302"/>
      <c r="K50" s="302"/>
      <c r="L50" s="302"/>
      <c r="M50" s="354"/>
      <c r="N50" s="353"/>
      <c r="O50" s="353"/>
      <c r="P50" s="353"/>
      <c r="Q50" s="353"/>
      <c r="R50" s="302"/>
      <c r="S50" s="302"/>
      <c r="T50" s="302"/>
      <c r="U50" s="302"/>
      <c r="V50" s="302"/>
      <c r="W50" s="302"/>
      <c r="X50" s="302"/>
      <c r="Y50" s="321"/>
      <c r="Z50" s="321"/>
      <c r="AA50" s="321"/>
      <c r="AB50" s="321"/>
      <c r="AC50" s="321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</row>
    <row r="51" spans="2:44" ht="17.100000000000001" customHeight="1" thickBot="1">
      <c r="B51" t="str">
        <f>Paramètres!D5</f>
        <v>Gaz Naturel</v>
      </c>
      <c r="C51" s="448">
        <v>2000000</v>
      </c>
      <c r="D51" s="145" t="str">
        <f>Paramètres!D6</f>
        <v>kWhs</v>
      </c>
      <c r="G51" s="196"/>
      <c r="H51" s="145"/>
      <c r="J51" s="786" t="s">
        <v>308</v>
      </c>
      <c r="K51" s="793"/>
      <c r="L51" s="793"/>
      <c r="M51" s="793"/>
      <c r="N51" s="793"/>
      <c r="O51" s="793"/>
      <c r="P51" s="793"/>
      <c r="Q51" s="787"/>
      <c r="R51" s="302"/>
      <c r="S51" s="302"/>
      <c r="T51" s="302"/>
      <c r="U51" s="302"/>
      <c r="V51" s="302"/>
      <c r="W51" s="302"/>
      <c r="X51" s="302"/>
      <c r="Y51" s="321"/>
      <c r="Z51" s="321"/>
      <c r="AA51" s="321"/>
      <c r="AB51" s="321"/>
      <c r="AC51" s="321"/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</row>
    <row r="52" spans="2:44" ht="17.100000000000001" customHeight="1">
      <c r="B52" t="str">
        <f>Paramètres!F5</f>
        <v>Biogaz</v>
      </c>
      <c r="C52" s="448"/>
      <c r="D52" s="145" t="str">
        <f>Paramètres!F6</f>
        <v>kWhs</v>
      </c>
      <c r="G52" s="196"/>
      <c r="H52" s="145"/>
      <c r="J52" s="633"/>
      <c r="K52" s="633"/>
      <c r="L52" s="633"/>
      <c r="M52" s="633"/>
      <c r="N52" s="633"/>
      <c r="O52" s="633"/>
      <c r="P52" s="633"/>
      <c r="Q52" s="633"/>
      <c r="R52" s="302"/>
      <c r="S52" s="302"/>
      <c r="T52" s="302"/>
      <c r="U52" s="302"/>
      <c r="V52" s="302"/>
      <c r="W52" s="302"/>
      <c r="X52" s="302"/>
      <c r="Y52" s="321"/>
      <c r="Z52" s="321"/>
      <c r="AA52" s="321"/>
      <c r="AB52" s="321"/>
      <c r="AC52" s="321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</row>
    <row r="53" spans="2:44" ht="17.100000000000001" customHeight="1">
      <c r="B53" t="str">
        <f>Paramètres!G5</f>
        <v>Elec SER</v>
      </c>
      <c r="C53" s="448"/>
      <c r="D53" s="145" t="str">
        <f>Paramètres!G6</f>
        <v>kWh</v>
      </c>
      <c r="G53" s="196"/>
      <c r="H53" s="145"/>
      <c r="J53" s="633"/>
      <c r="K53" s="633"/>
      <c r="L53" s="633"/>
      <c r="M53" s="633"/>
      <c r="N53" s="633"/>
      <c r="O53" s="633"/>
      <c r="P53" s="633"/>
      <c r="Q53" s="633"/>
      <c r="R53" s="302"/>
      <c r="S53" s="302"/>
      <c r="T53" s="302"/>
      <c r="U53" s="302"/>
      <c r="V53" s="302"/>
      <c r="W53" s="302"/>
      <c r="X53" s="302"/>
      <c r="Y53" s="321"/>
      <c r="Z53" s="321"/>
      <c r="AA53" s="321"/>
      <c r="AB53" s="321"/>
      <c r="AC53" s="321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</row>
    <row r="54" spans="2:44" ht="17.100000000000001" customHeight="1" thickBot="1">
      <c r="B54" t="str">
        <f>Paramètres!H5</f>
        <v>Process</v>
      </c>
      <c r="C54" s="448"/>
      <c r="D54" s="145" t="str">
        <f>Paramètres!H6</f>
        <v>kgCO2</v>
      </c>
      <c r="G54" s="196"/>
      <c r="J54" s="802"/>
      <c r="K54" s="802"/>
      <c r="L54" s="802"/>
      <c r="M54" s="802"/>
      <c r="N54" s="8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21"/>
      <c r="AB54" s="321"/>
      <c r="AC54" s="321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</row>
    <row r="55" spans="2:44">
      <c r="C55" s="195"/>
      <c r="J55" s="803" t="s">
        <v>309</v>
      </c>
      <c r="K55" s="806" t="s">
        <v>310</v>
      </c>
      <c r="L55" s="330" t="s">
        <v>311</v>
      </c>
      <c r="M55" s="352"/>
      <c r="N55" s="333" t="s">
        <v>312</v>
      </c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21"/>
      <c r="AB55" s="321"/>
      <c r="AC55" s="321"/>
      <c r="AD55" s="321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</row>
    <row r="56" spans="2:44" ht="16.2" thickBot="1">
      <c r="B56" s="198" t="s">
        <v>313</v>
      </c>
      <c r="C56" s="423"/>
      <c r="D56" s="423"/>
      <c r="E56" s="423"/>
      <c r="F56" s="423"/>
      <c r="G56" s="423"/>
      <c r="H56" s="423"/>
      <c r="J56" s="804"/>
      <c r="K56" s="807"/>
      <c r="L56" s="326" t="s">
        <v>314</v>
      </c>
      <c r="M56" s="327"/>
      <c r="N56" s="326" t="s">
        <v>312</v>
      </c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21"/>
      <c r="AB56" s="321"/>
      <c r="AC56" s="321"/>
      <c r="AD56" s="321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</row>
    <row r="57" spans="2:44">
      <c r="H57" s="178"/>
      <c r="J57" s="804"/>
      <c r="K57" s="807" t="s">
        <v>315</v>
      </c>
      <c r="L57" s="341" t="s">
        <v>316</v>
      </c>
      <c r="M57" s="340"/>
      <c r="N57" s="333" t="s">
        <v>312</v>
      </c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21"/>
      <c r="AB57" s="321"/>
      <c r="AC57" s="321"/>
      <c r="AD57" s="321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</row>
    <row r="58" spans="2:44" ht="13.8" thickBot="1">
      <c r="B58" s="810"/>
      <c r="C58" s="811"/>
      <c r="D58" s="811"/>
      <c r="E58" s="812"/>
      <c r="G58" s="630">
        <v>0</v>
      </c>
      <c r="H58" s="476"/>
      <c r="J58" s="804"/>
      <c r="K58" s="807"/>
      <c r="L58" s="339" t="s">
        <v>317</v>
      </c>
      <c r="M58" s="351"/>
      <c r="N58" s="326" t="s">
        <v>312</v>
      </c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21"/>
      <c r="AB58" s="321"/>
      <c r="AC58" s="321"/>
      <c r="AD58" s="321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</row>
    <row r="59" spans="2:44" ht="13.8" thickBot="1">
      <c r="B59" s="808"/>
      <c r="C59" s="808"/>
      <c r="D59" s="808"/>
      <c r="E59" s="808"/>
      <c r="F59" s="808"/>
      <c r="G59" s="422"/>
      <c r="H59" s="178"/>
      <c r="J59" s="805"/>
      <c r="K59" s="350" t="s">
        <v>318</v>
      </c>
      <c r="L59" s="322" t="s">
        <v>319</v>
      </c>
      <c r="M59" s="349"/>
      <c r="N59" s="331" t="s">
        <v>312</v>
      </c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21"/>
      <c r="AB59" s="321"/>
      <c r="AC59" s="321"/>
      <c r="AD59" s="321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</row>
    <row r="60" spans="2:44" ht="13.8" thickBot="1">
      <c r="B60" s="808"/>
      <c r="C60" s="808"/>
      <c r="D60" s="808"/>
      <c r="E60" s="808"/>
      <c r="F60" s="808"/>
      <c r="G60" s="422"/>
      <c r="H60" s="178"/>
      <c r="J60" s="348"/>
      <c r="K60" s="346"/>
      <c r="L60" s="346"/>
      <c r="M60" s="347"/>
      <c r="N60" s="346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21"/>
      <c r="AB60" s="321"/>
      <c r="AC60" s="321"/>
      <c r="AD60" s="321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</row>
    <row r="61" spans="2:44" ht="13.8" thickBot="1">
      <c r="B61" s="813" t="s">
        <v>320</v>
      </c>
      <c r="C61" s="813"/>
      <c r="D61" s="813"/>
      <c r="E61" s="813"/>
      <c r="F61" s="813"/>
      <c r="G61" s="449">
        <f>SUM(G58:G60)/1000</f>
        <v>0</v>
      </c>
      <c r="H61" s="190"/>
      <c r="J61" s="814" t="s">
        <v>321</v>
      </c>
      <c r="K61" s="344" t="s">
        <v>322</v>
      </c>
      <c r="L61" s="343" t="s">
        <v>323</v>
      </c>
      <c r="M61" s="342"/>
      <c r="N61" s="333" t="s">
        <v>324</v>
      </c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21"/>
      <c r="AB61" s="321"/>
      <c r="AC61" s="321"/>
      <c r="AD61" s="321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</row>
    <row r="62" spans="2:44">
      <c r="B62" s="193"/>
      <c r="C62" s="194"/>
      <c r="D62" s="193"/>
      <c r="E62" s="193"/>
      <c r="F62" s="193"/>
      <c r="J62" s="815"/>
      <c r="K62" s="807" t="s">
        <v>325</v>
      </c>
      <c r="L62" s="341" t="s">
        <v>326</v>
      </c>
      <c r="M62" s="340"/>
      <c r="N62" s="333" t="s">
        <v>324</v>
      </c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21"/>
      <c r="AB62" s="321"/>
      <c r="AC62" s="321"/>
      <c r="AD62" s="321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</row>
    <row r="63" spans="2:44" ht="16.2" thickBot="1">
      <c r="B63" s="198" t="s">
        <v>327</v>
      </c>
      <c r="C63" s="423"/>
      <c r="D63" s="423"/>
      <c r="E63" s="423"/>
      <c r="F63" s="423"/>
      <c r="G63" s="423"/>
      <c r="H63" s="423"/>
      <c r="J63" s="815"/>
      <c r="K63" s="807"/>
      <c r="L63" s="339" t="s">
        <v>328</v>
      </c>
      <c r="M63" s="338"/>
      <c r="N63" s="322" t="s">
        <v>329</v>
      </c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21"/>
      <c r="AB63" s="321"/>
      <c r="AC63" s="321"/>
      <c r="AD63" s="321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</row>
    <row r="64" spans="2:44">
      <c r="B64" s="808"/>
      <c r="C64" s="808"/>
      <c r="D64" s="808"/>
      <c r="E64" s="808"/>
      <c r="F64" s="808"/>
      <c r="G64" s="192"/>
      <c r="H64" s="178" t="s">
        <v>330</v>
      </c>
      <c r="J64" s="815"/>
      <c r="K64" s="807" t="s">
        <v>331</v>
      </c>
      <c r="L64" s="337" t="s">
        <v>332</v>
      </c>
      <c r="M64" s="336">
        <f>N47/1000</f>
        <v>0</v>
      </c>
      <c r="N64" s="333" t="s">
        <v>324</v>
      </c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21"/>
      <c r="AB64" s="321"/>
      <c r="AC64" s="321"/>
      <c r="AD64" s="321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</row>
    <row r="65" spans="2:44" ht="13.8" thickBot="1">
      <c r="B65" s="808"/>
      <c r="C65" s="808"/>
      <c r="D65" s="808"/>
      <c r="E65" s="808"/>
      <c r="F65" s="808"/>
      <c r="G65" s="192"/>
      <c r="H65" s="178" t="s">
        <v>330</v>
      </c>
      <c r="J65" s="815"/>
      <c r="K65" s="809"/>
      <c r="L65" s="328" t="s">
        <v>333</v>
      </c>
      <c r="M65" s="335">
        <f>N48/1000</f>
        <v>0</v>
      </c>
      <c r="N65" s="326" t="s">
        <v>324</v>
      </c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21"/>
      <c r="AB65" s="321"/>
      <c r="AC65" s="321"/>
      <c r="AD65" s="321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</row>
    <row r="66" spans="2:44" ht="13.8" thickBot="1">
      <c r="B66" s="808"/>
      <c r="C66" s="808"/>
      <c r="D66" s="808"/>
      <c r="E66" s="808"/>
      <c r="F66" s="808"/>
      <c r="G66" s="192"/>
      <c r="H66" s="178" t="s">
        <v>330</v>
      </c>
      <c r="J66" s="815"/>
      <c r="K66" s="334" t="s">
        <v>334</v>
      </c>
      <c r="L66" s="333" t="s">
        <v>335</v>
      </c>
      <c r="M66" s="332">
        <v>0</v>
      </c>
      <c r="N66" s="331" t="s">
        <v>324</v>
      </c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21"/>
      <c r="AB66" s="321"/>
      <c r="AC66" s="321"/>
      <c r="AD66" s="321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</row>
    <row r="67" spans="2:44">
      <c r="B67" s="813" t="s">
        <v>336</v>
      </c>
      <c r="C67" s="813"/>
      <c r="D67" s="813"/>
      <c r="E67" s="813"/>
      <c r="F67" s="813"/>
      <c r="G67" s="191">
        <f>SUM(G64:G66)</f>
        <v>0</v>
      </c>
      <c r="H67" s="190" t="s">
        <v>330</v>
      </c>
      <c r="J67" s="815"/>
      <c r="K67" s="817" t="s">
        <v>337</v>
      </c>
      <c r="L67" s="330" t="s">
        <v>338</v>
      </c>
      <c r="M67" s="327"/>
      <c r="N67" s="326" t="s">
        <v>324</v>
      </c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21"/>
      <c r="AB67" s="321"/>
      <c r="AC67" s="321"/>
      <c r="AD67" s="321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</row>
    <row r="68" spans="2:44" ht="26.4">
      <c r="B68" s="423"/>
      <c r="C68" s="423"/>
      <c r="D68" s="423"/>
      <c r="E68" s="423"/>
      <c r="F68" s="423"/>
      <c r="G68" s="423"/>
      <c r="H68" s="423"/>
      <c r="J68" s="815"/>
      <c r="K68" s="807"/>
      <c r="L68" s="328" t="s">
        <v>339</v>
      </c>
      <c r="M68" s="327"/>
      <c r="N68" s="326" t="s">
        <v>324</v>
      </c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21"/>
      <c r="AB68" s="321"/>
      <c r="AC68" s="321"/>
      <c r="AD68" s="321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</row>
    <row r="69" spans="2:44">
      <c r="B69" s="145"/>
      <c r="J69" s="815"/>
      <c r="K69" s="807"/>
      <c r="L69" s="328" t="s">
        <v>340</v>
      </c>
      <c r="M69" s="327"/>
      <c r="N69" s="326" t="s">
        <v>324</v>
      </c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21"/>
      <c r="AB69" s="321"/>
      <c r="AC69" s="321"/>
      <c r="AD69" s="321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</row>
    <row r="70" spans="2:44" ht="18" customHeight="1">
      <c r="B70" s="819" t="s">
        <v>341</v>
      </c>
      <c r="C70" s="820"/>
      <c r="D70" s="820"/>
      <c r="E70" s="820"/>
      <c r="F70" s="820"/>
      <c r="G70" s="820"/>
      <c r="H70" s="821"/>
      <c r="J70" s="815"/>
      <c r="K70" s="807"/>
      <c r="L70" s="328" t="s">
        <v>342</v>
      </c>
      <c r="M70" s="327"/>
      <c r="N70" s="326" t="s">
        <v>324</v>
      </c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21"/>
      <c r="AB70" s="321"/>
      <c r="AC70" s="321"/>
      <c r="AD70" s="321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</row>
    <row r="71" spans="2:44" ht="34.5" customHeight="1">
      <c r="B71" s="186" t="s">
        <v>343</v>
      </c>
      <c r="C71" s="187" t="s">
        <v>344</v>
      </c>
      <c r="D71" s="187" t="s">
        <v>129</v>
      </c>
      <c r="E71" s="822" t="s">
        <v>345</v>
      </c>
      <c r="F71" s="823"/>
      <c r="G71" s="186" t="s">
        <v>346</v>
      </c>
      <c r="H71" s="185"/>
      <c r="J71" s="815"/>
      <c r="K71" s="807"/>
      <c r="L71" s="328" t="s">
        <v>347</v>
      </c>
      <c r="M71" s="327"/>
      <c r="N71" s="326" t="s">
        <v>324</v>
      </c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21"/>
      <c r="AB71" s="321"/>
      <c r="AC71" s="321"/>
      <c r="AD71" s="321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</row>
    <row r="72" spans="2:44" ht="13.8" thickBot="1">
      <c r="B72" s="184" t="str">
        <f t="shared" ref="B72:D76" si="0">+B50</f>
        <v>Electricité 
achetée</v>
      </c>
      <c r="C72" s="183">
        <f t="shared" si="0"/>
        <v>0</v>
      </c>
      <c r="D72" t="str">
        <f t="shared" si="0"/>
        <v>kWh</v>
      </c>
      <c r="E72" s="189">
        <f>Paramètres!C10</f>
        <v>1</v>
      </c>
      <c r="F72" s="145" t="str">
        <f>"kWhf/"&amp;D72</f>
        <v>kWhf/kWh</v>
      </c>
      <c r="G72" s="214">
        <f>+C72*E72/1000</f>
        <v>0</v>
      </c>
      <c r="H72" s="212" t="s">
        <v>233</v>
      </c>
      <c r="J72" s="816"/>
      <c r="K72" s="818"/>
      <c r="L72" s="324" t="s">
        <v>232</v>
      </c>
      <c r="M72" s="323"/>
      <c r="N72" s="322" t="s">
        <v>324</v>
      </c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21"/>
      <c r="AB72" s="321"/>
      <c r="AC72" s="321"/>
      <c r="AD72" s="321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</row>
    <row r="73" spans="2:44" ht="14.4">
      <c r="B73" s="184" t="str">
        <f t="shared" si="0"/>
        <v>Gaz Naturel</v>
      </c>
      <c r="C73" s="183">
        <f t="shared" si="0"/>
        <v>2000000</v>
      </c>
      <c r="D73" t="str">
        <f t="shared" si="0"/>
        <v>kWhs</v>
      </c>
      <c r="E73" s="189">
        <f>Paramètres!D10</f>
        <v>1</v>
      </c>
      <c r="F73" s="145" t="str">
        <f t="shared" ref="F73:F76" si="1">"kWhf/"&amp;D73</f>
        <v>kWhf/kWhs</v>
      </c>
      <c r="G73" s="214">
        <f>+C73*E73/1000</f>
        <v>2000</v>
      </c>
      <c r="H73" s="212" t="s">
        <v>233</v>
      </c>
      <c r="J73" s="320"/>
      <c r="K73" s="302"/>
      <c r="L73" s="302"/>
      <c r="M73" s="319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</row>
    <row r="74" spans="2:44" ht="14.4">
      <c r="B74" s="184" t="str">
        <f t="shared" si="0"/>
        <v>Biogaz</v>
      </c>
      <c r="C74" s="183">
        <f t="shared" si="0"/>
        <v>0</v>
      </c>
      <c r="D74" t="str">
        <f t="shared" si="0"/>
        <v>kWhs</v>
      </c>
      <c r="E74" s="189">
        <f>Paramètres!F10</f>
        <v>1</v>
      </c>
      <c r="F74" s="145" t="str">
        <f t="shared" ref="F74" si="2">"kWhf/"&amp;D74</f>
        <v>kWhf/kWhs</v>
      </c>
      <c r="G74" s="214">
        <f>+C74*E74/1000</f>
        <v>0</v>
      </c>
      <c r="H74" s="212" t="s">
        <v>233</v>
      </c>
      <c r="J74" s="320"/>
      <c r="K74" s="302"/>
      <c r="L74" s="302"/>
      <c r="M74" s="319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</row>
    <row r="75" spans="2:44" ht="14.4">
      <c r="B75" s="184" t="str">
        <f t="shared" si="0"/>
        <v>Elec SER</v>
      </c>
      <c r="C75" s="183">
        <f t="shared" si="0"/>
        <v>0</v>
      </c>
      <c r="D75" t="str">
        <f t="shared" si="0"/>
        <v>kWh</v>
      </c>
      <c r="E75" s="189">
        <f>Paramètres!G10</f>
        <v>1</v>
      </c>
      <c r="F75" s="145" t="str">
        <f t="shared" si="1"/>
        <v>kWhf/kWh</v>
      </c>
      <c r="G75" s="214">
        <f>+C75*E75/1000</f>
        <v>0</v>
      </c>
      <c r="H75" s="212" t="s">
        <v>233</v>
      </c>
      <c r="J75" s="320"/>
      <c r="K75" s="302"/>
      <c r="L75" s="302"/>
      <c r="M75" s="319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</row>
    <row r="76" spans="2:44" ht="15" thickBot="1">
      <c r="B76" s="184" t="str">
        <f t="shared" si="0"/>
        <v>Process</v>
      </c>
      <c r="C76" s="183">
        <f t="shared" si="0"/>
        <v>0</v>
      </c>
      <c r="D76" t="str">
        <f t="shared" si="0"/>
        <v>kgCO2</v>
      </c>
      <c r="E76" s="189">
        <f>Paramètres!H10</f>
        <v>0</v>
      </c>
      <c r="F76" s="145" t="str">
        <f t="shared" si="1"/>
        <v>kWhf/kgCO2</v>
      </c>
      <c r="G76" s="214">
        <f>+C76*E76/1000</f>
        <v>0</v>
      </c>
      <c r="H76" s="212" t="s">
        <v>233</v>
      </c>
      <c r="J76" s="320"/>
      <c r="K76" s="302"/>
      <c r="L76" s="302"/>
      <c r="M76" s="319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</row>
    <row r="77" spans="2:44" ht="16.2" thickBot="1">
      <c r="B77" s="824" t="s">
        <v>348</v>
      </c>
      <c r="C77" s="825"/>
      <c r="D77" s="825"/>
      <c r="E77" s="825"/>
      <c r="F77" s="825"/>
      <c r="G77" s="215">
        <f>SUM(G72:G75)</f>
        <v>2000</v>
      </c>
      <c r="H77" s="213" t="s">
        <v>233</v>
      </c>
      <c r="J77" s="826" t="s">
        <v>349</v>
      </c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7"/>
      <c r="V77" s="827"/>
      <c r="W77" s="827"/>
      <c r="X77" s="827"/>
      <c r="Y77" s="827"/>
      <c r="Z77" s="827"/>
      <c r="AA77" s="827"/>
      <c r="AB77" s="827"/>
      <c r="AC77" s="827"/>
      <c r="AD77" s="827"/>
      <c r="AE77" s="827"/>
      <c r="AF77" s="827"/>
      <c r="AG77" s="827"/>
      <c r="AH77" s="827"/>
      <c r="AI77" s="827"/>
      <c r="AJ77" s="827"/>
      <c r="AK77" s="827"/>
      <c r="AL77" s="827"/>
      <c r="AM77" s="827"/>
      <c r="AN77" s="827"/>
      <c r="AO77" s="827"/>
      <c r="AP77" s="827"/>
      <c r="AQ77" s="827"/>
      <c r="AR77" s="828"/>
    </row>
    <row r="78" spans="2:44" ht="13.8" thickBot="1">
      <c r="B78" s="86"/>
      <c r="C78" s="86"/>
      <c r="D78" s="86"/>
      <c r="E78" s="86"/>
      <c r="F78" s="86"/>
      <c r="G78" s="216">
        <f>G77/'2023'!H35</f>
        <v>2.0833333333333332E-2</v>
      </c>
      <c r="H78" s="228">
        <f>G77/'2023'!T17</f>
        <v>2.0833333333333332E-2</v>
      </c>
      <c r="J78" s="302"/>
      <c r="K78" s="302"/>
      <c r="L78" s="302"/>
      <c r="M78" s="301"/>
      <c r="N78" s="302"/>
      <c r="O78" s="308"/>
      <c r="P78" s="308"/>
      <c r="Q78" s="308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</row>
    <row r="79" spans="2:44" ht="14.4" thickBot="1">
      <c r="B79" s="188"/>
      <c r="C79" s="188"/>
      <c r="D79" s="188"/>
      <c r="E79" s="188"/>
      <c r="F79" s="188"/>
      <c r="G79" s="188"/>
      <c r="H79" s="188"/>
      <c r="J79" s="302"/>
      <c r="K79" s="302"/>
      <c r="L79" s="302"/>
      <c r="M79" s="301"/>
      <c r="N79" s="831" t="s">
        <v>350</v>
      </c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  <c r="AQ79" s="832"/>
      <c r="AR79" s="833"/>
    </row>
    <row r="80" spans="2:44" ht="19.5" customHeight="1" thickBot="1">
      <c r="B80" s="819" t="s">
        <v>351</v>
      </c>
      <c r="C80" s="820"/>
      <c r="D80" s="820"/>
      <c r="E80" s="820"/>
      <c r="F80" s="820"/>
      <c r="G80" s="820"/>
      <c r="H80" s="821"/>
      <c r="J80" s="302"/>
      <c r="K80" s="302"/>
      <c r="L80" s="310"/>
      <c r="M80" s="310"/>
      <c r="N80" s="300">
        <v>0</v>
      </c>
      <c r="O80" s="299">
        <v>1</v>
      </c>
      <c r="P80" s="299">
        <v>2</v>
      </c>
      <c r="Q80" s="299">
        <v>3</v>
      </c>
      <c r="R80" s="299">
        <v>4</v>
      </c>
      <c r="S80" s="299">
        <v>5</v>
      </c>
      <c r="T80" s="299">
        <v>6</v>
      </c>
      <c r="U80" s="299">
        <v>7</v>
      </c>
      <c r="V80" s="299">
        <v>8</v>
      </c>
      <c r="W80" s="299">
        <v>9</v>
      </c>
      <c r="X80" s="299">
        <v>10</v>
      </c>
      <c r="Y80" s="299">
        <v>11</v>
      </c>
      <c r="Z80" s="299">
        <v>12</v>
      </c>
      <c r="AA80" s="299">
        <v>13</v>
      </c>
      <c r="AB80" s="299">
        <v>14</v>
      </c>
      <c r="AC80" s="299">
        <v>15</v>
      </c>
      <c r="AD80" s="299">
        <v>16</v>
      </c>
      <c r="AE80" s="299">
        <v>17</v>
      </c>
      <c r="AF80" s="299">
        <v>18</v>
      </c>
      <c r="AG80" s="299">
        <v>19</v>
      </c>
      <c r="AH80" s="299">
        <v>20</v>
      </c>
      <c r="AI80" s="299">
        <v>21</v>
      </c>
      <c r="AJ80" s="299">
        <v>22</v>
      </c>
      <c r="AK80" s="299">
        <v>23</v>
      </c>
      <c r="AL80" s="299">
        <v>24</v>
      </c>
      <c r="AM80" s="299">
        <v>25</v>
      </c>
      <c r="AN80" s="299">
        <v>26</v>
      </c>
      <c r="AO80" s="299">
        <v>27</v>
      </c>
      <c r="AP80" s="299">
        <v>28</v>
      </c>
      <c r="AQ80" s="299">
        <v>29</v>
      </c>
      <c r="AR80" s="298">
        <v>30</v>
      </c>
    </row>
    <row r="81" spans="2:44" ht="30" customHeight="1">
      <c r="B81" s="186" t="str">
        <f>+B71</f>
        <v>Vecteurs énergétiques</v>
      </c>
      <c r="C81" s="186" t="str">
        <f>+C71</f>
        <v>Quantités</v>
      </c>
      <c r="D81" s="186" t="str">
        <f>+D71</f>
        <v>Unités</v>
      </c>
      <c r="E81" s="834" t="s">
        <v>352</v>
      </c>
      <c r="F81" s="834"/>
      <c r="G81" s="186" t="s">
        <v>353</v>
      </c>
      <c r="H81" s="185"/>
      <c r="J81" s="302"/>
      <c r="K81" s="302"/>
      <c r="L81" s="835" t="s">
        <v>354</v>
      </c>
      <c r="M81" s="297" t="s">
        <v>311</v>
      </c>
      <c r="N81" s="296">
        <f>(M55)</f>
        <v>0</v>
      </c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7"/>
    </row>
    <row r="82" spans="2:44" ht="16.2" thickBot="1">
      <c r="B82" s="184" t="str">
        <f>+B72</f>
        <v>Electricité 
achetée</v>
      </c>
      <c r="C82" s="183">
        <f t="shared" ref="C82:D86" si="3">C72</f>
        <v>0</v>
      </c>
      <c r="D82" s="183" t="str">
        <f t="shared" si="3"/>
        <v>kWh</v>
      </c>
      <c r="E82" s="211">
        <f>Paramètres!C$12</f>
        <v>0.216</v>
      </c>
      <c r="F82" s="145" t="str">
        <f>"kgCO2/"&amp;D82</f>
        <v>kgCO2/kWh</v>
      </c>
      <c r="G82" s="182">
        <f>+C82*E82</f>
        <v>0</v>
      </c>
      <c r="H82" s="181" t="s">
        <v>355</v>
      </c>
      <c r="J82" s="302"/>
      <c r="K82" s="302"/>
      <c r="L82" s="836"/>
      <c r="M82" s="310" t="s">
        <v>314</v>
      </c>
      <c r="N82" s="290">
        <f>M56</f>
        <v>0</v>
      </c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16"/>
    </row>
    <row r="83" spans="2:44" ht="15.6">
      <c r="B83" s="184" t="str">
        <f>+B73</f>
        <v>Gaz Naturel</v>
      </c>
      <c r="C83" s="183">
        <f t="shared" si="3"/>
        <v>2000000</v>
      </c>
      <c r="D83" s="183" t="str">
        <f t="shared" si="3"/>
        <v>kWhs</v>
      </c>
      <c r="E83" s="211">
        <f>Paramètres!D$12</f>
        <v>0.218</v>
      </c>
      <c r="F83" s="145" t="str">
        <f t="shared" ref="F83:F86" si="4">"kgCO2/"&amp;D83</f>
        <v>kgCO2/kWhs</v>
      </c>
      <c r="G83" s="182">
        <f>+C83*E83</f>
        <v>436000</v>
      </c>
      <c r="H83" s="181" t="s">
        <v>355</v>
      </c>
      <c r="I83" s="81"/>
      <c r="J83" s="302"/>
      <c r="K83" s="302"/>
      <c r="L83" s="837" t="s">
        <v>356</v>
      </c>
      <c r="M83" s="297" t="s">
        <v>357</v>
      </c>
      <c r="N83" s="290">
        <f>M57+M58</f>
        <v>0</v>
      </c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16"/>
    </row>
    <row r="84" spans="2:44" ht="15.6">
      <c r="B84" s="184" t="str">
        <f>+B74</f>
        <v>Biogaz</v>
      </c>
      <c r="C84" s="183">
        <f t="shared" si="3"/>
        <v>0</v>
      </c>
      <c r="D84" s="183" t="str">
        <f t="shared" si="3"/>
        <v>kWhs</v>
      </c>
      <c r="E84" s="211">
        <f>Paramètres!F$12</f>
        <v>0</v>
      </c>
      <c r="F84" s="145" t="str">
        <f t="shared" ref="F84" si="5">"kgCO2/"&amp;D84</f>
        <v>kgCO2/kWhs</v>
      </c>
      <c r="G84" s="182">
        <f>+C84*E84</f>
        <v>0</v>
      </c>
      <c r="H84" s="181" t="s">
        <v>355</v>
      </c>
      <c r="I84" s="81"/>
      <c r="J84" s="302"/>
      <c r="K84" s="302"/>
      <c r="L84" s="836"/>
      <c r="M84" s="310"/>
      <c r="N84" s="290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16"/>
    </row>
    <row r="85" spans="2:44" ht="16.2" thickBot="1">
      <c r="B85" s="184" t="str">
        <f>+B75</f>
        <v>Elec SER</v>
      </c>
      <c r="C85" s="183">
        <f t="shared" si="3"/>
        <v>0</v>
      </c>
      <c r="D85" s="183" t="str">
        <f t="shared" si="3"/>
        <v>kWh</v>
      </c>
      <c r="E85" s="211">
        <f>Paramètres!G$12</f>
        <v>0</v>
      </c>
      <c r="F85" s="145" t="str">
        <f t="shared" si="4"/>
        <v>kgCO2/kWh</v>
      </c>
      <c r="G85" s="182">
        <f>+C85*E85</f>
        <v>0</v>
      </c>
      <c r="H85" s="181" t="s">
        <v>355</v>
      </c>
      <c r="J85" s="302"/>
      <c r="K85" s="302"/>
      <c r="L85" s="838"/>
      <c r="M85" s="315" t="s">
        <v>358</v>
      </c>
      <c r="N85" s="278"/>
      <c r="O85" s="277" t="str">
        <f t="shared" ref="O85:Y85" si="6">IF(O80&lt;=$M$63,$M$62,"")</f>
        <v/>
      </c>
      <c r="P85" s="277" t="str">
        <f t="shared" si="6"/>
        <v/>
      </c>
      <c r="Q85" s="277" t="str">
        <f t="shared" si="6"/>
        <v/>
      </c>
      <c r="R85" s="277" t="str">
        <f t="shared" si="6"/>
        <v/>
      </c>
      <c r="S85" s="277" t="str">
        <f t="shared" si="6"/>
        <v/>
      </c>
      <c r="T85" s="277" t="str">
        <f t="shared" si="6"/>
        <v/>
      </c>
      <c r="U85" s="277" t="str">
        <f t="shared" si="6"/>
        <v/>
      </c>
      <c r="V85" s="277" t="str">
        <f t="shared" si="6"/>
        <v/>
      </c>
      <c r="W85" s="277" t="str">
        <f t="shared" si="6"/>
        <v/>
      </c>
      <c r="X85" s="277" t="str">
        <f t="shared" si="6"/>
        <v/>
      </c>
      <c r="Y85" s="277" t="str">
        <f t="shared" si="6"/>
        <v/>
      </c>
      <c r="Z85" s="277" t="str">
        <f t="shared" ref="Z85:AR85" si="7">IF(X80&lt;=$M$63,$M$62,"")</f>
        <v/>
      </c>
      <c r="AA85" s="277" t="str">
        <f t="shared" si="7"/>
        <v/>
      </c>
      <c r="AB85" s="277" t="str">
        <f t="shared" si="7"/>
        <v/>
      </c>
      <c r="AC85" s="277" t="str">
        <f t="shared" si="7"/>
        <v/>
      </c>
      <c r="AD85" s="277" t="str">
        <f t="shared" si="7"/>
        <v/>
      </c>
      <c r="AE85" s="277" t="str">
        <f t="shared" si="7"/>
        <v/>
      </c>
      <c r="AF85" s="277" t="str">
        <f t="shared" si="7"/>
        <v/>
      </c>
      <c r="AG85" s="277" t="str">
        <f t="shared" si="7"/>
        <v/>
      </c>
      <c r="AH85" s="277" t="str">
        <f t="shared" si="7"/>
        <v/>
      </c>
      <c r="AI85" s="277" t="str">
        <f t="shared" si="7"/>
        <v/>
      </c>
      <c r="AJ85" s="277" t="str">
        <f t="shared" si="7"/>
        <v/>
      </c>
      <c r="AK85" s="277" t="str">
        <f t="shared" si="7"/>
        <v/>
      </c>
      <c r="AL85" s="277" t="str">
        <f t="shared" si="7"/>
        <v/>
      </c>
      <c r="AM85" s="277" t="str">
        <f t="shared" si="7"/>
        <v/>
      </c>
      <c r="AN85" s="277" t="str">
        <f t="shared" si="7"/>
        <v/>
      </c>
      <c r="AO85" s="277" t="str">
        <f t="shared" si="7"/>
        <v/>
      </c>
      <c r="AP85" s="277" t="str">
        <f t="shared" si="7"/>
        <v/>
      </c>
      <c r="AQ85" s="277" t="str">
        <f t="shared" si="7"/>
        <v/>
      </c>
      <c r="AR85" s="276" t="str">
        <f t="shared" si="7"/>
        <v/>
      </c>
    </row>
    <row r="86" spans="2:44" ht="16.2" thickBot="1">
      <c r="B86" s="184" t="str">
        <f>+B76</f>
        <v>Process</v>
      </c>
      <c r="C86" s="183">
        <f t="shared" si="3"/>
        <v>0</v>
      </c>
      <c r="D86" s="183" t="str">
        <f t="shared" si="3"/>
        <v>kgCO2</v>
      </c>
      <c r="E86" s="211">
        <f>Paramètres!H$12</f>
        <v>1</v>
      </c>
      <c r="F86" s="145" t="str">
        <f t="shared" si="4"/>
        <v>kgCO2/kgCO2</v>
      </c>
      <c r="G86" s="182">
        <f>+C86*E86</f>
        <v>0</v>
      </c>
      <c r="H86" s="181" t="s">
        <v>355</v>
      </c>
      <c r="J86" s="302"/>
      <c r="K86" s="302"/>
      <c r="L86" s="312"/>
      <c r="M86" s="292"/>
      <c r="N86" s="278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6"/>
    </row>
    <row r="87" spans="2:44" ht="16.2" thickBot="1">
      <c r="B87" s="824" t="s">
        <v>359</v>
      </c>
      <c r="C87" s="825"/>
      <c r="D87" s="825"/>
      <c r="E87" s="825"/>
      <c r="F87" s="825"/>
      <c r="G87" s="180">
        <f>SUM(G82:G85)</f>
        <v>436000</v>
      </c>
      <c r="H87" s="179" t="s">
        <v>355</v>
      </c>
      <c r="J87" s="302"/>
      <c r="K87" s="302"/>
      <c r="L87" s="314" t="s">
        <v>360</v>
      </c>
      <c r="M87" s="313" t="s">
        <v>360</v>
      </c>
      <c r="N87" s="278"/>
      <c r="O87" s="277">
        <f>IF(O80&lt;=$K$16,($M$61+$M$64+$M$65+$M$66+$M$67+$M$68+$M$69+$M$70+$M$71+$M$72),"")</f>
        <v>0</v>
      </c>
      <c r="P87" s="277">
        <f>IF(P80&lt;=$K$16,('AA5'!O87*(1+Paramètres!$B$20)),"")</f>
        <v>0</v>
      </c>
      <c r="Q87" s="277">
        <f>IF(Q80&lt;=$K$16,('AA5'!P87*(1+Paramètres!$B$20)),"")</f>
        <v>0</v>
      </c>
      <c r="R87" s="277">
        <f>IF(R80&lt;=$K$16,('AA5'!Q87*(1+Paramètres!$B$20)),"")</f>
        <v>0</v>
      </c>
      <c r="S87" s="277">
        <f>IF(S80&lt;=$K$16,('AA5'!R87*(1+Paramètres!$B$20)),"")</f>
        <v>0</v>
      </c>
      <c r="T87" s="277">
        <f>IF(T80&lt;=$K$16,('AA5'!S87*(1+Paramètres!$B$20)),"")</f>
        <v>0</v>
      </c>
      <c r="U87" s="277">
        <f>IF(U80&lt;=$K$16,('AA5'!T87*(1+Paramètres!$B$20)),"")</f>
        <v>0</v>
      </c>
      <c r="V87" s="277">
        <f>IF(V80&lt;=$K$16,('AA5'!U87*(1+Paramètres!$B$20)),"")</f>
        <v>0</v>
      </c>
      <c r="W87" s="277">
        <f>IF(W80&lt;=$K$16,('AA5'!V87*(1+Paramètres!$B$20)),"")</f>
        <v>0</v>
      </c>
      <c r="X87" s="277">
        <f>IF(X80&lt;=$K$16,('AA5'!W87*(1+Paramètres!$B$20)),"")</f>
        <v>0</v>
      </c>
      <c r="Y87" s="277">
        <f>IF(Y80&lt;=$K$16,('AA5'!X87*(1+Paramètres!$B$20)),"")</f>
        <v>0</v>
      </c>
      <c r="Z87" s="277">
        <f>IF(Z80&lt;=$K$16,('AA5'!Y87*(1+Paramètres!$B$20)),"")</f>
        <v>0</v>
      </c>
      <c r="AA87" s="277">
        <f>IF(AA80&lt;=$K$16,('AA5'!Z87*(1+Paramètres!$B$20)),"")</f>
        <v>0</v>
      </c>
      <c r="AB87" s="277">
        <f>IF(AB80&lt;=$K$16,('AA5'!AA87*(1+Paramètres!$B$20)),"")</f>
        <v>0</v>
      </c>
      <c r="AC87" s="277">
        <f>IF(AC80&lt;=$K$16,('AA5'!AB87*(1+Paramètres!$B$20)),"")</f>
        <v>0</v>
      </c>
      <c r="AD87" s="277" t="str">
        <f>IF(AD80&lt;=$K$16,('AA5'!AC87*(1+Paramètres!$B$20)),"")</f>
        <v/>
      </c>
      <c r="AE87" s="277" t="str">
        <f>IF(AE80&lt;=$K$16,('AA5'!AD87*(1+Paramètres!$B$20)),"")</f>
        <v/>
      </c>
      <c r="AF87" s="277" t="str">
        <f>IF(AF80&lt;=$K$16,('AA5'!AE87*(1+Paramètres!$B$20)),"")</f>
        <v/>
      </c>
      <c r="AG87" s="277" t="str">
        <f>IF(AG80&lt;=$K$16,('AA5'!AF87*(1+Paramètres!$B$20)),"")</f>
        <v/>
      </c>
      <c r="AH87" s="277" t="str">
        <f>IF(AH80&lt;=$K$16,('AA5'!AG87*(1+Paramètres!$B$20)),"")</f>
        <v/>
      </c>
      <c r="AI87" s="277" t="str">
        <f>IF(AI80&lt;=$K$16,('AA5'!AH87*(1+Paramètres!$B$20)),"")</f>
        <v/>
      </c>
      <c r="AJ87" s="277" t="str">
        <f>IF(AJ80&lt;=$K$16,('AA5'!AI87*(1+Paramètres!$B$20)),"")</f>
        <v/>
      </c>
      <c r="AK87" s="277" t="str">
        <f>IF(AK80&lt;=$K$16,('AA5'!AJ87*(1+Paramètres!$B$20)),"")</f>
        <v/>
      </c>
      <c r="AL87" s="277" t="str">
        <f>IF(AL80&lt;=$K$16,('AA5'!AK87*(1+Paramètres!$B$20)),"")</f>
        <v/>
      </c>
      <c r="AM87" s="277" t="str">
        <f>IF(AM80&lt;=$K$16,('AA5'!AL87*(1+Paramètres!$B$20)),"")</f>
        <v/>
      </c>
      <c r="AN87" s="277" t="str">
        <f>IF(AN80&lt;=$K$16,('AA5'!AM87*(1+Paramètres!$B$20)),"")</f>
        <v/>
      </c>
      <c r="AO87" s="277" t="str">
        <f>IF(AO80&lt;=$K$16,('AA5'!AN87*(1+Paramètres!$B$20)),"")</f>
        <v/>
      </c>
      <c r="AP87" s="277" t="str">
        <f>IF(AP80&lt;=$K$16,('AA5'!AO87*(1+Paramètres!$B$20)),"")</f>
        <v/>
      </c>
      <c r="AQ87" s="277" t="str">
        <f>IF(AQ80&lt;=$K$16,('AA5'!AP87*(1+Paramètres!$B$20)),"")</f>
        <v/>
      </c>
      <c r="AR87" s="276" t="str">
        <f>IF(AR80&lt;=$K$16,('AA5'!AQ87*(1+Paramètres!$B$20)),"")</f>
        <v/>
      </c>
    </row>
    <row r="88" spans="2:44" ht="13.8" thickBot="1">
      <c r="G88" s="217">
        <f>G87/'2023'!H36</f>
        <v>1.5906603429405326E-2</v>
      </c>
      <c r="H88" s="144">
        <f>G87/'2023'!H36</f>
        <v>1.5906603429405326E-2</v>
      </c>
      <c r="J88" s="302"/>
      <c r="K88" s="302"/>
      <c r="L88" s="312" t="s">
        <v>361</v>
      </c>
      <c r="M88" s="292" t="s">
        <v>319</v>
      </c>
      <c r="N88" s="265" t="str">
        <f t="shared" ref="N88:AR88" si="8">IF(N80=$K$16,$M$59,"")</f>
        <v/>
      </c>
      <c r="O88" s="264" t="str">
        <f t="shared" si="8"/>
        <v/>
      </c>
      <c r="P88" s="264" t="str">
        <f t="shared" si="8"/>
        <v/>
      </c>
      <c r="Q88" s="264" t="str">
        <f t="shared" si="8"/>
        <v/>
      </c>
      <c r="R88" s="264" t="str">
        <f t="shared" si="8"/>
        <v/>
      </c>
      <c r="S88" s="264" t="str">
        <f t="shared" si="8"/>
        <v/>
      </c>
      <c r="T88" s="264" t="str">
        <f t="shared" si="8"/>
        <v/>
      </c>
      <c r="U88" s="264" t="str">
        <f t="shared" si="8"/>
        <v/>
      </c>
      <c r="V88" s="264" t="str">
        <f t="shared" si="8"/>
        <v/>
      </c>
      <c r="W88" s="264" t="str">
        <f t="shared" si="8"/>
        <v/>
      </c>
      <c r="X88" s="264" t="str">
        <f t="shared" si="8"/>
        <v/>
      </c>
      <c r="Y88" s="264" t="str">
        <f t="shared" si="8"/>
        <v/>
      </c>
      <c r="Z88" s="264" t="str">
        <f t="shared" si="8"/>
        <v/>
      </c>
      <c r="AA88" s="264" t="str">
        <f t="shared" si="8"/>
        <v/>
      </c>
      <c r="AB88" s="264" t="str">
        <f t="shared" si="8"/>
        <v/>
      </c>
      <c r="AC88" s="264">
        <f t="shared" si="8"/>
        <v>0</v>
      </c>
      <c r="AD88" s="264" t="str">
        <f t="shared" si="8"/>
        <v/>
      </c>
      <c r="AE88" s="264" t="str">
        <f t="shared" si="8"/>
        <v/>
      </c>
      <c r="AF88" s="264" t="str">
        <f t="shared" si="8"/>
        <v/>
      </c>
      <c r="AG88" s="264" t="str">
        <f t="shared" si="8"/>
        <v/>
      </c>
      <c r="AH88" s="264" t="str">
        <f t="shared" si="8"/>
        <v/>
      </c>
      <c r="AI88" s="264" t="str">
        <f t="shared" si="8"/>
        <v/>
      </c>
      <c r="AJ88" s="264" t="str">
        <f t="shared" si="8"/>
        <v/>
      </c>
      <c r="AK88" s="264" t="str">
        <f t="shared" si="8"/>
        <v/>
      </c>
      <c r="AL88" s="264" t="str">
        <f t="shared" si="8"/>
        <v/>
      </c>
      <c r="AM88" s="264" t="str">
        <f t="shared" si="8"/>
        <v/>
      </c>
      <c r="AN88" s="264" t="str">
        <f t="shared" si="8"/>
        <v/>
      </c>
      <c r="AO88" s="264" t="str">
        <f t="shared" si="8"/>
        <v/>
      </c>
      <c r="AP88" s="264" t="str">
        <f t="shared" si="8"/>
        <v/>
      </c>
      <c r="AQ88" s="264" t="str">
        <f t="shared" si="8"/>
        <v/>
      </c>
      <c r="AR88" s="263" t="str">
        <f t="shared" si="8"/>
        <v/>
      </c>
    </row>
    <row r="89" spans="2:44" ht="13.8" thickBot="1">
      <c r="J89" s="302"/>
      <c r="K89" s="302"/>
      <c r="L89" s="839" t="s">
        <v>362</v>
      </c>
      <c r="M89" s="840"/>
      <c r="N89" s="260" t="str">
        <f t="shared" ref="N89:AR89" si="9">IF(SUM(N81:N88)=0,"",SUM(N81:N88))</f>
        <v/>
      </c>
      <c r="O89" s="259" t="str">
        <f t="shared" si="9"/>
        <v/>
      </c>
      <c r="P89" s="259" t="str">
        <f t="shared" si="9"/>
        <v/>
      </c>
      <c r="Q89" s="259" t="str">
        <f t="shared" si="9"/>
        <v/>
      </c>
      <c r="R89" s="259" t="str">
        <f t="shared" si="9"/>
        <v/>
      </c>
      <c r="S89" s="259" t="str">
        <f t="shared" si="9"/>
        <v/>
      </c>
      <c r="T89" s="259" t="str">
        <f t="shared" si="9"/>
        <v/>
      </c>
      <c r="U89" s="259" t="str">
        <f t="shared" si="9"/>
        <v/>
      </c>
      <c r="V89" s="259" t="str">
        <f t="shared" si="9"/>
        <v/>
      </c>
      <c r="W89" s="259" t="str">
        <f t="shared" si="9"/>
        <v/>
      </c>
      <c r="X89" s="259" t="str">
        <f t="shared" si="9"/>
        <v/>
      </c>
      <c r="Y89" s="259" t="str">
        <f t="shared" si="9"/>
        <v/>
      </c>
      <c r="Z89" s="259" t="str">
        <f t="shared" si="9"/>
        <v/>
      </c>
      <c r="AA89" s="259" t="str">
        <f t="shared" si="9"/>
        <v/>
      </c>
      <c r="AB89" s="259" t="str">
        <f t="shared" si="9"/>
        <v/>
      </c>
      <c r="AC89" s="259" t="str">
        <f t="shared" si="9"/>
        <v/>
      </c>
      <c r="AD89" s="259" t="str">
        <f t="shared" si="9"/>
        <v/>
      </c>
      <c r="AE89" s="259" t="str">
        <f t="shared" si="9"/>
        <v/>
      </c>
      <c r="AF89" s="259" t="str">
        <f t="shared" si="9"/>
        <v/>
      </c>
      <c r="AG89" s="259" t="str">
        <f t="shared" si="9"/>
        <v/>
      </c>
      <c r="AH89" s="259" t="str">
        <f t="shared" si="9"/>
        <v/>
      </c>
      <c r="AI89" s="259" t="str">
        <f t="shared" si="9"/>
        <v/>
      </c>
      <c r="AJ89" s="259" t="str">
        <f t="shared" si="9"/>
        <v/>
      </c>
      <c r="AK89" s="259" t="str">
        <f t="shared" si="9"/>
        <v/>
      </c>
      <c r="AL89" s="259" t="str">
        <f t="shared" si="9"/>
        <v/>
      </c>
      <c r="AM89" s="259" t="str">
        <f t="shared" si="9"/>
        <v/>
      </c>
      <c r="AN89" s="259" t="str">
        <f t="shared" si="9"/>
        <v/>
      </c>
      <c r="AO89" s="259" t="str">
        <f t="shared" si="9"/>
        <v/>
      </c>
      <c r="AP89" s="259" t="str">
        <f t="shared" si="9"/>
        <v/>
      </c>
      <c r="AQ89" s="259" t="str">
        <f t="shared" si="9"/>
        <v/>
      </c>
      <c r="AR89" s="258" t="str">
        <f t="shared" si="9"/>
        <v/>
      </c>
    </row>
    <row r="90" spans="2:44" ht="13.8" thickBot="1">
      <c r="J90" s="302"/>
      <c r="K90" s="302"/>
      <c r="L90" s="841" t="s">
        <v>363</v>
      </c>
      <c r="M90" s="842"/>
      <c r="N90" s="260" t="str">
        <f>IF(N89="","",((N89)/(1+Paramètres!$B$19)^N80))</f>
        <v/>
      </c>
      <c r="O90" s="259" t="str">
        <f>IF(O89="","",((O89)/(1+Paramètres!$B$19)^O80))</f>
        <v/>
      </c>
      <c r="P90" s="259" t="str">
        <f>IF(P89="","",((P89)/(1+Paramètres!$B$19)^P80))</f>
        <v/>
      </c>
      <c r="Q90" s="259" t="str">
        <f>IF(Q89="","",((Q89)/(1+Paramètres!$B$19)^Q80))</f>
        <v/>
      </c>
      <c r="R90" s="259" t="str">
        <f>IF(R89="","",((R89)/(1+Paramètres!$B$19)^R80))</f>
        <v/>
      </c>
      <c r="S90" s="259" t="str">
        <f>IF(S89="","",((S89)/(1+Paramètres!$B$19)^S80))</f>
        <v/>
      </c>
      <c r="T90" s="259" t="str">
        <f>IF(T89="","",((T89)/(1+Paramètres!$B$19)^T80))</f>
        <v/>
      </c>
      <c r="U90" s="259" t="str">
        <f>IF(U89="","",((U89)/(1+Paramètres!$B$19)^U80))</f>
        <v/>
      </c>
      <c r="V90" s="259" t="str">
        <f>IF(V89="","",((V89)/(1+Paramètres!$B$19)^V80))</f>
        <v/>
      </c>
      <c r="W90" s="259" t="str">
        <f>IF(W89="","",((W89)/(1+Paramètres!$B$19)^W80))</f>
        <v/>
      </c>
      <c r="X90" s="259" t="str">
        <f>IF(X89="","",((X89)/(1+Paramètres!$B$19)^X80))</f>
        <v/>
      </c>
      <c r="Y90" s="259" t="str">
        <f>IF(Y89="","",((Y89)/(1+Paramètres!$B$19)^Y80))</f>
        <v/>
      </c>
      <c r="Z90" s="259" t="str">
        <f>IF(Z89="","",((Z89)/(1+Paramètres!$B$19)^Z80))</f>
        <v/>
      </c>
      <c r="AA90" s="259" t="str">
        <f>IF(AA89="","",((AA89)/(1+Paramètres!$B$19)^AA80))</f>
        <v/>
      </c>
      <c r="AB90" s="259" t="str">
        <f>IF(AB89="","",((AB89)/(1+Paramètres!$B$19)^AB80))</f>
        <v/>
      </c>
      <c r="AC90" s="259" t="str">
        <f>IF(AC89="","",((AC89)/(1+Paramètres!$B$19)^AC80))</f>
        <v/>
      </c>
      <c r="AD90" s="259" t="str">
        <f>IF(AD89="","",((AD89)/(1+Paramètres!$B$19)^AD80))</f>
        <v/>
      </c>
      <c r="AE90" s="259" t="str">
        <f>IF(AE89="","",((AE89)/(1+Paramètres!$B$19)^AE80))</f>
        <v/>
      </c>
      <c r="AF90" s="259" t="str">
        <f>IF(AF89="","",((AF89)/(1+Paramètres!$B$19)^AF80))</f>
        <v/>
      </c>
      <c r="AG90" s="259" t="str">
        <f>IF(AG89="","",((AG89)/(1+Paramètres!$B$19)^AG80))</f>
        <v/>
      </c>
      <c r="AH90" s="259" t="str">
        <f>IF(AH89="","",((AH89)/(1+Paramètres!$B$19)^AH80))</f>
        <v/>
      </c>
      <c r="AI90" s="259" t="str">
        <f>IF(AI89="","",((AI89)/(1+Paramètres!$B$19)^AI80))</f>
        <v/>
      </c>
      <c r="AJ90" s="259" t="str">
        <f>IF(AJ89="","",((AJ89)/(1+Paramètres!$B$19)^AJ80))</f>
        <v/>
      </c>
      <c r="AK90" s="259" t="str">
        <f>IF(AK89="","",((AK89)/(1+Paramètres!$B$19)^AK80))</f>
        <v/>
      </c>
      <c r="AL90" s="259" t="str">
        <f>IF(AL89="","",((AL89)/(1+Paramètres!$B$19)^AL80))</f>
        <v/>
      </c>
      <c r="AM90" s="259" t="str">
        <f>IF(AM89="","",((AM89)/(1+Paramètres!$B$19)^AM80))</f>
        <v/>
      </c>
      <c r="AN90" s="259" t="str">
        <f>IF(AN89="","",((AN89)/(1+Paramètres!$B$19)^AN80))</f>
        <v/>
      </c>
      <c r="AO90" s="259" t="str">
        <f>IF(AO89="","",((AO89)/(1+Paramètres!$B$19)^AO80))</f>
        <v/>
      </c>
      <c r="AP90" s="259" t="str">
        <f>IF(AP89="","",((AP89)/(1+Paramètres!$B$19)^AP80))</f>
        <v/>
      </c>
      <c r="AQ90" s="259" t="str">
        <f>IF(AQ89="","",((AQ89)/(1+Paramètres!$B$19)^AQ80))</f>
        <v/>
      </c>
      <c r="AR90" s="258" t="str">
        <f>IF(AR89="","",((AR89)/(1+Paramètres!$B$19)^AR80))</f>
        <v/>
      </c>
    </row>
    <row r="91" spans="2:44" ht="13.8" thickBot="1">
      <c r="J91" s="302"/>
      <c r="K91" s="302"/>
      <c r="L91" s="841" t="s">
        <v>364</v>
      </c>
      <c r="M91" s="842"/>
      <c r="N91" s="257" t="str">
        <f>N90</f>
        <v/>
      </c>
      <c r="O91" s="256" t="str">
        <f t="shared" ref="O91:AR91" si="10">IF(O90="","",((N91+O90)))</f>
        <v/>
      </c>
      <c r="P91" s="256" t="str">
        <f t="shared" si="10"/>
        <v/>
      </c>
      <c r="Q91" s="256" t="str">
        <f t="shared" si="10"/>
        <v/>
      </c>
      <c r="R91" s="256" t="str">
        <f t="shared" si="10"/>
        <v/>
      </c>
      <c r="S91" s="256" t="str">
        <f t="shared" si="10"/>
        <v/>
      </c>
      <c r="T91" s="256" t="str">
        <f t="shared" si="10"/>
        <v/>
      </c>
      <c r="U91" s="256" t="str">
        <f t="shared" si="10"/>
        <v/>
      </c>
      <c r="V91" s="256" t="str">
        <f t="shared" si="10"/>
        <v/>
      </c>
      <c r="W91" s="256" t="str">
        <f t="shared" si="10"/>
        <v/>
      </c>
      <c r="X91" s="256" t="str">
        <f t="shared" si="10"/>
        <v/>
      </c>
      <c r="Y91" s="256" t="str">
        <f t="shared" si="10"/>
        <v/>
      </c>
      <c r="Z91" s="256" t="str">
        <f t="shared" si="10"/>
        <v/>
      </c>
      <c r="AA91" s="256" t="str">
        <f t="shared" si="10"/>
        <v/>
      </c>
      <c r="AB91" s="256" t="str">
        <f t="shared" si="10"/>
        <v/>
      </c>
      <c r="AC91" s="256" t="str">
        <f t="shared" si="10"/>
        <v/>
      </c>
      <c r="AD91" s="256" t="str">
        <f t="shared" si="10"/>
        <v/>
      </c>
      <c r="AE91" s="256" t="str">
        <f t="shared" si="10"/>
        <v/>
      </c>
      <c r="AF91" s="256" t="str">
        <f t="shared" si="10"/>
        <v/>
      </c>
      <c r="AG91" s="256" t="str">
        <f t="shared" si="10"/>
        <v/>
      </c>
      <c r="AH91" s="256" t="str">
        <f t="shared" si="10"/>
        <v/>
      </c>
      <c r="AI91" s="256" t="str">
        <f t="shared" si="10"/>
        <v/>
      </c>
      <c r="AJ91" s="256" t="str">
        <f t="shared" si="10"/>
        <v/>
      </c>
      <c r="AK91" s="256" t="str">
        <f t="shared" si="10"/>
        <v/>
      </c>
      <c r="AL91" s="256" t="str">
        <f t="shared" si="10"/>
        <v/>
      </c>
      <c r="AM91" s="256" t="str">
        <f t="shared" si="10"/>
        <v/>
      </c>
      <c r="AN91" s="256" t="str">
        <f t="shared" si="10"/>
        <v/>
      </c>
      <c r="AO91" s="256" t="str">
        <f t="shared" si="10"/>
        <v/>
      </c>
      <c r="AP91" s="256" t="str">
        <f t="shared" si="10"/>
        <v/>
      </c>
      <c r="AQ91" s="256" t="str">
        <f t="shared" si="10"/>
        <v/>
      </c>
      <c r="AR91" s="255" t="str">
        <f t="shared" si="10"/>
        <v/>
      </c>
    </row>
    <row r="92" spans="2:44" ht="13.8" thickBot="1">
      <c r="J92" s="302"/>
      <c r="K92" s="302"/>
      <c r="L92" s="302"/>
      <c r="M92" s="302"/>
      <c r="N92" s="302"/>
      <c r="O92" s="301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</row>
    <row r="93" spans="2:44">
      <c r="J93" s="308"/>
      <c r="K93" s="308"/>
      <c r="L93" s="254" t="s">
        <v>225</v>
      </c>
      <c r="M93" s="253" t="str">
        <f>IFERROR(IRR(N89:AR89), "PROJET NON RENTABLE")</f>
        <v>PROJET NON RENTABLE</v>
      </c>
      <c r="N93" s="309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</row>
    <row r="94" spans="2:44" ht="13.8" thickBot="1">
      <c r="J94" s="305"/>
      <c r="K94" s="305"/>
      <c r="L94" s="252" t="s">
        <v>224</v>
      </c>
      <c r="M94" s="412" cm="1">
        <f t="array" ref="M94">IFERROR(INDEX(N80:AR80,MATCH(TRUE,N91:AR91&gt;0,0)),"PROJET NON RENTABLE")</f>
        <v>0</v>
      </c>
      <c r="N94" s="307"/>
      <c r="O94" s="305"/>
      <c r="P94" s="305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</row>
    <row r="95" spans="2:44">
      <c r="J95" s="302"/>
      <c r="K95" s="302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</row>
    <row r="96" spans="2:44" ht="13.8" thickBot="1">
      <c r="J96" s="302"/>
      <c r="K96" s="302"/>
      <c r="L96" s="302"/>
      <c r="M96" s="303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</row>
    <row r="97" spans="10:44" ht="16.2" thickBot="1">
      <c r="J97" s="826" t="s">
        <v>365</v>
      </c>
      <c r="K97" s="827"/>
      <c r="L97" s="827"/>
      <c r="M97" s="827"/>
      <c r="N97" s="827"/>
      <c r="O97" s="827"/>
      <c r="P97" s="827"/>
      <c r="Q97" s="827"/>
      <c r="R97" s="827"/>
      <c r="S97" s="827"/>
      <c r="T97" s="827"/>
      <c r="U97" s="827"/>
      <c r="V97" s="827"/>
      <c r="W97" s="827"/>
      <c r="X97" s="827"/>
      <c r="Y97" s="827"/>
      <c r="Z97" s="827"/>
      <c r="AA97" s="827"/>
      <c r="AB97" s="827"/>
      <c r="AC97" s="827"/>
      <c r="AD97" s="827"/>
      <c r="AE97" s="827"/>
      <c r="AF97" s="827"/>
      <c r="AG97" s="827"/>
      <c r="AH97" s="827"/>
      <c r="AI97" s="827"/>
      <c r="AJ97" s="827"/>
      <c r="AK97" s="827"/>
      <c r="AL97" s="827"/>
      <c r="AM97" s="827"/>
      <c r="AN97" s="827"/>
      <c r="AO97" s="827"/>
      <c r="AP97" s="827"/>
      <c r="AQ97" s="827"/>
      <c r="AR97" s="828"/>
    </row>
    <row r="98" spans="10:44" ht="21" thickBot="1"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1"/>
      <c r="AE98" s="261"/>
      <c r="AF98" s="261"/>
      <c r="AG98" s="261"/>
      <c r="AH98" s="261"/>
      <c r="AI98" s="261"/>
      <c r="AJ98" s="261"/>
      <c r="AK98" s="261"/>
      <c r="AL98" s="261"/>
      <c r="AM98" s="261"/>
      <c r="AN98" s="261"/>
      <c r="AO98" s="261"/>
      <c r="AP98" s="261"/>
      <c r="AQ98" s="261"/>
      <c r="AR98" s="261"/>
    </row>
    <row r="99" spans="10:44" ht="16.2" thickBot="1">
      <c r="J99" s="262"/>
      <c r="K99" s="262"/>
      <c r="L99" s="302"/>
      <c r="M99" s="301"/>
      <c r="N99" s="831" t="s">
        <v>366</v>
      </c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3"/>
    </row>
    <row r="100" spans="10:44" ht="16.2" thickBot="1">
      <c r="J100" s="262"/>
      <c r="K100" s="262"/>
      <c r="L100" s="302"/>
      <c r="M100" s="301"/>
      <c r="N100" s="300">
        <v>0</v>
      </c>
      <c r="O100" s="299">
        <v>1</v>
      </c>
      <c r="P100" s="299">
        <v>2</v>
      </c>
      <c r="Q100" s="299">
        <v>3</v>
      </c>
      <c r="R100" s="299">
        <v>4</v>
      </c>
      <c r="S100" s="299">
        <v>5</v>
      </c>
      <c r="T100" s="299">
        <v>6</v>
      </c>
      <c r="U100" s="299">
        <v>7</v>
      </c>
      <c r="V100" s="299">
        <v>8</v>
      </c>
      <c r="W100" s="299">
        <v>9</v>
      </c>
      <c r="X100" s="299">
        <v>10</v>
      </c>
      <c r="Y100" s="299">
        <v>11</v>
      </c>
      <c r="Z100" s="299">
        <v>12</v>
      </c>
      <c r="AA100" s="299">
        <v>13</v>
      </c>
      <c r="AB100" s="299">
        <v>14</v>
      </c>
      <c r="AC100" s="299">
        <v>15</v>
      </c>
      <c r="AD100" s="299">
        <v>16</v>
      </c>
      <c r="AE100" s="299">
        <v>17</v>
      </c>
      <c r="AF100" s="299">
        <v>18</v>
      </c>
      <c r="AG100" s="299">
        <v>19</v>
      </c>
      <c r="AH100" s="299">
        <v>20</v>
      </c>
      <c r="AI100" s="299">
        <v>21</v>
      </c>
      <c r="AJ100" s="299">
        <v>22</v>
      </c>
      <c r="AK100" s="299">
        <v>23</v>
      </c>
      <c r="AL100" s="299">
        <v>24</v>
      </c>
      <c r="AM100" s="299">
        <v>25</v>
      </c>
      <c r="AN100" s="299">
        <v>26</v>
      </c>
      <c r="AO100" s="299">
        <v>27</v>
      </c>
      <c r="AP100" s="299">
        <v>28</v>
      </c>
      <c r="AQ100" s="299">
        <v>29</v>
      </c>
      <c r="AR100" s="298">
        <v>30</v>
      </c>
    </row>
    <row r="101" spans="10:44" ht="20.399999999999999">
      <c r="J101" s="262"/>
      <c r="K101" s="262"/>
      <c r="L101" s="829" t="s">
        <v>354</v>
      </c>
      <c r="M101" s="297" t="s">
        <v>311</v>
      </c>
      <c r="N101" s="296">
        <f>(M55)</f>
        <v>0</v>
      </c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3"/>
    </row>
    <row r="102" spans="10:44" ht="21" thickBot="1">
      <c r="J102" s="262"/>
      <c r="K102" s="262"/>
      <c r="L102" s="830"/>
      <c r="M102" s="292" t="s">
        <v>314</v>
      </c>
      <c r="N102" s="290">
        <f>M56</f>
        <v>0</v>
      </c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  <c r="AO102" s="261"/>
      <c r="AP102" s="261"/>
      <c r="AQ102" s="261"/>
      <c r="AR102" s="288"/>
    </row>
    <row r="103" spans="10:44" ht="20.399999999999999">
      <c r="J103" s="262"/>
      <c r="K103" s="262"/>
      <c r="L103" s="829" t="s">
        <v>356</v>
      </c>
      <c r="M103" s="291" t="s">
        <v>357</v>
      </c>
      <c r="N103" s="290">
        <f>M57+M58</f>
        <v>0</v>
      </c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  <c r="AO103" s="261"/>
      <c r="AP103" s="261"/>
      <c r="AQ103" s="261"/>
      <c r="AR103" s="288"/>
    </row>
    <row r="104" spans="10:44" ht="16.2" thickBot="1">
      <c r="J104" s="262"/>
      <c r="K104" s="262"/>
      <c r="L104" s="830"/>
      <c r="M104" s="287" t="s">
        <v>358</v>
      </c>
      <c r="N104" s="278"/>
      <c r="O104" s="277" t="str">
        <f t="shared" ref="O104:AR104" si="11">IF(O100&lt;=$M$63,$M$62,"")</f>
        <v/>
      </c>
      <c r="P104" s="277" t="str">
        <f t="shared" si="11"/>
        <v/>
      </c>
      <c r="Q104" s="277" t="str">
        <f t="shared" si="11"/>
        <v/>
      </c>
      <c r="R104" s="277" t="str">
        <f t="shared" si="11"/>
        <v/>
      </c>
      <c r="S104" s="277" t="str">
        <f t="shared" si="11"/>
        <v/>
      </c>
      <c r="T104" s="277" t="str">
        <f t="shared" si="11"/>
        <v/>
      </c>
      <c r="U104" s="277" t="str">
        <f t="shared" si="11"/>
        <v/>
      </c>
      <c r="V104" s="277" t="str">
        <f t="shared" si="11"/>
        <v/>
      </c>
      <c r="W104" s="277" t="str">
        <f t="shared" si="11"/>
        <v/>
      </c>
      <c r="X104" s="277" t="str">
        <f t="shared" si="11"/>
        <v/>
      </c>
      <c r="Y104" s="277" t="str">
        <f t="shared" si="11"/>
        <v/>
      </c>
      <c r="Z104" s="277" t="str">
        <f t="shared" si="11"/>
        <v/>
      </c>
      <c r="AA104" s="277" t="str">
        <f t="shared" si="11"/>
        <v/>
      </c>
      <c r="AB104" s="277" t="str">
        <f t="shared" si="11"/>
        <v/>
      </c>
      <c r="AC104" s="277" t="str">
        <f t="shared" si="11"/>
        <v/>
      </c>
      <c r="AD104" s="277" t="str">
        <f t="shared" si="11"/>
        <v/>
      </c>
      <c r="AE104" s="277" t="str">
        <f t="shared" si="11"/>
        <v/>
      </c>
      <c r="AF104" s="277" t="str">
        <f t="shared" si="11"/>
        <v/>
      </c>
      <c r="AG104" s="277" t="str">
        <f t="shared" si="11"/>
        <v/>
      </c>
      <c r="AH104" s="277" t="str">
        <f t="shared" si="11"/>
        <v/>
      </c>
      <c r="AI104" s="277" t="str">
        <f t="shared" si="11"/>
        <v/>
      </c>
      <c r="AJ104" s="277" t="str">
        <f t="shared" si="11"/>
        <v/>
      </c>
      <c r="AK104" s="277" t="str">
        <f t="shared" si="11"/>
        <v/>
      </c>
      <c r="AL104" s="277" t="str">
        <f t="shared" si="11"/>
        <v/>
      </c>
      <c r="AM104" s="277" t="str">
        <f t="shared" si="11"/>
        <v/>
      </c>
      <c r="AN104" s="277" t="str">
        <f t="shared" si="11"/>
        <v/>
      </c>
      <c r="AO104" s="277" t="str">
        <f t="shared" si="11"/>
        <v/>
      </c>
      <c r="AP104" s="277" t="str">
        <f t="shared" si="11"/>
        <v/>
      </c>
      <c r="AQ104" s="277" t="str">
        <f t="shared" si="11"/>
        <v/>
      </c>
      <c r="AR104" s="276" t="str">
        <f t="shared" si="11"/>
        <v/>
      </c>
    </row>
    <row r="105" spans="10:44" ht="16.2" thickBot="1">
      <c r="J105" s="262"/>
      <c r="K105" s="262"/>
      <c r="L105" s="286" t="s">
        <v>360</v>
      </c>
      <c r="M105" s="285" t="s">
        <v>360</v>
      </c>
      <c r="N105" s="274"/>
      <c r="O105" s="284">
        <f>IF(O100&lt;=$K$16,($M$61+$M$64+$M$65+$M$66+$M$67+$M$68+$M$69+$M$70+$M$71+$M$72),"")</f>
        <v>0</v>
      </c>
      <c r="P105" s="284">
        <f>IF(P100&lt;=$K$16,O105*(1+Paramètres!$B$20),"")</f>
        <v>0</v>
      </c>
      <c r="Q105" s="284">
        <f>IF(Q100&lt;=$K$16,P105*(1+Paramètres!$B$20),"")</f>
        <v>0</v>
      </c>
      <c r="R105" s="284">
        <f>IF(R100&lt;=$K$16,Q105*(1+Paramètres!$B$20),"")</f>
        <v>0</v>
      </c>
      <c r="S105" s="284">
        <f>IF(S100&lt;=$K$16,R105*(1+Paramètres!$B$20),"")</f>
        <v>0</v>
      </c>
      <c r="T105" s="284">
        <f>IF(T100&lt;=$K$16,S105*(1+Paramètres!$B$20),"")</f>
        <v>0</v>
      </c>
      <c r="U105" s="284">
        <f>IF(U100&lt;=$K$16,T105*(1+Paramètres!$B$20),"")</f>
        <v>0</v>
      </c>
      <c r="V105" s="284">
        <f>IF(V100&lt;=$K$16,U105*(1+Paramètres!$B$20),"")</f>
        <v>0</v>
      </c>
      <c r="W105" s="284">
        <f>IF(W100&lt;=$K$16,V105*(1+Paramètres!$B$20),"")</f>
        <v>0</v>
      </c>
      <c r="X105" s="284">
        <f>IF(X100&lt;=$K$16,W105*(1+Paramètres!$B$20),"")</f>
        <v>0</v>
      </c>
      <c r="Y105" s="284">
        <f>IF(Y100&lt;=$K$16,X105*(1+Paramètres!$B$20),"")</f>
        <v>0</v>
      </c>
      <c r="Z105" s="284">
        <f>IF(Z100&lt;=$K$16,Y105*(1+Paramètres!$B$20),"")</f>
        <v>0</v>
      </c>
      <c r="AA105" s="284">
        <f>IF(AA100&lt;=$K$16,Z105*(1+Paramètres!$B$20),"")</f>
        <v>0</v>
      </c>
      <c r="AB105" s="284">
        <f>IF(AB100&lt;=$K$16,AA105*(1+Paramètres!$B$20),"")</f>
        <v>0</v>
      </c>
      <c r="AC105" s="284">
        <f>IF(AC100&lt;=$K$16,AB105*(1+Paramètres!$B$20),"")</f>
        <v>0</v>
      </c>
      <c r="AD105" s="284" t="str">
        <f>IF(AD100&lt;=$K$16,AC105*(1+Paramètres!$B$20),"")</f>
        <v/>
      </c>
      <c r="AE105" s="284" t="str">
        <f>IF(AE100&lt;=$K$16,AD105*(1+Paramètres!$B$20),"")</f>
        <v/>
      </c>
      <c r="AF105" s="284" t="str">
        <f>IF(AF100&lt;=$K$16,AE105*(1+Paramètres!$B$20),"")</f>
        <v/>
      </c>
      <c r="AG105" s="284" t="str">
        <f>IF(AG100&lt;=$K$16,AF105*(1+Paramètres!$B$20),"")</f>
        <v/>
      </c>
      <c r="AH105" s="284" t="str">
        <f>IF(AH100&lt;=$K$16,AG105*(1+Paramètres!$B$20),"")</f>
        <v/>
      </c>
      <c r="AI105" s="284" t="str">
        <f>IF(AI100&lt;=$K$16,AH105*(1+Paramètres!$B$20),"")</f>
        <v/>
      </c>
      <c r="AJ105" s="284" t="str">
        <f>IF(AJ100&lt;=$K$16,AI105*(1+Paramètres!$B$20),"")</f>
        <v/>
      </c>
      <c r="AK105" s="284" t="str">
        <f>IF(AK100&lt;=$K$16,AJ105*(1+Paramètres!$B$20),"")</f>
        <v/>
      </c>
      <c r="AL105" s="284" t="str">
        <f>IF(AL100&lt;=$K$16,AK105*(1+Paramètres!$B$20),"")</f>
        <v/>
      </c>
      <c r="AM105" s="284" t="str">
        <f>IF(AM100&lt;=$K$16,AL105*(1+Paramètres!$B$20),"")</f>
        <v/>
      </c>
      <c r="AN105" s="284" t="str">
        <f>IF(AN100&lt;=$K$16,AM105*(1+Paramètres!$B$20),"")</f>
        <v/>
      </c>
      <c r="AO105" s="284" t="str">
        <f>IF(AO100&lt;=$K$16,AN105*(1+Paramètres!$B$20),"")</f>
        <v/>
      </c>
      <c r="AP105" s="284" t="str">
        <f>IF(AP100&lt;=$K$16,AO105*(1+Paramètres!$B$20),"")</f>
        <v/>
      </c>
      <c r="AQ105" s="284" t="str">
        <f>IF(AQ100&lt;=$K$16,AP105*(1+Paramètres!$B$20),"")</f>
        <v/>
      </c>
      <c r="AR105" s="283" t="str">
        <f>IF(AR100&lt;=$K$16,AQ105*(1+Paramètres!$B$20),"")</f>
        <v/>
      </c>
    </row>
    <row r="106" spans="10:44" ht="15.6">
      <c r="J106" s="262"/>
      <c r="K106" s="262"/>
      <c r="L106" s="829" t="s">
        <v>367</v>
      </c>
      <c r="M106" s="282" t="s">
        <v>46</v>
      </c>
      <c r="N106" s="281"/>
      <c r="O106" s="280">
        <f>IF(AND(O100=1,K23="OUI"),(Paramètres!$B$22*'AA5'!M55),"")</f>
        <v>0</v>
      </c>
      <c r="P106" s="280" t="str">
        <f>IF(P100=1,(Paramètres!$B$22*'AA5'!N55),"")</f>
        <v/>
      </c>
      <c r="Q106" s="280" t="str">
        <f>IF(Q100=1,(Paramètres!$B$22*'AA5'!O55),"")</f>
        <v/>
      </c>
      <c r="R106" s="280" t="str">
        <f>IF(R100=1,(Paramètres!$B$22*'AA5'!P55),"")</f>
        <v/>
      </c>
      <c r="S106" s="280" t="str">
        <f>IF(S100=1,(Paramètres!$B$22*'AA5'!Q55),"")</f>
        <v/>
      </c>
      <c r="T106" s="280" t="str">
        <f>IF(T100=1,(Paramètres!$B$22*'AA5'!R55),"")</f>
        <v/>
      </c>
      <c r="U106" s="280" t="str">
        <f>IF(U100=1,(Paramètres!$B$22*'AA5'!S55),"")</f>
        <v/>
      </c>
      <c r="V106" s="280" t="str">
        <f>IF(V100=1,(Paramètres!$B$22*'AA5'!T55),"")</f>
        <v/>
      </c>
      <c r="W106" s="280" t="str">
        <f>IF(W100=1,(Paramètres!$B$22*'AA5'!U55),"")</f>
        <v/>
      </c>
      <c r="X106" s="280" t="str">
        <f>IF(X100=1,(Paramètres!$B$22*'AA5'!V55),"")</f>
        <v/>
      </c>
      <c r="Y106" s="280" t="str">
        <f>IF(Y100=1,(Paramètres!$B$22*'AA5'!W55),"")</f>
        <v/>
      </c>
      <c r="Z106" s="280" t="str">
        <f>IF(Z100=1,(Paramètres!$B$22*'AA5'!X55),"")</f>
        <v/>
      </c>
      <c r="AA106" s="280" t="str">
        <f>IF(AA100=1,(Paramètres!$B$22*'AA5'!Y55),"")</f>
        <v/>
      </c>
      <c r="AB106" s="280" t="str">
        <f>IF(AB100=1,(Paramètres!$B$22*'AA5'!Z55),"")</f>
        <v/>
      </c>
      <c r="AC106" s="280" t="str">
        <f>IF(AC100=1,(Paramètres!$B$22*'AA5'!AA55),"")</f>
        <v/>
      </c>
      <c r="AD106" s="280" t="str">
        <f>IF(AD100=1,(Paramètres!$B$22*'AA5'!AB55),"")</f>
        <v/>
      </c>
      <c r="AE106" s="280" t="str">
        <f>IF(AE100=1,(Paramètres!$B$22*'AA5'!AC55),"")</f>
        <v/>
      </c>
      <c r="AF106" s="280" t="str">
        <f>IF(AF100=1,(Paramètres!$B$22*'AA5'!AD55),"")</f>
        <v/>
      </c>
      <c r="AG106" s="280" t="str">
        <f>IF(AG100=1,(Paramètres!$B$22*'AA5'!AE55),"")</f>
        <v/>
      </c>
      <c r="AH106" s="280" t="str">
        <f>IF(AH100=1,(Paramètres!$B$22*'AA5'!AF55),"")</f>
        <v/>
      </c>
      <c r="AI106" s="280" t="str">
        <f>IF(AI100=1,(Paramètres!$B$22*'AA5'!AG55),"")</f>
        <v/>
      </c>
      <c r="AJ106" s="280" t="str">
        <f>IF(AJ100=1,(Paramètres!$B$22*'AA5'!AH55),"")</f>
        <v/>
      </c>
      <c r="AK106" s="280" t="str">
        <f>IF(AK100=1,(Paramètres!$B$22*'AA5'!AI55),"")</f>
        <v/>
      </c>
      <c r="AL106" s="280" t="str">
        <f>IF(AL100=1,(Paramètres!$B$22*'AA5'!AJ55),"")</f>
        <v/>
      </c>
      <c r="AM106" s="280" t="str">
        <f>IF(AM100=1,(Paramètres!$B$22*'AA5'!AK55),"")</f>
        <v/>
      </c>
      <c r="AN106" s="280" t="str">
        <f>IF(AN100=1,(Paramètres!$B$22*'AA5'!AL55),"")</f>
        <v/>
      </c>
      <c r="AO106" s="280" t="str">
        <f>IF(AO100=1,(Paramètres!$B$22*'AA5'!AM55),"")</f>
        <v/>
      </c>
      <c r="AP106" s="280" t="str">
        <f>IF(AP100=1,(Paramètres!$B$22*'AA5'!AN55),"")</f>
        <v/>
      </c>
      <c r="AQ106" s="280" t="str">
        <f>IF(AQ100=1,(Paramètres!$B$22*'AA5'!AO55),"")</f>
        <v/>
      </c>
      <c r="AR106" s="279" t="str">
        <f>IF(AR100=1,(Paramètres!$B$22*'AA5'!AP55),"")</f>
        <v/>
      </c>
    </row>
    <row r="107" spans="10:44" ht="15.6">
      <c r="J107" s="262"/>
      <c r="K107" s="262"/>
      <c r="L107" s="843"/>
      <c r="M107" s="275" t="s">
        <v>368</v>
      </c>
      <c r="N107" s="278"/>
      <c r="O107" s="277">
        <f t="shared" ref="O107:AR107" si="12">IF(O100&lt;=$K$20,$M$55/$K$20,"")</f>
        <v>0</v>
      </c>
      <c r="P107" s="277">
        <f t="shared" si="12"/>
        <v>0</v>
      </c>
      <c r="Q107" s="277">
        <f t="shared" si="12"/>
        <v>0</v>
      </c>
      <c r="R107" s="277">
        <f t="shared" si="12"/>
        <v>0</v>
      </c>
      <c r="S107" s="277">
        <f t="shared" si="12"/>
        <v>0</v>
      </c>
      <c r="T107" s="277">
        <f t="shared" si="12"/>
        <v>0</v>
      </c>
      <c r="U107" s="277">
        <f t="shared" si="12"/>
        <v>0</v>
      </c>
      <c r="V107" s="277">
        <f t="shared" si="12"/>
        <v>0</v>
      </c>
      <c r="W107" s="277">
        <f t="shared" si="12"/>
        <v>0</v>
      </c>
      <c r="X107" s="277">
        <f t="shared" si="12"/>
        <v>0</v>
      </c>
      <c r="Y107" s="277" t="str">
        <f t="shared" si="12"/>
        <v/>
      </c>
      <c r="Z107" s="277" t="str">
        <f t="shared" si="12"/>
        <v/>
      </c>
      <c r="AA107" s="277" t="str">
        <f t="shared" si="12"/>
        <v/>
      </c>
      <c r="AB107" s="277" t="str">
        <f t="shared" si="12"/>
        <v/>
      </c>
      <c r="AC107" s="277" t="str">
        <f t="shared" si="12"/>
        <v/>
      </c>
      <c r="AD107" s="277" t="str">
        <f t="shared" si="12"/>
        <v/>
      </c>
      <c r="AE107" s="277" t="str">
        <f t="shared" si="12"/>
        <v/>
      </c>
      <c r="AF107" s="277" t="str">
        <f t="shared" si="12"/>
        <v/>
      </c>
      <c r="AG107" s="277" t="str">
        <f t="shared" si="12"/>
        <v/>
      </c>
      <c r="AH107" s="277" t="str">
        <f t="shared" si="12"/>
        <v/>
      </c>
      <c r="AI107" s="277" t="str">
        <f t="shared" si="12"/>
        <v/>
      </c>
      <c r="AJ107" s="277" t="str">
        <f t="shared" si="12"/>
        <v/>
      </c>
      <c r="AK107" s="277" t="str">
        <f t="shared" si="12"/>
        <v/>
      </c>
      <c r="AL107" s="277" t="str">
        <f t="shared" si="12"/>
        <v/>
      </c>
      <c r="AM107" s="277" t="str">
        <f t="shared" si="12"/>
        <v/>
      </c>
      <c r="AN107" s="277" t="str">
        <f t="shared" si="12"/>
        <v/>
      </c>
      <c r="AO107" s="277" t="str">
        <f t="shared" si="12"/>
        <v/>
      </c>
      <c r="AP107" s="277" t="str">
        <f t="shared" si="12"/>
        <v/>
      </c>
      <c r="AQ107" s="277" t="str">
        <f t="shared" si="12"/>
        <v/>
      </c>
      <c r="AR107" s="276" t="str">
        <f t="shared" si="12"/>
        <v/>
      </c>
    </row>
    <row r="108" spans="10:44" ht="16.2" thickBot="1">
      <c r="J108" s="262"/>
      <c r="K108" s="262"/>
      <c r="L108" s="843"/>
      <c r="M108" s="275" t="s">
        <v>369</v>
      </c>
      <c r="N108" s="274"/>
      <c r="O108" s="273" t="str">
        <f t="shared" ref="O108:AR108" si="13">IF(SUM(O104:O107)=0,"",SUM(O104:O107))</f>
        <v/>
      </c>
      <c r="P108" s="273" t="str">
        <f t="shared" si="13"/>
        <v/>
      </c>
      <c r="Q108" s="273" t="str">
        <f t="shared" si="13"/>
        <v/>
      </c>
      <c r="R108" s="273" t="str">
        <f t="shared" si="13"/>
        <v/>
      </c>
      <c r="S108" s="273" t="str">
        <f t="shared" si="13"/>
        <v/>
      </c>
      <c r="T108" s="273" t="str">
        <f t="shared" si="13"/>
        <v/>
      </c>
      <c r="U108" s="273" t="str">
        <f t="shared" si="13"/>
        <v/>
      </c>
      <c r="V108" s="273" t="str">
        <f t="shared" si="13"/>
        <v/>
      </c>
      <c r="W108" s="273" t="str">
        <f t="shared" si="13"/>
        <v/>
      </c>
      <c r="X108" s="273" t="str">
        <f t="shared" si="13"/>
        <v/>
      </c>
      <c r="Y108" s="273" t="str">
        <f t="shared" si="13"/>
        <v/>
      </c>
      <c r="Z108" s="273" t="str">
        <f t="shared" si="13"/>
        <v/>
      </c>
      <c r="AA108" s="273" t="str">
        <f t="shared" si="13"/>
        <v/>
      </c>
      <c r="AB108" s="273" t="str">
        <f t="shared" si="13"/>
        <v/>
      </c>
      <c r="AC108" s="273" t="str">
        <f t="shared" si="13"/>
        <v/>
      </c>
      <c r="AD108" s="273" t="str">
        <f t="shared" si="13"/>
        <v/>
      </c>
      <c r="AE108" s="273" t="str">
        <f t="shared" si="13"/>
        <v/>
      </c>
      <c r="AF108" s="273" t="str">
        <f t="shared" si="13"/>
        <v/>
      </c>
      <c r="AG108" s="273" t="str">
        <f t="shared" si="13"/>
        <v/>
      </c>
      <c r="AH108" s="273" t="str">
        <f t="shared" si="13"/>
        <v/>
      </c>
      <c r="AI108" s="273" t="str">
        <f t="shared" si="13"/>
        <v/>
      </c>
      <c r="AJ108" s="273" t="str">
        <f t="shared" si="13"/>
        <v/>
      </c>
      <c r="AK108" s="273" t="str">
        <f t="shared" si="13"/>
        <v/>
      </c>
      <c r="AL108" s="273" t="str">
        <f t="shared" si="13"/>
        <v/>
      </c>
      <c r="AM108" s="273" t="str">
        <f t="shared" si="13"/>
        <v/>
      </c>
      <c r="AN108" s="273" t="str">
        <f t="shared" si="13"/>
        <v/>
      </c>
      <c r="AO108" s="273" t="str">
        <f t="shared" si="13"/>
        <v/>
      </c>
      <c r="AP108" s="273" t="str">
        <f t="shared" si="13"/>
        <v/>
      </c>
      <c r="AQ108" s="273" t="str">
        <f t="shared" si="13"/>
        <v/>
      </c>
      <c r="AR108" s="272" t="str">
        <f t="shared" si="13"/>
        <v/>
      </c>
    </row>
    <row r="109" spans="10:44" ht="16.2" thickBot="1">
      <c r="J109" s="262"/>
      <c r="K109" s="262"/>
      <c r="L109" s="830"/>
      <c r="M109" s="271" t="s">
        <v>370</v>
      </c>
      <c r="N109" s="270">
        <f>N102*Paramètres!$B$21</f>
        <v>0</v>
      </c>
      <c r="O109" s="269" t="str">
        <f>IF(N(O108)&gt;0,O108*Paramètres!$B$21,"")</f>
        <v/>
      </c>
      <c r="P109" s="269" t="str">
        <f>IF(N(P108)&gt;0,P108*Paramètres!$B$21,"")</f>
        <v/>
      </c>
      <c r="Q109" s="269" t="str">
        <f>IF(N(Q108)&gt;0,Q108*Paramètres!$B$21,"")</f>
        <v/>
      </c>
      <c r="R109" s="269" t="str">
        <f>IF(N(R108)&gt;0,R108*Paramètres!$B$21,"")</f>
        <v/>
      </c>
      <c r="S109" s="269" t="str">
        <f>IF(N(S108)&gt;0,S108*Paramètres!$B$21,"")</f>
        <v/>
      </c>
      <c r="T109" s="269" t="str">
        <f>IF(N(T108)&gt;0,T108*Paramètres!$B$21,"")</f>
        <v/>
      </c>
      <c r="U109" s="269" t="str">
        <f>IF(N(U108)&gt;0,U108*Paramètres!$B$21,"")</f>
        <v/>
      </c>
      <c r="V109" s="269" t="str">
        <f>IF(N(V108)&gt;0,V108*Paramètres!$B$21,"")</f>
        <v/>
      </c>
      <c r="W109" s="269" t="str">
        <f>IF(N(W108)&gt;0,W108*Paramètres!$B$21,"")</f>
        <v/>
      </c>
      <c r="X109" s="269" t="str">
        <f>IF(N(X108)&gt;0,X108*Paramètres!$B$21,"")</f>
        <v/>
      </c>
      <c r="Y109" s="269" t="str">
        <f>IF(N(Y108)&gt;0,Y108*Paramètres!$B$21,"")</f>
        <v/>
      </c>
      <c r="Z109" s="269" t="str">
        <f>IF(N(Z108)&gt;0,Z108*Paramètres!$B$21,"")</f>
        <v/>
      </c>
      <c r="AA109" s="269" t="str">
        <f>IF(N(AA108)&gt;0,AA108*Paramètres!$B$21,"")</f>
        <v/>
      </c>
      <c r="AB109" s="269" t="str">
        <f>IF(N(AB108)&gt;0,AB108*Paramètres!$B$21,"")</f>
        <v/>
      </c>
      <c r="AC109" s="269" t="str">
        <f>IF(N(AC108)&gt;0,AC108*Paramètres!$B$21,"")</f>
        <v/>
      </c>
      <c r="AD109" s="269" t="str">
        <f>IF(N(AD108)&gt;0,AD108*Paramètres!$B$21,"")</f>
        <v/>
      </c>
      <c r="AE109" s="269" t="str">
        <f>IF(N(AE108)&gt;0,AE108*Paramètres!$B$21,"")</f>
        <v/>
      </c>
      <c r="AF109" s="269" t="str">
        <f>IF(N(AF108)&gt;0,AF108*Paramètres!$B$21,"")</f>
        <v/>
      </c>
      <c r="AG109" s="269" t="str">
        <f>IF(N(AG108)&gt;0,AG108*Paramètres!$B$21,"")</f>
        <v/>
      </c>
      <c r="AH109" s="269" t="str">
        <f>IF(N(AH108)&gt;0,AH108*Paramètres!$B$21,"")</f>
        <v/>
      </c>
      <c r="AI109" s="269" t="str">
        <f>IF(N(AI108)&gt;0,AI108*Paramètres!$B$21,"")</f>
        <v/>
      </c>
      <c r="AJ109" s="269" t="str">
        <f>IF(N(AJ108)&gt;0,AJ108*Paramètres!$B$21,"")</f>
        <v/>
      </c>
      <c r="AK109" s="269" t="str">
        <f>IF(N(AK108)&gt;0,AK108*Paramètres!$B$21,"")</f>
        <v/>
      </c>
      <c r="AL109" s="269" t="str">
        <f>IF(N(AL108)&gt;0,AL108*Paramètres!$B$21,"")</f>
        <v/>
      </c>
      <c r="AM109" s="269" t="str">
        <f>IF(N(AM108)&gt;0,AM108*Paramètres!$B$21,"")</f>
        <v/>
      </c>
      <c r="AN109" s="269" t="str">
        <f>IF(N(AN108)&gt;0,AN108*Paramètres!$B$21,"")</f>
        <v/>
      </c>
      <c r="AO109" s="269" t="str">
        <f>IF(N(AO108)&gt;0,AO108*Paramètres!$B$21,"")</f>
        <v/>
      </c>
      <c r="AP109" s="269" t="str">
        <f>IF(N(AP108)&gt;0,AP108*Paramètres!$B$21,"")</f>
        <v/>
      </c>
      <c r="AQ109" s="269" t="str">
        <f>IF(N(AQ108)&gt;0,AQ108*Paramètres!$B$21,"")</f>
        <v/>
      </c>
      <c r="AR109" s="268" t="str">
        <f>IF(N(AR108)&gt;0,AR108*Paramètres!$B$21,"")</f>
        <v/>
      </c>
    </row>
    <row r="110" spans="10:44" ht="16.2" thickBot="1">
      <c r="J110" s="262"/>
      <c r="K110" s="262"/>
      <c r="L110" s="267" t="s">
        <v>361</v>
      </c>
      <c r="M110" s="266" t="s">
        <v>319</v>
      </c>
      <c r="N110" s="265" t="str">
        <f t="shared" ref="N110:AR110" si="14">IF(N100=$K$16,$M$59,"")</f>
        <v/>
      </c>
      <c r="O110" s="264" t="str">
        <f t="shared" si="14"/>
        <v/>
      </c>
      <c r="P110" s="264" t="str">
        <f t="shared" si="14"/>
        <v/>
      </c>
      <c r="Q110" s="264" t="str">
        <f t="shared" si="14"/>
        <v/>
      </c>
      <c r="R110" s="264" t="str">
        <f t="shared" si="14"/>
        <v/>
      </c>
      <c r="S110" s="264" t="str">
        <f t="shared" si="14"/>
        <v/>
      </c>
      <c r="T110" s="264" t="str">
        <f t="shared" si="14"/>
        <v/>
      </c>
      <c r="U110" s="264" t="str">
        <f t="shared" si="14"/>
        <v/>
      </c>
      <c r="V110" s="264" t="str">
        <f t="shared" si="14"/>
        <v/>
      </c>
      <c r="W110" s="264" t="str">
        <f t="shared" si="14"/>
        <v/>
      </c>
      <c r="X110" s="264" t="str">
        <f t="shared" si="14"/>
        <v/>
      </c>
      <c r="Y110" s="264" t="str">
        <f t="shared" si="14"/>
        <v/>
      </c>
      <c r="Z110" s="264" t="str">
        <f t="shared" si="14"/>
        <v/>
      </c>
      <c r="AA110" s="264" t="str">
        <f t="shared" si="14"/>
        <v/>
      </c>
      <c r="AB110" s="264" t="str">
        <f t="shared" si="14"/>
        <v/>
      </c>
      <c r="AC110" s="264">
        <f t="shared" si="14"/>
        <v>0</v>
      </c>
      <c r="AD110" s="264" t="str">
        <f t="shared" si="14"/>
        <v/>
      </c>
      <c r="AE110" s="264" t="str">
        <f t="shared" si="14"/>
        <v/>
      </c>
      <c r="AF110" s="264" t="str">
        <f t="shared" si="14"/>
        <v/>
      </c>
      <c r="AG110" s="264" t="str">
        <f t="shared" si="14"/>
        <v/>
      </c>
      <c r="AH110" s="264" t="str">
        <f t="shared" si="14"/>
        <v/>
      </c>
      <c r="AI110" s="264" t="str">
        <f t="shared" si="14"/>
        <v/>
      </c>
      <c r="AJ110" s="264" t="str">
        <f t="shared" si="14"/>
        <v/>
      </c>
      <c r="AK110" s="264" t="str">
        <f t="shared" si="14"/>
        <v/>
      </c>
      <c r="AL110" s="264" t="str">
        <f t="shared" si="14"/>
        <v/>
      </c>
      <c r="AM110" s="264" t="str">
        <f t="shared" si="14"/>
        <v/>
      </c>
      <c r="AN110" s="264" t="str">
        <f t="shared" si="14"/>
        <v/>
      </c>
      <c r="AO110" s="264" t="str">
        <f t="shared" si="14"/>
        <v/>
      </c>
      <c r="AP110" s="264" t="str">
        <f t="shared" si="14"/>
        <v/>
      </c>
      <c r="AQ110" s="264" t="str">
        <f t="shared" si="14"/>
        <v/>
      </c>
      <c r="AR110" s="263" t="str">
        <f t="shared" si="14"/>
        <v/>
      </c>
    </row>
    <row r="111" spans="10:44" ht="16.2" thickBot="1">
      <c r="J111" s="262"/>
      <c r="K111" s="262"/>
      <c r="L111" s="841" t="s">
        <v>362</v>
      </c>
      <c r="M111" s="844"/>
      <c r="N111" s="260" t="str">
        <f>IF((SUM(N101:N103)-N109)=0,"",(SUM(N101:N103))-N109)</f>
        <v/>
      </c>
      <c r="O111" s="259" t="str">
        <f t="shared" ref="O111:AR111" si="15">IF(SUM(N(O104)+N(O105)-N(O109)+N(O110))=0,"",SUM(N(O104)+N(O105)-N(O109)+N(O110)))</f>
        <v/>
      </c>
      <c r="P111" s="259" t="str">
        <f t="shared" si="15"/>
        <v/>
      </c>
      <c r="Q111" s="259" t="str">
        <f t="shared" si="15"/>
        <v/>
      </c>
      <c r="R111" s="259" t="str">
        <f t="shared" si="15"/>
        <v/>
      </c>
      <c r="S111" s="259" t="str">
        <f t="shared" si="15"/>
        <v/>
      </c>
      <c r="T111" s="259" t="str">
        <f t="shared" si="15"/>
        <v/>
      </c>
      <c r="U111" s="259" t="str">
        <f t="shared" si="15"/>
        <v/>
      </c>
      <c r="V111" s="259" t="str">
        <f t="shared" si="15"/>
        <v/>
      </c>
      <c r="W111" s="259" t="str">
        <f t="shared" si="15"/>
        <v/>
      </c>
      <c r="X111" s="259" t="str">
        <f t="shared" si="15"/>
        <v/>
      </c>
      <c r="Y111" s="259" t="str">
        <f t="shared" si="15"/>
        <v/>
      </c>
      <c r="Z111" s="259" t="str">
        <f t="shared" si="15"/>
        <v/>
      </c>
      <c r="AA111" s="259" t="str">
        <f t="shared" si="15"/>
        <v/>
      </c>
      <c r="AB111" s="259" t="str">
        <f t="shared" si="15"/>
        <v/>
      </c>
      <c r="AC111" s="259" t="str">
        <f t="shared" si="15"/>
        <v/>
      </c>
      <c r="AD111" s="259" t="str">
        <f t="shared" si="15"/>
        <v/>
      </c>
      <c r="AE111" s="259" t="str">
        <f t="shared" si="15"/>
        <v/>
      </c>
      <c r="AF111" s="259" t="str">
        <f t="shared" si="15"/>
        <v/>
      </c>
      <c r="AG111" s="259" t="str">
        <f t="shared" si="15"/>
        <v/>
      </c>
      <c r="AH111" s="259" t="str">
        <f t="shared" si="15"/>
        <v/>
      </c>
      <c r="AI111" s="259" t="str">
        <f t="shared" si="15"/>
        <v/>
      </c>
      <c r="AJ111" s="259" t="str">
        <f t="shared" si="15"/>
        <v/>
      </c>
      <c r="AK111" s="259" t="str">
        <f t="shared" si="15"/>
        <v/>
      </c>
      <c r="AL111" s="259" t="str">
        <f t="shared" si="15"/>
        <v/>
      </c>
      <c r="AM111" s="259" t="str">
        <f t="shared" si="15"/>
        <v/>
      </c>
      <c r="AN111" s="259" t="str">
        <f t="shared" si="15"/>
        <v/>
      </c>
      <c r="AO111" s="259" t="str">
        <f t="shared" si="15"/>
        <v/>
      </c>
      <c r="AP111" s="259" t="str">
        <f t="shared" si="15"/>
        <v/>
      </c>
      <c r="AQ111" s="259" t="str">
        <f t="shared" si="15"/>
        <v/>
      </c>
      <c r="AR111" s="258" t="str">
        <f t="shared" si="15"/>
        <v/>
      </c>
    </row>
    <row r="112" spans="10:44" ht="13.8" thickBot="1">
      <c r="J112" s="250"/>
      <c r="K112" s="250"/>
      <c r="L112" s="841" t="s">
        <v>363</v>
      </c>
      <c r="M112" s="844"/>
      <c r="N112" s="260" t="str">
        <f>IF(N111="","",((N111)/(1+Paramètres!$B$19)^N100))</f>
        <v/>
      </c>
      <c r="O112" s="259" t="str">
        <f>IF(O111="","",((O111)/(1+Paramètres!$B$19)^O100))</f>
        <v/>
      </c>
      <c r="P112" s="259" t="str">
        <f>IF(P111="","",((P111)/(1+Paramètres!$B$19)^P100))</f>
        <v/>
      </c>
      <c r="Q112" s="259" t="str">
        <f>IF(Q111="","",((Q111)/(1+Paramètres!$B$19)^Q100))</f>
        <v/>
      </c>
      <c r="R112" s="259" t="str">
        <f>IF(R111="","",((R111)/(1+Paramètres!$B$19)^R100))</f>
        <v/>
      </c>
      <c r="S112" s="259" t="str">
        <f>IF(S111="","",((S111)/(1+Paramètres!$B$19)^S100))</f>
        <v/>
      </c>
      <c r="T112" s="259" t="str">
        <f>IF(T111="","",((T111)/(1+Paramètres!$B$19)^T100))</f>
        <v/>
      </c>
      <c r="U112" s="259" t="str">
        <f>IF(U111="","",((U111)/(1+Paramètres!$B$19)^U100))</f>
        <v/>
      </c>
      <c r="V112" s="259" t="str">
        <f>IF(V111="","",((V111)/(1+Paramètres!$B$19)^V100))</f>
        <v/>
      </c>
      <c r="W112" s="259" t="str">
        <f>IF(W111="","",((W111)/(1+Paramètres!$B$19)^W100))</f>
        <v/>
      </c>
      <c r="X112" s="259" t="str">
        <f>IF(X111="","",((X111)/(1+Paramètres!$B$19)^X100))</f>
        <v/>
      </c>
      <c r="Y112" s="259" t="str">
        <f>IF(Y111="","",((Y111)/(1+Paramètres!$B$19)^Y100))</f>
        <v/>
      </c>
      <c r="Z112" s="259" t="str">
        <f>IF(Z111="","",((Z111)/(1+Paramètres!$B$19)^Z100))</f>
        <v/>
      </c>
      <c r="AA112" s="259" t="str">
        <f>IF(AA111="","",((AA111)/(1+Paramètres!$B$19)^AA100))</f>
        <v/>
      </c>
      <c r="AB112" s="259" t="str">
        <f>IF(AB111="","",((AB111)/(1+Paramètres!$B$19)^AB100))</f>
        <v/>
      </c>
      <c r="AC112" s="259" t="str">
        <f>IF(AC111="","",((AC111)/(1+Paramètres!$B$19)^AC100))</f>
        <v/>
      </c>
      <c r="AD112" s="259" t="str">
        <f>IF(AD111="","",((AD111)/(1+Paramètres!$B$19)^AD100))</f>
        <v/>
      </c>
      <c r="AE112" s="259" t="str">
        <f>IF(AE111="","",((AE111)/(1+Paramètres!$B$19)^AE100))</f>
        <v/>
      </c>
      <c r="AF112" s="259" t="str">
        <f>IF(AF111="","",((AF111)/(1+Paramètres!$B$19)^AF100))</f>
        <v/>
      </c>
      <c r="AG112" s="259" t="str">
        <f>IF(AG111="","",((AG111)/(1+Paramètres!$B$19)^AG100))</f>
        <v/>
      </c>
      <c r="AH112" s="259" t="str">
        <f>IF(AH111="","",((AH111)/(1+Paramètres!$B$19)^AH100))</f>
        <v/>
      </c>
      <c r="AI112" s="259" t="str">
        <f>IF(AI111="","",((AI111)/(1+Paramètres!$B$19)^AI100))</f>
        <v/>
      </c>
      <c r="AJ112" s="259" t="str">
        <f>IF(AJ111="","",((AJ111)/(1+Paramètres!$B$19)^AJ100))</f>
        <v/>
      </c>
      <c r="AK112" s="259" t="str">
        <f>IF(AK111="","",((AK111)/(1+Paramètres!$B$19)^AK100))</f>
        <v/>
      </c>
      <c r="AL112" s="259" t="str">
        <f>IF(AL111="","",((AL111)/(1+Paramètres!$B$19)^AL100))</f>
        <v/>
      </c>
      <c r="AM112" s="259" t="str">
        <f>IF(AM111="","",((AM111)/(1+Paramètres!$B$19)^AM100))</f>
        <v/>
      </c>
      <c r="AN112" s="259" t="str">
        <f>IF(AN111="","",((AN111)/(1+Paramètres!$B$19)^AN100))</f>
        <v/>
      </c>
      <c r="AO112" s="259" t="str">
        <f>IF(AO111="","",((AO111)/(1+Paramètres!$B$19)^AO100))</f>
        <v/>
      </c>
      <c r="AP112" s="259" t="str">
        <f>IF(AP111="","",((AP111)/(1+Paramètres!$B$19)^AP100))</f>
        <v/>
      </c>
      <c r="AQ112" s="259" t="str">
        <f>IF(AQ111="","",((AQ111)/(1+Paramètres!$B$19)^AQ100))</f>
        <v/>
      </c>
      <c r="AR112" s="258" t="str">
        <f>IF(AR111="","",((AR111)/(1+Paramètres!$B$19)^AR100))</f>
        <v/>
      </c>
    </row>
    <row r="113" spans="10:44" ht="13.8" thickBot="1">
      <c r="J113" s="250"/>
      <c r="K113" s="250"/>
      <c r="L113" s="841" t="s">
        <v>364</v>
      </c>
      <c r="M113" s="844"/>
      <c r="N113" s="257" t="str">
        <f>N112</f>
        <v/>
      </c>
      <c r="O113" s="256" t="str">
        <f t="shared" ref="O113:AR113" si="16">IF(O112="","",((N113+O90)))</f>
        <v/>
      </c>
      <c r="P113" s="256" t="str">
        <f t="shared" si="16"/>
        <v/>
      </c>
      <c r="Q113" s="256" t="str">
        <f t="shared" si="16"/>
        <v/>
      </c>
      <c r="R113" s="256" t="str">
        <f t="shared" si="16"/>
        <v/>
      </c>
      <c r="S113" s="256" t="str">
        <f t="shared" si="16"/>
        <v/>
      </c>
      <c r="T113" s="256" t="str">
        <f t="shared" si="16"/>
        <v/>
      </c>
      <c r="U113" s="256" t="str">
        <f t="shared" si="16"/>
        <v/>
      </c>
      <c r="V113" s="256" t="str">
        <f t="shared" si="16"/>
        <v/>
      </c>
      <c r="W113" s="256" t="str">
        <f t="shared" si="16"/>
        <v/>
      </c>
      <c r="X113" s="256" t="str">
        <f t="shared" si="16"/>
        <v/>
      </c>
      <c r="Y113" s="256" t="str">
        <f t="shared" si="16"/>
        <v/>
      </c>
      <c r="Z113" s="256" t="str">
        <f t="shared" si="16"/>
        <v/>
      </c>
      <c r="AA113" s="256" t="str">
        <f t="shared" si="16"/>
        <v/>
      </c>
      <c r="AB113" s="256" t="str">
        <f t="shared" si="16"/>
        <v/>
      </c>
      <c r="AC113" s="256" t="str">
        <f t="shared" si="16"/>
        <v/>
      </c>
      <c r="AD113" s="256" t="str">
        <f t="shared" si="16"/>
        <v/>
      </c>
      <c r="AE113" s="256" t="str">
        <f t="shared" si="16"/>
        <v/>
      </c>
      <c r="AF113" s="256" t="str">
        <f t="shared" si="16"/>
        <v/>
      </c>
      <c r="AG113" s="256" t="str">
        <f t="shared" si="16"/>
        <v/>
      </c>
      <c r="AH113" s="256" t="str">
        <f t="shared" si="16"/>
        <v/>
      </c>
      <c r="AI113" s="256" t="str">
        <f t="shared" si="16"/>
        <v/>
      </c>
      <c r="AJ113" s="256" t="str">
        <f t="shared" si="16"/>
        <v/>
      </c>
      <c r="AK113" s="256" t="str">
        <f t="shared" si="16"/>
        <v/>
      </c>
      <c r="AL113" s="256" t="str">
        <f t="shared" si="16"/>
        <v/>
      </c>
      <c r="AM113" s="256" t="str">
        <f t="shared" si="16"/>
        <v/>
      </c>
      <c r="AN113" s="256" t="str">
        <f t="shared" si="16"/>
        <v/>
      </c>
      <c r="AO113" s="256" t="str">
        <f t="shared" si="16"/>
        <v/>
      </c>
      <c r="AP113" s="256" t="str">
        <f t="shared" si="16"/>
        <v/>
      </c>
      <c r="AQ113" s="256" t="str">
        <f t="shared" si="16"/>
        <v/>
      </c>
      <c r="AR113" s="255" t="str">
        <f t="shared" si="16"/>
        <v/>
      </c>
    </row>
    <row r="114" spans="10:44" ht="13.8" thickBot="1"/>
    <row r="115" spans="10:44">
      <c r="L115" s="254" t="s">
        <v>225</v>
      </c>
      <c r="M115" s="253" t="str">
        <f>IFERROR(IRR(N111:AR111), "PROJET NON RENTABLE")</f>
        <v>PROJET NON RENTABLE</v>
      </c>
    </row>
    <row r="116" spans="10:44" ht="13.8" thickBot="1">
      <c r="L116" s="252" t="s">
        <v>224</v>
      </c>
      <c r="M116" s="412" cm="1">
        <f t="array" ref="M116">IFERROR(INDEX(N100:AR100,MATCH(TRUE,N113:AR113&gt;0,0)),"PROJET NON RENTABLE")</f>
        <v>0</v>
      </c>
    </row>
  </sheetData>
  <mergeCells count="63">
    <mergeCell ref="L103:L104"/>
    <mergeCell ref="L106:L109"/>
    <mergeCell ref="L111:M111"/>
    <mergeCell ref="L112:M112"/>
    <mergeCell ref="L113:M113"/>
    <mergeCell ref="L101:L102"/>
    <mergeCell ref="N79:AR79"/>
    <mergeCell ref="B80:H80"/>
    <mergeCell ref="E81:F81"/>
    <mergeCell ref="L81:L82"/>
    <mergeCell ref="L83:L85"/>
    <mergeCell ref="B87:F87"/>
    <mergeCell ref="L89:M89"/>
    <mergeCell ref="L90:M90"/>
    <mergeCell ref="L91:M91"/>
    <mergeCell ref="J97:AR97"/>
    <mergeCell ref="N99:AR99"/>
    <mergeCell ref="K67:K72"/>
    <mergeCell ref="B70:H70"/>
    <mergeCell ref="E71:F71"/>
    <mergeCell ref="B77:F77"/>
    <mergeCell ref="J77:AR77"/>
    <mergeCell ref="B58:E58"/>
    <mergeCell ref="B59:F59"/>
    <mergeCell ref="B60:F60"/>
    <mergeCell ref="B61:F61"/>
    <mergeCell ref="J61:J72"/>
    <mergeCell ref="B67:F67"/>
    <mergeCell ref="K62:K63"/>
    <mergeCell ref="B64:F64"/>
    <mergeCell ref="K64:K65"/>
    <mergeCell ref="B65:F65"/>
    <mergeCell ref="B66:F66"/>
    <mergeCell ref="N48:O48"/>
    <mergeCell ref="J51:Q51"/>
    <mergeCell ref="J54:N54"/>
    <mergeCell ref="J55:J59"/>
    <mergeCell ref="K55:K56"/>
    <mergeCell ref="K57:K58"/>
    <mergeCell ref="N47:O47"/>
    <mergeCell ref="B21:H21"/>
    <mergeCell ref="J26:Q26"/>
    <mergeCell ref="C31:F31"/>
    <mergeCell ref="N31:O31"/>
    <mergeCell ref="C33:F33"/>
    <mergeCell ref="N33:O33"/>
    <mergeCell ref="C35:F35"/>
    <mergeCell ref="N35:O35"/>
    <mergeCell ref="O37:O45"/>
    <mergeCell ref="B42:H42"/>
    <mergeCell ref="B46:H46"/>
    <mergeCell ref="B17:H17"/>
    <mergeCell ref="B1:H1"/>
    <mergeCell ref="B2:H2"/>
    <mergeCell ref="J2:AR2"/>
    <mergeCell ref="B3:H3"/>
    <mergeCell ref="F5:G5"/>
    <mergeCell ref="L6:M6"/>
    <mergeCell ref="L7:M7"/>
    <mergeCell ref="J8:K8"/>
    <mergeCell ref="M8:N8"/>
    <mergeCell ref="B9:H9"/>
    <mergeCell ref="B13:C13"/>
  </mergeCells>
  <dataValidations count="5">
    <dataValidation type="list" showInputMessage="1" showErrorMessage="1" sqref="K15" xr:uid="{497AD9BE-71BA-4E7F-9819-3C4F19284348}">
      <formula1>"Tertiaire Public,Tertiaire Privé,Industrie"</formula1>
    </dataValidation>
    <dataValidation type="list" showInputMessage="1" showErrorMessage="1" sqref="K10:K14" xr:uid="{427EFBC0-3D97-4C2A-9758-6E0DF08898EF}">
      <formula1>Poste</formula1>
    </dataValidation>
    <dataValidation type="list" allowBlank="1" showInputMessage="1" showErrorMessage="1" sqref="K24" xr:uid="{2FF20374-D31E-4CF8-BB16-2E63D56E02DE}">
      <formula1>"Oui,Non"</formula1>
    </dataValidation>
    <dataValidation type="list" allowBlank="1" showInputMessage="1" showErrorMessage="1" sqref="K22:K23" xr:uid="{F46E0358-8787-4570-8B22-EB2D5C35A679}">
      <formula1>"OUI,NON"</formula1>
    </dataValidation>
    <dataValidation type="list" allowBlank="1" showInputMessage="1" showErrorMessage="1" sqref="C37" xr:uid="{28B7CB52-8406-407D-BA0A-5A6D68363559}">
      <formula1>"2030,2040,2050"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1200" r:id="rId1"/>
  <headerFooter alignWithMargins="0">
    <oddHeader>&amp;C&amp;"Arial,Gras"&amp;14ECONOTEC / 3J-CONSULT</oddHeader>
    <oddFooter>&amp;L&amp;F&amp;R&amp;A</oddFooter>
  </headerFooter>
  <rowBreaks count="1" manualBreakCount="1">
    <brk id="67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A9EA3ED-97ED-460D-91EC-78B552B365CB}">
          <x14:formula1>
            <xm:f>Paramètres!$C$57:$C$60</xm:f>
          </x14:formula1>
          <xm:sqref>F27</xm:sqref>
        </x14:dataValidation>
        <x14:dataValidation type="list" allowBlank="1" showInputMessage="1" showErrorMessage="1" xr:uid="{CB8B0B6D-D311-4F11-9F94-40651778D13B}">
          <x14:formula1>
            <xm:f>Paramètres!$A$57:$A$83</xm:f>
          </x14:formula1>
          <xm:sqref>B13:B14</xm:sqref>
        </x14:dataValidation>
        <x14:dataValidation type="list" allowBlank="1" showInputMessage="1" showErrorMessage="1" xr:uid="{BB1E0508-8631-420B-AEB8-FAD0CB8E1FE3}">
          <x14:formula1>
            <xm:f>Paramètres!$B$57:$B$82</xm:f>
          </x14:formula1>
          <xm:sqref>C31:F31 C35:F35 C33:F33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38EF5-8A33-4E0F-81FB-283BF37F16C2}">
  <dimension ref="B1:AR116"/>
  <sheetViews>
    <sheetView topLeftCell="A10" zoomScaleNormal="100" workbookViewId="0">
      <selection activeCell="D13" sqref="D13"/>
    </sheetView>
  </sheetViews>
  <sheetFormatPr baseColWidth="10" defaultColWidth="11.44140625" defaultRowHeight="13.2"/>
  <cols>
    <col min="1" max="1" width="1.88671875" customWidth="1"/>
    <col min="2" max="2" width="16.88671875" customWidth="1"/>
    <col min="6" max="6" width="14" bestFit="1" customWidth="1"/>
    <col min="7" max="7" width="11.88671875" customWidth="1"/>
    <col min="8" max="8" width="12.6640625" bestFit="1" customWidth="1"/>
    <col min="10" max="10" width="49" bestFit="1" customWidth="1"/>
    <col min="11" max="11" width="31.109375" bestFit="1" customWidth="1"/>
    <col min="12" max="12" width="41.44140625" bestFit="1" customWidth="1"/>
    <col min="13" max="13" width="35.5546875" bestFit="1" customWidth="1"/>
    <col min="14" max="14" width="10.109375" bestFit="1" customWidth="1"/>
    <col min="15" max="15" width="9.6640625" bestFit="1" customWidth="1"/>
    <col min="16" max="18" width="5" bestFit="1" customWidth="1"/>
    <col min="19" max="29" width="5.33203125" bestFit="1" customWidth="1"/>
    <col min="30" max="44" width="2.88671875" bestFit="1" customWidth="1"/>
  </cols>
  <sheetData>
    <row r="1" spans="2:44" ht="21">
      <c r="B1" s="772" t="str">
        <f>Entête!C15</f>
        <v>NOM DE L'ENTITE</v>
      </c>
      <c r="C1" s="773"/>
      <c r="D1" s="773"/>
      <c r="E1" s="773"/>
      <c r="F1" s="773"/>
      <c r="G1" s="773"/>
      <c r="H1" s="774"/>
      <c r="J1" s="250"/>
      <c r="K1" s="250"/>
      <c r="L1" s="250"/>
      <c r="M1" s="251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</row>
    <row r="2" spans="2:44" ht="21">
      <c r="B2" s="775"/>
      <c r="C2" s="776"/>
      <c r="D2" s="776"/>
      <c r="E2" s="776"/>
      <c r="F2" s="776"/>
      <c r="G2" s="776"/>
      <c r="H2" s="777"/>
      <c r="J2" s="778" t="s">
        <v>260</v>
      </c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79"/>
      <c r="AP2" s="779"/>
      <c r="AQ2" s="779"/>
      <c r="AR2" s="779"/>
    </row>
    <row r="3" spans="2:44" ht="16.2" thickBot="1">
      <c r="B3" s="780" t="s">
        <v>261</v>
      </c>
      <c r="C3" s="781"/>
      <c r="D3" s="781"/>
      <c r="E3" s="781"/>
      <c r="F3" s="781"/>
      <c r="G3" s="781"/>
      <c r="H3" s="782"/>
      <c r="J3" s="375"/>
      <c r="K3" s="375"/>
      <c r="L3" s="375"/>
      <c r="M3" s="416"/>
      <c r="N3" s="375"/>
      <c r="O3" s="375"/>
      <c r="P3" s="375"/>
      <c r="Q3" s="375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</row>
    <row r="4" spans="2:44">
      <c r="J4" s="375"/>
      <c r="K4" s="375"/>
      <c r="L4" s="375"/>
      <c r="M4" s="375"/>
      <c r="N4" s="375"/>
      <c r="O4" s="375"/>
      <c r="P4" s="375"/>
      <c r="Q4" s="375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</row>
    <row r="5" spans="2:44" ht="16.2" thickBot="1">
      <c r="B5" s="198" t="s">
        <v>262</v>
      </c>
      <c r="F5" s="783" t="s">
        <v>387</v>
      </c>
      <c r="G5" s="784"/>
      <c r="J5" s="375"/>
      <c r="K5" s="375"/>
      <c r="L5" s="375"/>
      <c r="M5" s="417"/>
      <c r="N5" s="375"/>
      <c r="O5" s="375"/>
      <c r="P5" s="375"/>
      <c r="Q5" s="375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</row>
    <row r="6" spans="2:44" ht="16.2" thickBot="1">
      <c r="B6" s="198"/>
      <c r="G6" s="199"/>
      <c r="J6" s="376" t="s">
        <v>264</v>
      </c>
      <c r="K6" s="389"/>
      <c r="L6" s="785"/>
      <c r="M6" s="785"/>
      <c r="N6" s="387"/>
      <c r="O6" s="387"/>
      <c r="P6" s="387"/>
      <c r="Q6" s="387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4"/>
      <c r="AE6" s="414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</row>
    <row r="7" spans="2:44" ht="16.2" thickBot="1">
      <c r="B7" s="198" t="s">
        <v>265</v>
      </c>
      <c r="J7" s="388"/>
      <c r="K7" s="387"/>
      <c r="L7" s="785"/>
      <c r="M7" s="785"/>
      <c r="N7" s="387"/>
      <c r="O7" s="387"/>
      <c r="P7" s="387"/>
      <c r="Q7" s="387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4"/>
      <c r="AE7" s="414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</row>
    <row r="8" spans="2:44" ht="16.2" thickBot="1">
      <c r="J8" s="786" t="s">
        <v>266</v>
      </c>
      <c r="K8" s="787"/>
      <c r="L8" s="374"/>
      <c r="M8" s="786" t="s">
        <v>267</v>
      </c>
      <c r="N8" s="787"/>
      <c r="O8" s="374"/>
      <c r="P8" s="374"/>
      <c r="Q8" s="374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</row>
    <row r="9" spans="2:44" ht="16.2" thickBot="1">
      <c r="B9" s="788" t="s">
        <v>388</v>
      </c>
      <c r="C9" s="789"/>
      <c r="D9" s="789"/>
      <c r="E9" s="789"/>
      <c r="F9" s="789"/>
      <c r="G9" s="789"/>
      <c r="H9" s="790"/>
      <c r="J9" s="262"/>
      <c r="K9" s="262"/>
      <c r="L9" s="262"/>
      <c r="M9" s="262"/>
      <c r="N9" s="262"/>
      <c r="O9" s="262"/>
      <c r="P9" s="262"/>
      <c r="Q9" s="262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</row>
    <row r="10" spans="2:44" ht="16.2" thickBot="1">
      <c r="J10" s="378" t="s">
        <v>268</v>
      </c>
      <c r="K10" s="376" t="s">
        <v>55</v>
      </c>
      <c r="L10" s="262"/>
      <c r="M10" s="386" t="s">
        <v>269</v>
      </c>
      <c r="N10" s="385" t="str">
        <f>M93</f>
        <v>PROJET NON RENTABLE</v>
      </c>
      <c r="O10" s="262"/>
      <c r="P10" s="262"/>
      <c r="Q10" s="262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</row>
    <row r="11" spans="2:44" ht="15.6">
      <c r="B11" s="198" t="s">
        <v>191</v>
      </c>
      <c r="J11" s="262"/>
      <c r="K11" s="621"/>
      <c r="L11" s="262"/>
      <c r="M11" s="622"/>
      <c r="N11" s="623"/>
      <c r="O11" s="262"/>
      <c r="P11" s="262"/>
      <c r="Q11" s="262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</row>
    <row r="12" spans="2:44" ht="15.6">
      <c r="B12" s="635" t="s">
        <v>270</v>
      </c>
      <c r="J12" s="262"/>
      <c r="K12" s="621"/>
      <c r="L12" s="262"/>
      <c r="M12" s="622"/>
      <c r="N12" s="623"/>
      <c r="O12" s="262"/>
      <c r="P12" s="262"/>
      <c r="Q12" s="262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2:44" ht="24.9" customHeight="1">
      <c r="B13" s="788" t="s">
        <v>98</v>
      </c>
      <c r="C13" s="790"/>
      <c r="J13" s="262"/>
      <c r="K13" s="621"/>
      <c r="L13" s="262"/>
      <c r="M13" s="622"/>
      <c r="N13" s="623"/>
      <c r="O13" s="262"/>
      <c r="P13" s="262"/>
      <c r="Q13" s="262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</row>
    <row r="14" spans="2:44" ht="15.6">
      <c r="B14" s="199"/>
      <c r="J14" s="262"/>
      <c r="K14" s="621"/>
      <c r="L14" s="262"/>
      <c r="M14" s="622"/>
      <c r="N14" s="623"/>
      <c r="O14" s="262"/>
      <c r="P14" s="262"/>
      <c r="Q14" s="262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</row>
    <row r="15" spans="2:44" ht="16.2" thickBot="1">
      <c r="B15" s="198" t="s">
        <v>271</v>
      </c>
      <c r="J15" s="262"/>
      <c r="K15" s="262"/>
      <c r="L15" s="262"/>
      <c r="M15" s="384" t="s">
        <v>272</v>
      </c>
      <c r="N15" s="383">
        <f>M94</f>
        <v>0</v>
      </c>
      <c r="O15" s="262"/>
      <c r="P15" s="262"/>
      <c r="Q15" s="262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</row>
    <row r="16" spans="2:44" ht="16.2" thickBot="1">
      <c r="J16" s="378" t="s">
        <v>51</v>
      </c>
      <c r="K16" s="381">
        <f>VLOOKUP(K10,Paramètres!A27:C29,3)</f>
        <v>15</v>
      </c>
      <c r="L16" s="375"/>
      <c r="M16" s="310"/>
      <c r="N16" s="310"/>
      <c r="O16" s="262"/>
      <c r="P16" s="262"/>
      <c r="Q16" s="262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</row>
    <row r="17" spans="2:44" ht="29.25" customHeight="1" thickBot="1">
      <c r="B17" s="769"/>
      <c r="C17" s="770"/>
      <c r="D17" s="770"/>
      <c r="E17" s="770"/>
      <c r="F17" s="770"/>
      <c r="G17" s="770"/>
      <c r="H17" s="771"/>
      <c r="J17" s="262"/>
      <c r="K17" s="262"/>
      <c r="L17" s="375"/>
      <c r="M17" s="300" t="s">
        <v>273</v>
      </c>
      <c r="N17" s="382" t="str">
        <f>M115</f>
        <v>PROJET NON RENTABLE</v>
      </c>
      <c r="O17" s="262"/>
      <c r="P17" s="262"/>
      <c r="Q17" s="262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</row>
    <row r="18" spans="2:44" ht="16.2" thickBot="1">
      <c r="J18" s="378" t="s">
        <v>274</v>
      </c>
      <c r="K18" s="381">
        <f>VLOOKUP(K10,Paramètres!A27:D29,4)</f>
        <v>8</v>
      </c>
      <c r="L18" s="262"/>
      <c r="M18" s="311" t="s">
        <v>275</v>
      </c>
      <c r="N18" s="380">
        <f>M116</f>
        <v>0</v>
      </c>
      <c r="O18" s="262"/>
      <c r="P18" s="262"/>
      <c r="Q18" s="262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</row>
    <row r="19" spans="2:44" ht="16.2" thickBot="1">
      <c r="B19" s="198" t="s">
        <v>276</v>
      </c>
      <c r="J19" s="262"/>
      <c r="K19" s="262"/>
      <c r="L19" s="262"/>
      <c r="M19" s="375"/>
      <c r="N19" s="375"/>
      <c r="O19" s="262"/>
      <c r="P19" s="262"/>
      <c r="Q19" s="262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</row>
    <row r="20" spans="2:44" ht="16.2" thickBot="1">
      <c r="J20" s="377" t="s">
        <v>277</v>
      </c>
      <c r="K20" s="379">
        <v>10</v>
      </c>
      <c r="L20" s="262"/>
      <c r="M20" s="262"/>
      <c r="N20" s="418"/>
      <c r="O20" s="262"/>
      <c r="P20" s="262"/>
      <c r="Q20" s="262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</row>
    <row r="21" spans="2:44" ht="16.2" thickBot="1">
      <c r="B21" s="769"/>
      <c r="C21" s="770"/>
      <c r="D21" s="770"/>
      <c r="E21" s="770"/>
      <c r="F21" s="770"/>
      <c r="G21" s="770"/>
      <c r="H21" s="771"/>
      <c r="J21" s="374"/>
      <c r="K21" s="262"/>
      <c r="L21" s="262"/>
      <c r="M21" s="262"/>
      <c r="N21" s="418"/>
      <c r="O21" s="262"/>
      <c r="P21" s="262"/>
      <c r="Q21" s="262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</row>
    <row r="22" spans="2:44" ht="16.2" thickBot="1">
      <c r="J22" s="378" t="s">
        <v>278</v>
      </c>
      <c r="K22" s="376" t="s">
        <v>279</v>
      </c>
      <c r="L22" s="262"/>
      <c r="M22" s="262"/>
      <c r="N22" s="262"/>
      <c r="O22" s="262"/>
      <c r="P22" s="262"/>
      <c r="Q22" s="262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</row>
    <row r="23" spans="2:44" ht="16.2" thickBot="1">
      <c r="B23" s="198" t="s">
        <v>280</v>
      </c>
      <c r="F23" s="421">
        <f>C50*Paramètres!C13+C51*Paramètres!D13</f>
        <v>0</v>
      </c>
      <c r="G23" s="145"/>
      <c r="J23" s="377" t="s">
        <v>281</v>
      </c>
      <c r="K23" s="376" t="s">
        <v>282</v>
      </c>
      <c r="L23" s="262"/>
      <c r="M23" s="262"/>
      <c r="N23" s="262"/>
      <c r="O23" s="262"/>
      <c r="P23" s="262"/>
      <c r="Q23" s="262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</row>
    <row r="24" spans="2:44" ht="15.6">
      <c r="J24" s="262"/>
      <c r="K24" s="262"/>
      <c r="L24" s="262"/>
      <c r="M24" s="262"/>
      <c r="N24" s="262"/>
      <c r="O24" s="262"/>
      <c r="P24" s="262"/>
      <c r="Q24" s="262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</row>
    <row r="25" spans="2:44" ht="16.2" thickBot="1">
      <c r="B25" s="198" t="s">
        <v>283</v>
      </c>
      <c r="F25" s="421">
        <f>+G61*1000</f>
        <v>0</v>
      </c>
      <c r="J25" s="374"/>
      <c r="K25" s="262"/>
      <c r="L25" s="262"/>
      <c r="M25" s="262"/>
      <c r="N25" s="262"/>
      <c r="O25" s="262"/>
      <c r="P25" s="302"/>
      <c r="Q25" s="302"/>
      <c r="R25" s="302"/>
      <c r="S25" s="302"/>
      <c r="T25" s="302"/>
      <c r="U25" s="302"/>
      <c r="V25" s="302"/>
      <c r="W25" s="302"/>
      <c r="X25" s="302"/>
      <c r="Y25" s="321"/>
      <c r="Z25" s="321"/>
      <c r="AA25" s="321"/>
      <c r="AB25" s="321"/>
      <c r="AC25" s="321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</row>
    <row r="26" spans="2:44" ht="16.2" thickBot="1">
      <c r="J26" s="786" t="s">
        <v>284</v>
      </c>
      <c r="K26" s="793"/>
      <c r="L26" s="793"/>
      <c r="M26" s="793"/>
      <c r="N26" s="793"/>
      <c r="O26" s="793"/>
      <c r="P26" s="793"/>
      <c r="Q26" s="787"/>
      <c r="R26" s="302"/>
      <c r="S26" s="302"/>
      <c r="T26" s="302"/>
      <c r="U26" s="302"/>
      <c r="V26" s="302"/>
      <c r="W26" s="302"/>
      <c r="X26" s="302"/>
      <c r="Y26" s="321"/>
      <c r="Z26" s="321"/>
      <c r="AA26" s="321"/>
      <c r="AB26" s="321"/>
      <c r="AC26" s="321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</row>
    <row r="27" spans="2:44" ht="15.6">
      <c r="B27" s="198" t="s">
        <v>78</v>
      </c>
      <c r="F27" s="628" t="s">
        <v>85</v>
      </c>
      <c r="G27" s="420"/>
      <c r="J27" s="374"/>
      <c r="K27" s="262"/>
      <c r="L27" s="262"/>
      <c r="M27" s="262"/>
      <c r="N27" s="262"/>
      <c r="O27" s="262"/>
      <c r="P27" s="302"/>
      <c r="Q27" s="302"/>
      <c r="R27" s="302"/>
      <c r="S27" s="302"/>
      <c r="T27" s="302"/>
      <c r="U27" s="302"/>
      <c r="V27" s="302"/>
      <c r="W27" s="302"/>
      <c r="X27" s="302"/>
      <c r="Y27" s="321"/>
      <c r="Z27" s="321"/>
      <c r="AA27" s="321"/>
      <c r="AB27" s="321"/>
      <c r="AC27" s="321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</row>
    <row r="28" spans="2:44" ht="15.6">
      <c r="B28" s="198"/>
      <c r="F28" s="199"/>
      <c r="G28" s="420"/>
      <c r="J28" s="374"/>
      <c r="K28" s="262"/>
      <c r="L28" s="262"/>
      <c r="M28" s="262"/>
      <c r="N28" s="262"/>
      <c r="O28" s="262"/>
      <c r="P28" s="302"/>
      <c r="Q28" s="302"/>
      <c r="R28" s="302"/>
      <c r="S28" s="302"/>
      <c r="T28" s="302"/>
      <c r="U28" s="302"/>
      <c r="V28" s="302"/>
      <c r="W28" s="302"/>
      <c r="X28" s="302"/>
      <c r="Y28" s="321"/>
      <c r="Z28" s="321"/>
      <c r="AA28" s="321"/>
      <c r="AB28" s="321"/>
      <c r="AC28" s="321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</row>
    <row r="29" spans="2:44" ht="15.6">
      <c r="C29" s="198" t="s">
        <v>285</v>
      </c>
      <c r="F29" s="199"/>
      <c r="G29" s="420"/>
      <c r="J29" s="374"/>
      <c r="K29" s="262"/>
      <c r="L29" s="262"/>
      <c r="M29" s="262"/>
      <c r="N29" s="262"/>
      <c r="O29" s="262"/>
      <c r="P29" s="302"/>
      <c r="Q29" s="302"/>
      <c r="R29" s="302"/>
      <c r="S29" s="302"/>
      <c r="T29" s="302"/>
      <c r="U29" s="302"/>
      <c r="V29" s="302"/>
      <c r="W29" s="302"/>
      <c r="X29" s="302"/>
      <c r="Y29" s="321"/>
      <c r="Z29" s="321"/>
      <c r="AA29" s="321"/>
      <c r="AB29" s="321"/>
      <c r="AC29" s="321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</row>
    <row r="30" spans="2:44" ht="16.2" thickBot="1">
      <c r="B30" s="198"/>
      <c r="C30" s="635" t="s">
        <v>270</v>
      </c>
      <c r="F30" s="199"/>
      <c r="G30" s="420"/>
      <c r="J30" s="374"/>
      <c r="K30" s="262"/>
      <c r="L30" s="262"/>
      <c r="M30" s="262"/>
      <c r="N30" s="262"/>
      <c r="O30" s="262"/>
      <c r="P30" s="302"/>
      <c r="Q30" s="302"/>
      <c r="R30" s="302"/>
      <c r="S30" s="302"/>
      <c r="T30" s="302"/>
      <c r="U30" s="302"/>
      <c r="V30" s="302"/>
      <c r="W30" s="302"/>
      <c r="X30" s="302"/>
      <c r="Y30" s="321"/>
      <c r="Z30" s="321"/>
      <c r="AA30" s="321"/>
      <c r="AB30" s="321"/>
      <c r="AC30" s="321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</row>
    <row r="31" spans="2:44" ht="12.9" customHeight="1">
      <c r="B31" t="s">
        <v>286</v>
      </c>
      <c r="C31" s="794" t="s">
        <v>81</v>
      </c>
      <c r="D31" s="795"/>
      <c r="E31" s="795"/>
      <c r="F31" s="796"/>
      <c r="G31" s="420"/>
      <c r="J31" s="373"/>
      <c r="K31" s="302"/>
      <c r="L31" s="302"/>
      <c r="M31" s="319"/>
      <c r="N31" s="797" t="s">
        <v>287</v>
      </c>
      <c r="O31" s="798"/>
      <c r="P31" s="302"/>
      <c r="Q31" s="302"/>
      <c r="R31" s="302"/>
      <c r="S31" s="302"/>
      <c r="T31" s="302"/>
      <c r="U31" s="302"/>
      <c r="V31" s="302"/>
      <c r="W31" s="321"/>
      <c r="X31" s="321"/>
      <c r="Y31" s="321"/>
      <c r="Z31" s="321"/>
      <c r="AA31" s="321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</row>
    <row r="32" spans="2:44" ht="16.2" thickBot="1">
      <c r="B32" s="198"/>
      <c r="C32" s="625"/>
      <c r="D32" s="625"/>
      <c r="E32" s="625"/>
      <c r="F32" s="626"/>
      <c r="G32" s="420"/>
      <c r="J32" s="374"/>
      <c r="K32" s="262"/>
      <c r="L32" s="262"/>
      <c r="M32" s="262"/>
      <c r="N32" s="262"/>
      <c r="O32" s="262"/>
      <c r="P32" s="302"/>
      <c r="Q32" s="302"/>
      <c r="R32" s="302"/>
      <c r="S32" s="302"/>
      <c r="T32" s="302"/>
      <c r="U32" s="302"/>
      <c r="V32" s="302"/>
      <c r="W32" s="302"/>
      <c r="X32" s="302"/>
      <c r="Y32" s="321"/>
      <c r="Z32" s="321"/>
      <c r="AA32" s="321"/>
      <c r="AB32" s="321"/>
      <c r="AC32" s="321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</row>
    <row r="33" spans="2:44" ht="13.8">
      <c r="B33" t="s">
        <v>288</v>
      </c>
      <c r="C33" s="794" t="s">
        <v>81</v>
      </c>
      <c r="D33" s="795"/>
      <c r="E33" s="795"/>
      <c r="F33" s="796"/>
      <c r="G33" s="420"/>
      <c r="J33" s="373"/>
      <c r="K33" s="302"/>
      <c r="L33" s="302"/>
      <c r="M33" s="319"/>
      <c r="N33" s="797" t="s">
        <v>287</v>
      </c>
      <c r="O33" s="798"/>
      <c r="P33" s="302"/>
      <c r="Q33" s="302"/>
      <c r="R33" s="302"/>
      <c r="S33" s="302"/>
      <c r="T33" s="302"/>
      <c r="U33" s="302"/>
      <c r="V33" s="302"/>
      <c r="W33" s="321"/>
      <c r="X33" s="321"/>
      <c r="Y33" s="321"/>
      <c r="Z33" s="321"/>
      <c r="AA33" s="321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</row>
    <row r="34" spans="2:44" ht="16.2" thickBot="1">
      <c r="B34" s="198"/>
      <c r="C34" s="625"/>
      <c r="D34" s="625"/>
      <c r="E34" s="625"/>
      <c r="F34" s="626"/>
      <c r="G34" s="420"/>
      <c r="J34" s="374"/>
      <c r="K34" s="262"/>
      <c r="L34" s="262"/>
      <c r="M34" s="262"/>
      <c r="N34" s="262"/>
      <c r="O34" s="262"/>
      <c r="P34" s="302"/>
      <c r="Q34" s="302"/>
      <c r="R34" s="302"/>
      <c r="S34" s="302"/>
      <c r="T34" s="302"/>
      <c r="U34" s="302"/>
      <c r="V34" s="302"/>
      <c r="W34" s="302"/>
      <c r="X34" s="302"/>
      <c r="Y34" s="321"/>
      <c r="Z34" s="321"/>
      <c r="AA34" s="321"/>
      <c r="AB34" s="321"/>
      <c r="AC34" s="321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</row>
    <row r="35" spans="2:44" ht="14.4" thickBot="1">
      <c r="B35" t="s">
        <v>289</v>
      </c>
      <c r="C35" s="794" t="s">
        <v>81</v>
      </c>
      <c r="D35" s="795"/>
      <c r="E35" s="795"/>
      <c r="F35" s="796"/>
      <c r="G35" s="420"/>
      <c r="J35" s="373"/>
      <c r="K35" s="302"/>
      <c r="L35" s="302"/>
      <c r="M35" s="319"/>
      <c r="N35" s="797" t="s">
        <v>287</v>
      </c>
      <c r="O35" s="798"/>
      <c r="P35" s="302"/>
      <c r="Q35" s="302"/>
      <c r="R35" s="302"/>
      <c r="S35" s="302"/>
      <c r="T35" s="302"/>
      <c r="U35" s="302"/>
      <c r="V35" s="302"/>
      <c r="W35" s="321"/>
      <c r="X35" s="321"/>
      <c r="Y35" s="321"/>
      <c r="Z35" s="321"/>
      <c r="AA35" s="321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</row>
    <row r="36" spans="2:44" ht="36.6" thickBot="1">
      <c r="C36" s="635" t="s">
        <v>270</v>
      </c>
      <c r="J36" s="370" t="s">
        <v>290</v>
      </c>
      <c r="K36" s="370" t="s">
        <v>291</v>
      </c>
      <c r="L36" s="372" t="s">
        <v>292</v>
      </c>
      <c r="M36" s="372" t="s">
        <v>293</v>
      </c>
      <c r="N36" s="371" t="s">
        <v>294</v>
      </c>
      <c r="O36" s="370" t="s">
        <v>295</v>
      </c>
      <c r="P36" s="302"/>
      <c r="Q36" s="302"/>
      <c r="R36" s="302"/>
      <c r="S36" s="302"/>
      <c r="T36" s="302"/>
      <c r="U36" s="302"/>
      <c r="V36" s="302"/>
      <c r="W36" s="321"/>
      <c r="X36" s="321"/>
      <c r="Y36" s="321"/>
      <c r="Z36" s="321"/>
      <c r="AA36" s="321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</row>
    <row r="37" spans="2:44" ht="15.6">
      <c r="B37" s="198" t="s">
        <v>79</v>
      </c>
      <c r="C37" s="629">
        <v>2030</v>
      </c>
      <c r="J37" s="369" t="s">
        <v>296</v>
      </c>
      <c r="K37" s="368">
        <f>Paramètres!C12</f>
        <v>0.216</v>
      </c>
      <c r="L37" s="367"/>
      <c r="M37" s="367"/>
      <c r="N37" s="366">
        <f>Paramètres!C13*1000</f>
        <v>0</v>
      </c>
      <c r="O37" s="799">
        <v>70</v>
      </c>
      <c r="P37" s="302"/>
      <c r="Q37" s="302"/>
      <c r="R37" s="302"/>
      <c r="S37" s="302"/>
      <c r="T37" s="302"/>
      <c r="U37" s="302"/>
      <c r="V37" s="302"/>
      <c r="W37" s="321"/>
      <c r="X37" s="321"/>
      <c r="Y37" s="321"/>
      <c r="Z37" s="321"/>
      <c r="AA37" s="321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</row>
    <row r="38" spans="2:44" ht="15.6">
      <c r="B38" s="198"/>
      <c r="J38" s="364" t="s">
        <v>12</v>
      </c>
      <c r="K38" s="365">
        <f>Paramètres!D12</f>
        <v>0.218</v>
      </c>
      <c r="L38" s="362"/>
      <c r="M38" s="362"/>
      <c r="N38" s="361">
        <f>Paramètres!D13*1000</f>
        <v>0</v>
      </c>
      <c r="O38" s="800"/>
      <c r="P38" s="302"/>
      <c r="Q38" s="302"/>
      <c r="R38" s="302"/>
      <c r="S38" s="302"/>
      <c r="T38" s="302"/>
      <c r="U38" s="302"/>
      <c r="V38" s="302"/>
      <c r="W38" s="321"/>
      <c r="X38" s="321"/>
      <c r="Y38" s="321"/>
      <c r="Z38" s="321"/>
      <c r="AA38" s="321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</row>
    <row r="39" spans="2:44">
      <c r="J39" s="364" t="s">
        <v>297</v>
      </c>
      <c r="K39" s="365">
        <f>Paramètres!E12/1000/(35.9/0.94/3600)</f>
        <v>0.30700138161559892</v>
      </c>
      <c r="L39" s="362"/>
      <c r="M39" s="362"/>
      <c r="N39" s="361">
        <f>Paramètres!E13/Paramètres!E10*1000</f>
        <v>0</v>
      </c>
      <c r="O39" s="800"/>
      <c r="P39" s="302"/>
      <c r="Q39" s="302"/>
      <c r="R39" s="302"/>
      <c r="S39" s="302"/>
      <c r="T39" s="302"/>
      <c r="U39" s="302"/>
      <c r="V39" s="302"/>
      <c r="W39" s="321"/>
      <c r="X39" s="321"/>
      <c r="Y39" s="321"/>
      <c r="Z39" s="321"/>
      <c r="AA39" s="321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</row>
    <row r="40" spans="2:44" ht="15.6">
      <c r="B40" s="198" t="s">
        <v>298</v>
      </c>
      <c r="J40" s="364" t="s">
        <v>299</v>
      </c>
      <c r="K40" s="365">
        <f>2.9209/1000/(43.77/0.94/3600)</f>
        <v>0.22582420836189168</v>
      </c>
      <c r="L40" s="362"/>
      <c r="M40" s="362"/>
      <c r="N40" s="361"/>
      <c r="O40" s="800"/>
      <c r="P40" s="302"/>
      <c r="Q40" s="302"/>
      <c r="R40" s="302"/>
      <c r="S40" s="302"/>
      <c r="T40" s="302"/>
      <c r="U40" s="302"/>
      <c r="V40" s="302"/>
      <c r="W40" s="321"/>
      <c r="X40" s="321"/>
      <c r="Y40" s="321"/>
      <c r="Z40" s="321"/>
      <c r="AA40" s="321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</row>
    <row r="41" spans="2:44">
      <c r="J41" s="364" t="s">
        <v>300</v>
      </c>
      <c r="K41" s="365">
        <f>3.3679/1000/(35.9/0.94/3600)</f>
        <v>0.31746444568245125</v>
      </c>
      <c r="L41" s="362"/>
      <c r="M41" s="362"/>
      <c r="N41" s="361"/>
      <c r="O41" s="800"/>
      <c r="P41" s="302"/>
      <c r="Q41" s="302"/>
      <c r="R41" s="302"/>
      <c r="S41" s="302"/>
      <c r="T41" s="302"/>
      <c r="U41" s="302"/>
      <c r="V41" s="302"/>
      <c r="W41" s="321"/>
      <c r="X41" s="321"/>
      <c r="Y41" s="321"/>
      <c r="Z41" s="321"/>
      <c r="AA41" s="321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</row>
    <row r="42" spans="2:44" ht="12.9" customHeight="1">
      <c r="B42" s="769"/>
      <c r="C42" s="770"/>
      <c r="D42" s="770"/>
      <c r="E42" s="770"/>
      <c r="F42" s="770"/>
      <c r="G42" s="770"/>
      <c r="H42" s="771"/>
      <c r="J42" s="364" t="s">
        <v>301</v>
      </c>
      <c r="K42" s="365">
        <f>3.0567/1000/(29.31/0.96/3600)</f>
        <v>0.36042153531218019</v>
      </c>
      <c r="L42" s="362"/>
      <c r="M42" s="362"/>
      <c r="N42" s="361"/>
      <c r="O42" s="800"/>
      <c r="P42" s="302"/>
      <c r="Q42" s="302"/>
      <c r="R42" s="302"/>
      <c r="S42" s="302"/>
      <c r="T42" s="302"/>
      <c r="U42" s="302"/>
      <c r="V42" s="302"/>
      <c r="W42" s="321"/>
      <c r="X42" s="321"/>
      <c r="Y42" s="321"/>
      <c r="Z42" s="321"/>
      <c r="AA42" s="321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</row>
    <row r="43" spans="2:44">
      <c r="J43" s="364" t="s">
        <v>302</v>
      </c>
      <c r="K43" s="411">
        <v>0</v>
      </c>
      <c r="L43" s="362"/>
      <c r="M43" s="362"/>
      <c r="N43" s="361"/>
      <c r="O43" s="800"/>
      <c r="P43" s="302"/>
      <c r="Q43" s="302"/>
      <c r="R43" s="302"/>
      <c r="S43" s="302"/>
      <c r="T43" s="302"/>
      <c r="U43" s="302"/>
      <c r="V43" s="302"/>
      <c r="W43" s="321"/>
      <c r="X43" s="321"/>
      <c r="Y43" s="321"/>
      <c r="Z43" s="321"/>
      <c r="AA43" s="321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</row>
    <row r="44" spans="2:44" ht="15.6">
      <c r="B44" s="198" t="s">
        <v>303</v>
      </c>
      <c r="J44" s="364" t="s">
        <v>304</v>
      </c>
      <c r="K44" s="363"/>
      <c r="L44" s="362"/>
      <c r="M44" s="362"/>
      <c r="N44" s="361"/>
      <c r="O44" s="800"/>
      <c r="P44" s="302"/>
      <c r="Q44" s="302"/>
      <c r="R44" s="302"/>
      <c r="S44" s="302"/>
      <c r="T44" s="302"/>
      <c r="U44" s="302"/>
      <c r="V44" s="302"/>
      <c r="W44" s="321"/>
      <c r="X44" s="321"/>
      <c r="Y44" s="321"/>
      <c r="Z44" s="321"/>
      <c r="AA44" s="321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</row>
    <row r="45" spans="2:44" ht="13.8" thickBot="1">
      <c r="J45" s="360" t="s">
        <v>304</v>
      </c>
      <c r="K45" s="359"/>
      <c r="L45" s="358"/>
      <c r="M45" s="358"/>
      <c r="N45" s="357"/>
      <c r="O45" s="801"/>
      <c r="P45" s="302"/>
      <c r="Q45" s="302"/>
      <c r="R45" s="302"/>
      <c r="S45" s="302"/>
      <c r="T45" s="302"/>
      <c r="U45" s="302"/>
      <c r="V45" s="302"/>
      <c r="W45" s="321"/>
      <c r="X45" s="321"/>
      <c r="Y45" s="321"/>
      <c r="Z45" s="321"/>
      <c r="AA45" s="321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</row>
    <row r="46" spans="2:44" ht="25.5" customHeight="1" thickBot="1">
      <c r="B46" s="788"/>
      <c r="C46" s="789"/>
      <c r="D46" s="789"/>
      <c r="E46" s="789"/>
      <c r="F46" s="789"/>
      <c r="G46" s="789"/>
      <c r="H46" s="790"/>
      <c r="J46" s="302"/>
      <c r="K46" s="302"/>
      <c r="L46" s="302"/>
      <c r="M46" s="319"/>
      <c r="N46" s="302"/>
      <c r="O46" s="302"/>
      <c r="P46" s="302"/>
      <c r="Q46" s="302"/>
      <c r="R46" s="302"/>
      <c r="S46" s="302"/>
      <c r="T46" s="302"/>
      <c r="U46" s="302"/>
      <c r="V46" s="302"/>
      <c r="W46" s="321"/>
      <c r="X46" s="321"/>
      <c r="Y46" s="321"/>
      <c r="Z46" s="321"/>
      <c r="AA46" s="321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</row>
    <row r="47" spans="2:44" ht="13.8" thickBot="1">
      <c r="B47" s="197"/>
      <c r="C47" s="197"/>
      <c r="D47" s="197"/>
      <c r="E47" s="197"/>
      <c r="F47" s="197"/>
      <c r="G47" s="197"/>
      <c r="H47" s="197"/>
      <c r="I47" s="1"/>
      <c r="J47" s="302"/>
      <c r="K47" s="302"/>
      <c r="L47" s="302"/>
      <c r="M47" s="356" t="s">
        <v>305</v>
      </c>
      <c r="N47" s="791">
        <f>(((L37-M37)*N37)+((L38-M38)*N38)+((L39-M39)*N39)+((L40-M40)*N40)+((L41-M41)*N41)+((L42-M42)*N42)+((L43-M43)*N43)+((L44-M44)*N44)+((L45-M45)*N45))</f>
        <v>0</v>
      </c>
      <c r="O47" s="792"/>
      <c r="P47" s="302"/>
      <c r="Q47" s="302"/>
      <c r="R47" s="302"/>
      <c r="S47" s="302"/>
      <c r="T47" s="302"/>
      <c r="U47" s="302"/>
      <c r="V47" s="302"/>
      <c r="W47" s="321"/>
      <c r="X47" s="321"/>
      <c r="Y47" s="321"/>
      <c r="Z47" s="321"/>
      <c r="AA47" s="321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</row>
    <row r="48" spans="2:44" ht="16.2" thickBot="1">
      <c r="B48" s="198" t="s">
        <v>306</v>
      </c>
      <c r="C48" s="423"/>
      <c r="D48" s="423"/>
      <c r="E48" s="423"/>
      <c r="F48" s="423"/>
      <c r="G48" s="423"/>
      <c r="H48" s="423"/>
      <c r="I48" s="1"/>
      <c r="J48" s="302"/>
      <c r="K48" s="302"/>
      <c r="L48" s="302"/>
      <c r="M48" s="355" t="s">
        <v>307</v>
      </c>
      <c r="N48" s="791">
        <f>IF(K22="OUI",((((L38-M38)*K38)+((L39-M39)*K39)+((L40-M40)*K40)+((L41-M41)*K41)+((L42-M42)*K42)+((L43-M43)*K43)+((L44-M44)*K44)+((L45-M45)*K45)))*O37,0)</f>
        <v>0</v>
      </c>
      <c r="O48" s="792"/>
      <c r="P48" s="302"/>
      <c r="Q48" s="302"/>
      <c r="R48" s="302"/>
      <c r="S48" s="302"/>
      <c r="T48" s="302"/>
      <c r="U48" s="302"/>
      <c r="V48" s="302"/>
      <c r="W48" s="321"/>
      <c r="X48" s="321"/>
      <c r="Y48" s="321"/>
      <c r="Z48" s="321"/>
      <c r="AA48" s="321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</row>
    <row r="49" spans="2:44">
      <c r="G49" s="196"/>
      <c r="I49" s="1"/>
      <c r="J49" s="302"/>
      <c r="K49" s="302"/>
      <c r="L49" s="302"/>
      <c r="M49" s="354"/>
      <c r="N49" s="353"/>
      <c r="O49" s="353"/>
      <c r="P49" s="302"/>
      <c r="Q49" s="302"/>
      <c r="R49" s="302"/>
      <c r="S49" s="302"/>
      <c r="T49" s="302"/>
      <c r="U49" s="302"/>
      <c r="V49" s="302"/>
      <c r="W49" s="321"/>
      <c r="X49" s="321"/>
      <c r="Y49" s="321"/>
      <c r="Z49" s="321"/>
      <c r="AA49" s="321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</row>
    <row r="50" spans="2:44" ht="17.100000000000001" customHeight="1" thickBot="1">
      <c r="B50" t="str">
        <f>Paramètres!C5</f>
        <v>Electricité 
achetée</v>
      </c>
      <c r="C50" s="448">
        <v>2000000</v>
      </c>
      <c r="D50" t="str">
        <f>Paramètres!C6</f>
        <v>kWh</v>
      </c>
      <c r="G50" s="196"/>
      <c r="J50" s="302"/>
      <c r="K50" s="302"/>
      <c r="L50" s="302"/>
      <c r="M50" s="354"/>
      <c r="N50" s="353"/>
      <c r="O50" s="353"/>
      <c r="P50" s="353"/>
      <c r="Q50" s="353"/>
      <c r="R50" s="302"/>
      <c r="S50" s="302"/>
      <c r="T50" s="302"/>
      <c r="U50" s="302"/>
      <c r="V50" s="302"/>
      <c r="W50" s="302"/>
      <c r="X50" s="302"/>
      <c r="Y50" s="321"/>
      <c r="Z50" s="321"/>
      <c r="AA50" s="321"/>
      <c r="AB50" s="321"/>
      <c r="AC50" s="321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</row>
    <row r="51" spans="2:44" ht="17.100000000000001" customHeight="1" thickBot="1">
      <c r="B51" t="str">
        <f>Paramètres!D5</f>
        <v>Gaz Naturel</v>
      </c>
      <c r="C51" s="448"/>
      <c r="D51" s="145" t="str">
        <f>Paramètres!D6</f>
        <v>kWhs</v>
      </c>
      <c r="G51" s="196"/>
      <c r="H51" s="145"/>
      <c r="J51" s="786" t="s">
        <v>308</v>
      </c>
      <c r="K51" s="793"/>
      <c r="L51" s="793"/>
      <c r="M51" s="793"/>
      <c r="N51" s="793"/>
      <c r="O51" s="793"/>
      <c r="P51" s="793"/>
      <c r="Q51" s="787"/>
      <c r="R51" s="302"/>
      <c r="S51" s="302"/>
      <c r="T51" s="302"/>
      <c r="U51" s="302"/>
      <c r="V51" s="302"/>
      <c r="W51" s="302"/>
      <c r="X51" s="302"/>
      <c r="Y51" s="321"/>
      <c r="Z51" s="321"/>
      <c r="AA51" s="321"/>
      <c r="AB51" s="321"/>
      <c r="AC51" s="321"/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</row>
    <row r="52" spans="2:44" ht="17.100000000000001" customHeight="1">
      <c r="B52" t="str">
        <f>Paramètres!F5</f>
        <v>Biogaz</v>
      </c>
      <c r="C52" s="448"/>
      <c r="D52" s="145" t="str">
        <f>Paramètres!F6</f>
        <v>kWhs</v>
      </c>
      <c r="G52" s="196"/>
      <c r="H52" s="145"/>
      <c r="J52" s="633"/>
      <c r="K52" s="633"/>
      <c r="L52" s="633"/>
      <c r="M52" s="633"/>
      <c r="N52" s="633"/>
      <c r="O52" s="633"/>
      <c r="P52" s="633"/>
      <c r="Q52" s="633"/>
      <c r="R52" s="302"/>
      <c r="S52" s="302"/>
      <c r="T52" s="302"/>
      <c r="U52" s="302"/>
      <c r="V52" s="302"/>
      <c r="W52" s="302"/>
      <c r="X52" s="302"/>
      <c r="Y52" s="321"/>
      <c r="Z52" s="321"/>
      <c r="AA52" s="321"/>
      <c r="AB52" s="321"/>
      <c r="AC52" s="321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</row>
    <row r="53" spans="2:44" ht="17.100000000000001" customHeight="1">
      <c r="B53" t="str">
        <f>Paramètres!G5</f>
        <v>Elec SER</v>
      </c>
      <c r="C53" s="448"/>
      <c r="D53" s="145" t="str">
        <f>Paramètres!G6</f>
        <v>kWh</v>
      </c>
      <c r="G53" s="196"/>
      <c r="H53" s="145"/>
      <c r="J53" s="633"/>
      <c r="K53" s="633"/>
      <c r="L53" s="633"/>
      <c r="M53" s="633"/>
      <c r="N53" s="633"/>
      <c r="O53" s="633"/>
      <c r="P53" s="633"/>
      <c r="Q53" s="633"/>
      <c r="R53" s="302"/>
      <c r="S53" s="302"/>
      <c r="T53" s="302"/>
      <c r="U53" s="302"/>
      <c r="V53" s="302"/>
      <c r="W53" s="302"/>
      <c r="X53" s="302"/>
      <c r="Y53" s="321"/>
      <c r="Z53" s="321"/>
      <c r="AA53" s="321"/>
      <c r="AB53" s="321"/>
      <c r="AC53" s="321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</row>
    <row r="54" spans="2:44" ht="17.100000000000001" customHeight="1" thickBot="1">
      <c r="B54" t="str">
        <f>Paramètres!H5</f>
        <v>Process</v>
      </c>
      <c r="C54" s="448"/>
      <c r="D54" s="145" t="str">
        <f>Paramètres!H6</f>
        <v>kgCO2</v>
      </c>
      <c r="G54" s="196"/>
      <c r="J54" s="802"/>
      <c r="K54" s="802"/>
      <c r="L54" s="802"/>
      <c r="M54" s="802"/>
      <c r="N54" s="8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21"/>
      <c r="AB54" s="321"/>
      <c r="AC54" s="321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</row>
    <row r="55" spans="2:44">
      <c r="C55" s="195"/>
      <c r="J55" s="803" t="s">
        <v>309</v>
      </c>
      <c r="K55" s="806" t="s">
        <v>310</v>
      </c>
      <c r="L55" s="330" t="s">
        <v>311</v>
      </c>
      <c r="M55" s="352"/>
      <c r="N55" s="333" t="s">
        <v>312</v>
      </c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21"/>
      <c r="AB55" s="321"/>
      <c r="AC55" s="321"/>
      <c r="AD55" s="321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</row>
    <row r="56" spans="2:44" ht="16.2" thickBot="1">
      <c r="B56" s="198" t="s">
        <v>313</v>
      </c>
      <c r="C56" s="423"/>
      <c r="D56" s="423"/>
      <c r="E56" s="423"/>
      <c r="F56" s="423"/>
      <c r="G56" s="423"/>
      <c r="H56" s="423"/>
      <c r="J56" s="804"/>
      <c r="K56" s="807"/>
      <c r="L56" s="326" t="s">
        <v>314</v>
      </c>
      <c r="M56" s="327"/>
      <c r="N56" s="326" t="s">
        <v>312</v>
      </c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21"/>
      <c r="AB56" s="321"/>
      <c r="AC56" s="321"/>
      <c r="AD56" s="321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</row>
    <row r="57" spans="2:44">
      <c r="H57" s="178"/>
      <c r="J57" s="804"/>
      <c r="K57" s="807" t="s">
        <v>315</v>
      </c>
      <c r="L57" s="341" t="s">
        <v>316</v>
      </c>
      <c r="M57" s="340"/>
      <c r="N57" s="333" t="s">
        <v>312</v>
      </c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21"/>
      <c r="AB57" s="321"/>
      <c r="AC57" s="321"/>
      <c r="AD57" s="321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</row>
    <row r="58" spans="2:44" ht="13.8" thickBot="1">
      <c r="B58" s="810"/>
      <c r="C58" s="811"/>
      <c r="D58" s="811"/>
      <c r="E58" s="812"/>
      <c r="G58" s="630">
        <v>0</v>
      </c>
      <c r="H58" s="476"/>
      <c r="J58" s="804"/>
      <c r="K58" s="807"/>
      <c r="L58" s="339" t="s">
        <v>317</v>
      </c>
      <c r="M58" s="351"/>
      <c r="N58" s="326" t="s">
        <v>312</v>
      </c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21"/>
      <c r="AB58" s="321"/>
      <c r="AC58" s="321"/>
      <c r="AD58" s="321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</row>
    <row r="59" spans="2:44" ht="13.8" thickBot="1">
      <c r="B59" s="808"/>
      <c r="C59" s="808"/>
      <c r="D59" s="808"/>
      <c r="E59" s="808"/>
      <c r="F59" s="808"/>
      <c r="G59" s="422"/>
      <c r="H59" s="178"/>
      <c r="J59" s="805"/>
      <c r="K59" s="350" t="s">
        <v>318</v>
      </c>
      <c r="L59" s="322" t="s">
        <v>319</v>
      </c>
      <c r="M59" s="349"/>
      <c r="N59" s="331" t="s">
        <v>312</v>
      </c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21"/>
      <c r="AB59" s="321"/>
      <c r="AC59" s="321"/>
      <c r="AD59" s="321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</row>
    <row r="60" spans="2:44" ht="13.8" thickBot="1">
      <c r="B60" s="808"/>
      <c r="C60" s="808"/>
      <c r="D60" s="808"/>
      <c r="E60" s="808"/>
      <c r="F60" s="808"/>
      <c r="G60" s="422"/>
      <c r="H60" s="178"/>
      <c r="J60" s="348"/>
      <c r="K60" s="346"/>
      <c r="L60" s="346"/>
      <c r="M60" s="347"/>
      <c r="N60" s="346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21"/>
      <c r="AB60" s="321"/>
      <c r="AC60" s="321"/>
      <c r="AD60" s="321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</row>
    <row r="61" spans="2:44" ht="13.8" thickBot="1">
      <c r="B61" s="813" t="s">
        <v>320</v>
      </c>
      <c r="C61" s="813"/>
      <c r="D61" s="813"/>
      <c r="E61" s="813"/>
      <c r="F61" s="813"/>
      <c r="G61" s="449">
        <f>SUM(G58:G60)/1000</f>
        <v>0</v>
      </c>
      <c r="H61" s="190"/>
      <c r="J61" s="814" t="s">
        <v>321</v>
      </c>
      <c r="K61" s="344" t="s">
        <v>322</v>
      </c>
      <c r="L61" s="343" t="s">
        <v>323</v>
      </c>
      <c r="M61" s="342"/>
      <c r="N61" s="333" t="s">
        <v>324</v>
      </c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21"/>
      <c r="AB61" s="321"/>
      <c r="AC61" s="321"/>
      <c r="AD61" s="321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</row>
    <row r="62" spans="2:44">
      <c r="B62" s="193"/>
      <c r="C62" s="194"/>
      <c r="D62" s="193"/>
      <c r="E62" s="193"/>
      <c r="F62" s="193"/>
      <c r="J62" s="815"/>
      <c r="K62" s="807" t="s">
        <v>325</v>
      </c>
      <c r="L62" s="341" t="s">
        <v>326</v>
      </c>
      <c r="M62" s="340"/>
      <c r="N62" s="333" t="s">
        <v>324</v>
      </c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21"/>
      <c r="AB62" s="321"/>
      <c r="AC62" s="321"/>
      <c r="AD62" s="321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</row>
    <row r="63" spans="2:44" ht="16.2" thickBot="1">
      <c r="B63" s="198" t="s">
        <v>327</v>
      </c>
      <c r="C63" s="423"/>
      <c r="D63" s="423"/>
      <c r="E63" s="423"/>
      <c r="F63" s="423"/>
      <c r="G63" s="423"/>
      <c r="H63" s="423"/>
      <c r="J63" s="815"/>
      <c r="K63" s="807"/>
      <c r="L63" s="339" t="s">
        <v>328</v>
      </c>
      <c r="M63" s="338"/>
      <c r="N63" s="322" t="s">
        <v>329</v>
      </c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21"/>
      <c r="AB63" s="321"/>
      <c r="AC63" s="321"/>
      <c r="AD63" s="321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</row>
    <row r="64" spans="2:44">
      <c r="B64" s="808"/>
      <c r="C64" s="808"/>
      <c r="D64" s="808"/>
      <c r="E64" s="808"/>
      <c r="F64" s="808"/>
      <c r="G64" s="192"/>
      <c r="H64" s="178" t="s">
        <v>330</v>
      </c>
      <c r="J64" s="815"/>
      <c r="K64" s="807" t="s">
        <v>331</v>
      </c>
      <c r="L64" s="337" t="s">
        <v>332</v>
      </c>
      <c r="M64" s="336">
        <f>N47/1000</f>
        <v>0</v>
      </c>
      <c r="N64" s="333" t="s">
        <v>324</v>
      </c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21"/>
      <c r="AB64" s="321"/>
      <c r="AC64" s="321"/>
      <c r="AD64" s="321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</row>
    <row r="65" spans="2:44" ht="13.8" thickBot="1">
      <c r="B65" s="808"/>
      <c r="C65" s="808"/>
      <c r="D65" s="808"/>
      <c r="E65" s="808"/>
      <c r="F65" s="808"/>
      <c r="G65" s="192"/>
      <c r="H65" s="178" t="s">
        <v>330</v>
      </c>
      <c r="J65" s="815"/>
      <c r="K65" s="809"/>
      <c r="L65" s="328" t="s">
        <v>333</v>
      </c>
      <c r="M65" s="335">
        <f>N48/1000</f>
        <v>0</v>
      </c>
      <c r="N65" s="326" t="s">
        <v>324</v>
      </c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21"/>
      <c r="AB65" s="321"/>
      <c r="AC65" s="321"/>
      <c r="AD65" s="321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</row>
    <row r="66" spans="2:44" ht="13.8" thickBot="1">
      <c r="B66" s="808"/>
      <c r="C66" s="808"/>
      <c r="D66" s="808"/>
      <c r="E66" s="808"/>
      <c r="F66" s="808"/>
      <c r="G66" s="192"/>
      <c r="H66" s="178" t="s">
        <v>330</v>
      </c>
      <c r="J66" s="815"/>
      <c r="K66" s="334" t="s">
        <v>334</v>
      </c>
      <c r="L66" s="333" t="s">
        <v>335</v>
      </c>
      <c r="M66" s="332">
        <v>0</v>
      </c>
      <c r="N66" s="331" t="s">
        <v>324</v>
      </c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21"/>
      <c r="AB66" s="321"/>
      <c r="AC66" s="321"/>
      <c r="AD66" s="321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</row>
    <row r="67" spans="2:44">
      <c r="B67" s="813" t="s">
        <v>336</v>
      </c>
      <c r="C67" s="813"/>
      <c r="D67" s="813"/>
      <c r="E67" s="813"/>
      <c r="F67" s="813"/>
      <c r="G67" s="191">
        <f>SUM(G64:G66)</f>
        <v>0</v>
      </c>
      <c r="H67" s="190" t="s">
        <v>330</v>
      </c>
      <c r="J67" s="815"/>
      <c r="K67" s="817" t="s">
        <v>337</v>
      </c>
      <c r="L67" s="330" t="s">
        <v>338</v>
      </c>
      <c r="M67" s="327"/>
      <c r="N67" s="326" t="s">
        <v>324</v>
      </c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21"/>
      <c r="AB67" s="321"/>
      <c r="AC67" s="321"/>
      <c r="AD67" s="321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</row>
    <row r="68" spans="2:44" ht="26.4">
      <c r="B68" s="423"/>
      <c r="C68" s="423"/>
      <c r="D68" s="423"/>
      <c r="E68" s="423"/>
      <c r="F68" s="423"/>
      <c r="G68" s="423"/>
      <c r="H68" s="423"/>
      <c r="J68" s="815"/>
      <c r="K68" s="807"/>
      <c r="L68" s="328" t="s">
        <v>339</v>
      </c>
      <c r="M68" s="327"/>
      <c r="N68" s="326" t="s">
        <v>324</v>
      </c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21"/>
      <c r="AB68" s="321"/>
      <c r="AC68" s="321"/>
      <c r="AD68" s="321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</row>
    <row r="69" spans="2:44">
      <c r="B69" s="145"/>
      <c r="J69" s="815"/>
      <c r="K69" s="807"/>
      <c r="L69" s="328" t="s">
        <v>340</v>
      </c>
      <c r="M69" s="327"/>
      <c r="N69" s="326" t="s">
        <v>324</v>
      </c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21"/>
      <c r="AB69" s="321"/>
      <c r="AC69" s="321"/>
      <c r="AD69" s="321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</row>
    <row r="70" spans="2:44" ht="18" customHeight="1">
      <c r="B70" s="819" t="s">
        <v>341</v>
      </c>
      <c r="C70" s="820"/>
      <c r="D70" s="820"/>
      <c r="E70" s="820"/>
      <c r="F70" s="820"/>
      <c r="G70" s="820"/>
      <c r="H70" s="821"/>
      <c r="J70" s="815"/>
      <c r="K70" s="807"/>
      <c r="L70" s="328" t="s">
        <v>342</v>
      </c>
      <c r="M70" s="327"/>
      <c r="N70" s="326" t="s">
        <v>324</v>
      </c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21"/>
      <c r="AB70" s="321"/>
      <c r="AC70" s="321"/>
      <c r="AD70" s="321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</row>
    <row r="71" spans="2:44" ht="34.5" customHeight="1">
      <c r="B71" s="186" t="s">
        <v>343</v>
      </c>
      <c r="C71" s="187" t="s">
        <v>344</v>
      </c>
      <c r="D71" s="187" t="s">
        <v>129</v>
      </c>
      <c r="E71" s="822" t="s">
        <v>345</v>
      </c>
      <c r="F71" s="823"/>
      <c r="G71" s="186" t="s">
        <v>346</v>
      </c>
      <c r="H71" s="185"/>
      <c r="J71" s="815"/>
      <c r="K71" s="807"/>
      <c r="L71" s="328" t="s">
        <v>347</v>
      </c>
      <c r="M71" s="327"/>
      <c r="N71" s="326" t="s">
        <v>324</v>
      </c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21"/>
      <c r="AB71" s="321"/>
      <c r="AC71" s="321"/>
      <c r="AD71" s="321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</row>
    <row r="72" spans="2:44" ht="13.8" thickBot="1">
      <c r="B72" s="184" t="str">
        <f t="shared" ref="B72:D76" si="0">+B50</f>
        <v>Electricité 
achetée</v>
      </c>
      <c r="C72" s="183">
        <f t="shared" si="0"/>
        <v>2000000</v>
      </c>
      <c r="D72" t="str">
        <f t="shared" si="0"/>
        <v>kWh</v>
      </c>
      <c r="E72" s="189">
        <f>Paramètres!C10</f>
        <v>1</v>
      </c>
      <c r="F72" s="145" t="str">
        <f>"kWhf/"&amp;D72</f>
        <v>kWhf/kWh</v>
      </c>
      <c r="G72" s="214">
        <f>+C72*E72/1000</f>
        <v>2000</v>
      </c>
      <c r="H72" s="212" t="s">
        <v>233</v>
      </c>
      <c r="J72" s="816"/>
      <c r="K72" s="818"/>
      <c r="L72" s="324" t="s">
        <v>232</v>
      </c>
      <c r="M72" s="323"/>
      <c r="N72" s="322" t="s">
        <v>324</v>
      </c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21"/>
      <c r="AB72" s="321"/>
      <c r="AC72" s="321"/>
      <c r="AD72" s="321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</row>
    <row r="73" spans="2:44" ht="14.4">
      <c r="B73" s="184" t="str">
        <f t="shared" si="0"/>
        <v>Gaz Naturel</v>
      </c>
      <c r="C73" s="183">
        <f t="shared" si="0"/>
        <v>0</v>
      </c>
      <c r="D73" t="str">
        <f t="shared" si="0"/>
        <v>kWhs</v>
      </c>
      <c r="E73" s="189">
        <f>Paramètres!D10</f>
        <v>1</v>
      </c>
      <c r="F73" s="145" t="str">
        <f t="shared" ref="F73:F76" si="1">"kWhf/"&amp;D73</f>
        <v>kWhf/kWhs</v>
      </c>
      <c r="G73" s="214">
        <f>+C73*E73/1000</f>
        <v>0</v>
      </c>
      <c r="H73" s="212" t="s">
        <v>233</v>
      </c>
      <c r="J73" s="320"/>
      <c r="K73" s="302"/>
      <c r="L73" s="302"/>
      <c r="M73" s="319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</row>
    <row r="74" spans="2:44" ht="14.4">
      <c r="B74" s="184" t="str">
        <f t="shared" si="0"/>
        <v>Biogaz</v>
      </c>
      <c r="C74" s="183">
        <f t="shared" si="0"/>
        <v>0</v>
      </c>
      <c r="D74" t="str">
        <f t="shared" si="0"/>
        <v>kWhs</v>
      </c>
      <c r="E74" s="189">
        <f>Paramètres!F10</f>
        <v>1</v>
      </c>
      <c r="F74" s="145" t="str">
        <f t="shared" ref="F74" si="2">"kWhf/"&amp;D74</f>
        <v>kWhf/kWhs</v>
      </c>
      <c r="G74" s="214">
        <f>+C74*E74/1000</f>
        <v>0</v>
      </c>
      <c r="H74" s="212" t="s">
        <v>233</v>
      </c>
      <c r="J74" s="320"/>
      <c r="K74" s="302"/>
      <c r="L74" s="302"/>
      <c r="M74" s="319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</row>
    <row r="75" spans="2:44" ht="14.4">
      <c r="B75" s="184" t="str">
        <f t="shared" si="0"/>
        <v>Elec SER</v>
      </c>
      <c r="C75" s="183">
        <f t="shared" si="0"/>
        <v>0</v>
      </c>
      <c r="D75" t="str">
        <f t="shared" si="0"/>
        <v>kWh</v>
      </c>
      <c r="E75" s="189">
        <f>Paramètres!G10</f>
        <v>1</v>
      </c>
      <c r="F75" s="145" t="str">
        <f t="shared" si="1"/>
        <v>kWhf/kWh</v>
      </c>
      <c r="G75" s="214">
        <f>+C75*E75/1000</f>
        <v>0</v>
      </c>
      <c r="H75" s="212" t="s">
        <v>233</v>
      </c>
      <c r="J75" s="320"/>
      <c r="K75" s="302"/>
      <c r="L75" s="302"/>
      <c r="M75" s="319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</row>
    <row r="76" spans="2:44" ht="15" thickBot="1">
      <c r="B76" s="184" t="str">
        <f t="shared" si="0"/>
        <v>Process</v>
      </c>
      <c r="C76" s="183">
        <f t="shared" si="0"/>
        <v>0</v>
      </c>
      <c r="D76" t="str">
        <f t="shared" si="0"/>
        <v>kgCO2</v>
      </c>
      <c r="E76" s="189">
        <f>Paramètres!H10</f>
        <v>0</v>
      </c>
      <c r="F76" s="145" t="str">
        <f t="shared" si="1"/>
        <v>kWhf/kgCO2</v>
      </c>
      <c r="G76" s="214">
        <f>+C76*E76/1000</f>
        <v>0</v>
      </c>
      <c r="H76" s="212" t="s">
        <v>233</v>
      </c>
      <c r="J76" s="320"/>
      <c r="K76" s="302"/>
      <c r="L76" s="302"/>
      <c r="M76" s="319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</row>
    <row r="77" spans="2:44" ht="16.2" thickBot="1">
      <c r="B77" s="824" t="s">
        <v>348</v>
      </c>
      <c r="C77" s="825"/>
      <c r="D77" s="825"/>
      <c r="E77" s="825"/>
      <c r="F77" s="825"/>
      <c r="G77" s="215">
        <f>SUM(G72:G75)</f>
        <v>2000</v>
      </c>
      <c r="H77" s="213" t="s">
        <v>233</v>
      </c>
      <c r="J77" s="826" t="s">
        <v>349</v>
      </c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7"/>
      <c r="V77" s="827"/>
      <c r="W77" s="827"/>
      <c r="X77" s="827"/>
      <c r="Y77" s="827"/>
      <c r="Z77" s="827"/>
      <c r="AA77" s="827"/>
      <c r="AB77" s="827"/>
      <c r="AC77" s="827"/>
      <c r="AD77" s="827"/>
      <c r="AE77" s="827"/>
      <c r="AF77" s="827"/>
      <c r="AG77" s="827"/>
      <c r="AH77" s="827"/>
      <c r="AI77" s="827"/>
      <c r="AJ77" s="827"/>
      <c r="AK77" s="827"/>
      <c r="AL77" s="827"/>
      <c r="AM77" s="827"/>
      <c r="AN77" s="827"/>
      <c r="AO77" s="827"/>
      <c r="AP77" s="827"/>
      <c r="AQ77" s="827"/>
      <c r="AR77" s="828"/>
    </row>
    <row r="78" spans="2:44" ht="13.8" thickBot="1">
      <c r="B78" s="86"/>
      <c r="C78" s="86"/>
      <c r="D78" s="86"/>
      <c r="E78" s="86"/>
      <c r="F78" s="86"/>
      <c r="G78" s="216">
        <f>G77/'2023'!H35</f>
        <v>2.0833333333333332E-2</v>
      </c>
      <c r="H78" s="228">
        <f>G77/'2023'!T17</f>
        <v>2.0833333333333332E-2</v>
      </c>
      <c r="J78" s="302"/>
      <c r="K78" s="302"/>
      <c r="L78" s="302"/>
      <c r="M78" s="301"/>
      <c r="N78" s="302"/>
      <c r="O78" s="308"/>
      <c r="P78" s="308"/>
      <c r="Q78" s="308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</row>
    <row r="79" spans="2:44" ht="14.4" thickBot="1">
      <c r="B79" s="188"/>
      <c r="C79" s="188"/>
      <c r="D79" s="188"/>
      <c r="E79" s="188"/>
      <c r="F79" s="188"/>
      <c r="G79" s="188"/>
      <c r="H79" s="188"/>
      <c r="J79" s="302"/>
      <c r="K79" s="302"/>
      <c r="L79" s="302"/>
      <c r="M79" s="301"/>
      <c r="N79" s="831" t="s">
        <v>350</v>
      </c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  <c r="AQ79" s="832"/>
      <c r="AR79" s="833"/>
    </row>
    <row r="80" spans="2:44" ht="19.5" customHeight="1" thickBot="1">
      <c r="B80" s="819" t="s">
        <v>351</v>
      </c>
      <c r="C80" s="820"/>
      <c r="D80" s="820"/>
      <c r="E80" s="820"/>
      <c r="F80" s="820"/>
      <c r="G80" s="820"/>
      <c r="H80" s="821"/>
      <c r="J80" s="302"/>
      <c r="K80" s="302"/>
      <c r="L80" s="310"/>
      <c r="M80" s="310"/>
      <c r="N80" s="300">
        <v>0</v>
      </c>
      <c r="O80" s="299">
        <v>1</v>
      </c>
      <c r="P80" s="299">
        <v>2</v>
      </c>
      <c r="Q80" s="299">
        <v>3</v>
      </c>
      <c r="R80" s="299">
        <v>4</v>
      </c>
      <c r="S80" s="299">
        <v>5</v>
      </c>
      <c r="T80" s="299">
        <v>6</v>
      </c>
      <c r="U80" s="299">
        <v>7</v>
      </c>
      <c r="V80" s="299">
        <v>8</v>
      </c>
      <c r="W80" s="299">
        <v>9</v>
      </c>
      <c r="X80" s="299">
        <v>10</v>
      </c>
      <c r="Y80" s="299">
        <v>11</v>
      </c>
      <c r="Z80" s="299">
        <v>12</v>
      </c>
      <c r="AA80" s="299">
        <v>13</v>
      </c>
      <c r="AB80" s="299">
        <v>14</v>
      </c>
      <c r="AC80" s="299">
        <v>15</v>
      </c>
      <c r="AD80" s="299">
        <v>16</v>
      </c>
      <c r="AE80" s="299">
        <v>17</v>
      </c>
      <c r="AF80" s="299">
        <v>18</v>
      </c>
      <c r="AG80" s="299">
        <v>19</v>
      </c>
      <c r="AH80" s="299">
        <v>20</v>
      </c>
      <c r="AI80" s="299">
        <v>21</v>
      </c>
      <c r="AJ80" s="299">
        <v>22</v>
      </c>
      <c r="AK80" s="299">
        <v>23</v>
      </c>
      <c r="AL80" s="299">
        <v>24</v>
      </c>
      <c r="AM80" s="299">
        <v>25</v>
      </c>
      <c r="AN80" s="299">
        <v>26</v>
      </c>
      <c r="AO80" s="299">
        <v>27</v>
      </c>
      <c r="AP80" s="299">
        <v>28</v>
      </c>
      <c r="AQ80" s="299">
        <v>29</v>
      </c>
      <c r="AR80" s="298">
        <v>30</v>
      </c>
    </row>
    <row r="81" spans="2:44" ht="30" customHeight="1">
      <c r="B81" s="186" t="str">
        <f>+B71</f>
        <v>Vecteurs énergétiques</v>
      </c>
      <c r="C81" s="186" t="str">
        <f>+C71</f>
        <v>Quantités</v>
      </c>
      <c r="D81" s="186" t="str">
        <f>+D71</f>
        <v>Unités</v>
      </c>
      <c r="E81" s="834" t="s">
        <v>352</v>
      </c>
      <c r="F81" s="834"/>
      <c r="G81" s="186" t="s">
        <v>353</v>
      </c>
      <c r="H81" s="185"/>
      <c r="J81" s="302"/>
      <c r="K81" s="302"/>
      <c r="L81" s="835" t="s">
        <v>354</v>
      </c>
      <c r="M81" s="297" t="s">
        <v>311</v>
      </c>
      <c r="N81" s="296">
        <f>(M55)</f>
        <v>0</v>
      </c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7"/>
    </row>
    <row r="82" spans="2:44" ht="16.2" thickBot="1">
      <c r="B82" s="184" t="str">
        <f>+B72</f>
        <v>Electricité 
achetée</v>
      </c>
      <c r="C82" s="183">
        <f t="shared" ref="C82:D86" si="3">C72</f>
        <v>2000000</v>
      </c>
      <c r="D82" s="183" t="str">
        <f t="shared" si="3"/>
        <v>kWh</v>
      </c>
      <c r="E82" s="211">
        <f>Paramètres!C$12</f>
        <v>0.216</v>
      </c>
      <c r="F82" s="145" t="str">
        <f>"kgCO2/"&amp;D82</f>
        <v>kgCO2/kWh</v>
      </c>
      <c r="G82" s="182">
        <f>+C82*E82</f>
        <v>432000</v>
      </c>
      <c r="H82" s="181" t="s">
        <v>355</v>
      </c>
      <c r="J82" s="302"/>
      <c r="K82" s="302"/>
      <c r="L82" s="836"/>
      <c r="M82" s="310" t="s">
        <v>314</v>
      </c>
      <c r="N82" s="290">
        <f>M56</f>
        <v>0</v>
      </c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16"/>
    </row>
    <row r="83" spans="2:44" ht="15.6">
      <c r="B83" s="184" t="str">
        <f>+B73</f>
        <v>Gaz Naturel</v>
      </c>
      <c r="C83" s="183">
        <f t="shared" si="3"/>
        <v>0</v>
      </c>
      <c r="D83" s="183" t="str">
        <f t="shared" si="3"/>
        <v>kWhs</v>
      </c>
      <c r="E83" s="211">
        <f>Paramètres!D$12</f>
        <v>0.218</v>
      </c>
      <c r="F83" s="145" t="str">
        <f t="shared" ref="F83:F86" si="4">"kgCO2/"&amp;D83</f>
        <v>kgCO2/kWhs</v>
      </c>
      <c r="G83" s="182">
        <f>+C83*E83</f>
        <v>0</v>
      </c>
      <c r="H83" s="181" t="s">
        <v>355</v>
      </c>
      <c r="I83" s="81"/>
      <c r="J83" s="302"/>
      <c r="K83" s="302"/>
      <c r="L83" s="837" t="s">
        <v>356</v>
      </c>
      <c r="M83" s="297" t="s">
        <v>357</v>
      </c>
      <c r="N83" s="290">
        <f>M57+M58</f>
        <v>0</v>
      </c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16"/>
    </row>
    <row r="84" spans="2:44" ht="15.6">
      <c r="B84" s="184" t="str">
        <f>+B74</f>
        <v>Biogaz</v>
      </c>
      <c r="C84" s="183">
        <f t="shared" si="3"/>
        <v>0</v>
      </c>
      <c r="D84" s="183" t="str">
        <f t="shared" si="3"/>
        <v>kWhs</v>
      </c>
      <c r="E84" s="211">
        <f>Paramètres!F$12</f>
        <v>0</v>
      </c>
      <c r="F84" s="145" t="str">
        <f t="shared" ref="F84" si="5">"kgCO2/"&amp;D84</f>
        <v>kgCO2/kWhs</v>
      </c>
      <c r="G84" s="182">
        <f>+C84*E84</f>
        <v>0</v>
      </c>
      <c r="H84" s="181" t="s">
        <v>355</v>
      </c>
      <c r="I84" s="81"/>
      <c r="J84" s="302"/>
      <c r="K84" s="302"/>
      <c r="L84" s="836"/>
      <c r="M84" s="310"/>
      <c r="N84" s="290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16"/>
    </row>
    <row r="85" spans="2:44" ht="16.2" thickBot="1">
      <c r="B85" s="184" t="str">
        <f>+B75</f>
        <v>Elec SER</v>
      </c>
      <c r="C85" s="183">
        <f t="shared" si="3"/>
        <v>0</v>
      </c>
      <c r="D85" s="183" t="str">
        <f t="shared" si="3"/>
        <v>kWh</v>
      </c>
      <c r="E85" s="211">
        <f>Paramètres!G$12</f>
        <v>0</v>
      </c>
      <c r="F85" s="145" t="str">
        <f t="shared" si="4"/>
        <v>kgCO2/kWh</v>
      </c>
      <c r="G85" s="182">
        <f>+C85*E85</f>
        <v>0</v>
      </c>
      <c r="H85" s="181" t="s">
        <v>355</v>
      </c>
      <c r="J85" s="302"/>
      <c r="K85" s="302"/>
      <c r="L85" s="838"/>
      <c r="M85" s="315" t="s">
        <v>358</v>
      </c>
      <c r="N85" s="278"/>
      <c r="O85" s="277" t="str">
        <f t="shared" ref="O85:Y85" si="6">IF(O80&lt;=$M$63,$M$62,"")</f>
        <v/>
      </c>
      <c r="P85" s="277" t="str">
        <f t="shared" si="6"/>
        <v/>
      </c>
      <c r="Q85" s="277" t="str">
        <f t="shared" si="6"/>
        <v/>
      </c>
      <c r="R85" s="277" t="str">
        <f t="shared" si="6"/>
        <v/>
      </c>
      <c r="S85" s="277" t="str">
        <f t="shared" si="6"/>
        <v/>
      </c>
      <c r="T85" s="277" t="str">
        <f t="shared" si="6"/>
        <v/>
      </c>
      <c r="U85" s="277" t="str">
        <f t="shared" si="6"/>
        <v/>
      </c>
      <c r="V85" s="277" t="str">
        <f t="shared" si="6"/>
        <v/>
      </c>
      <c r="W85" s="277" t="str">
        <f t="shared" si="6"/>
        <v/>
      </c>
      <c r="X85" s="277" t="str">
        <f t="shared" si="6"/>
        <v/>
      </c>
      <c r="Y85" s="277" t="str">
        <f t="shared" si="6"/>
        <v/>
      </c>
      <c r="Z85" s="277" t="str">
        <f t="shared" ref="Z85:AR85" si="7">IF(X80&lt;=$M$63,$M$62,"")</f>
        <v/>
      </c>
      <c r="AA85" s="277" t="str">
        <f t="shared" si="7"/>
        <v/>
      </c>
      <c r="AB85" s="277" t="str">
        <f t="shared" si="7"/>
        <v/>
      </c>
      <c r="AC85" s="277" t="str">
        <f t="shared" si="7"/>
        <v/>
      </c>
      <c r="AD85" s="277" t="str">
        <f t="shared" si="7"/>
        <v/>
      </c>
      <c r="AE85" s="277" t="str">
        <f t="shared" si="7"/>
        <v/>
      </c>
      <c r="AF85" s="277" t="str">
        <f t="shared" si="7"/>
        <v/>
      </c>
      <c r="AG85" s="277" t="str">
        <f t="shared" si="7"/>
        <v/>
      </c>
      <c r="AH85" s="277" t="str">
        <f t="shared" si="7"/>
        <v/>
      </c>
      <c r="AI85" s="277" t="str">
        <f t="shared" si="7"/>
        <v/>
      </c>
      <c r="AJ85" s="277" t="str">
        <f t="shared" si="7"/>
        <v/>
      </c>
      <c r="AK85" s="277" t="str">
        <f t="shared" si="7"/>
        <v/>
      </c>
      <c r="AL85" s="277" t="str">
        <f t="shared" si="7"/>
        <v/>
      </c>
      <c r="AM85" s="277" t="str">
        <f t="shared" si="7"/>
        <v/>
      </c>
      <c r="AN85" s="277" t="str">
        <f t="shared" si="7"/>
        <v/>
      </c>
      <c r="AO85" s="277" t="str">
        <f t="shared" si="7"/>
        <v/>
      </c>
      <c r="AP85" s="277" t="str">
        <f t="shared" si="7"/>
        <v/>
      </c>
      <c r="AQ85" s="277" t="str">
        <f t="shared" si="7"/>
        <v/>
      </c>
      <c r="AR85" s="276" t="str">
        <f t="shared" si="7"/>
        <v/>
      </c>
    </row>
    <row r="86" spans="2:44" ht="16.2" thickBot="1">
      <c r="B86" s="184" t="str">
        <f>+B76</f>
        <v>Process</v>
      </c>
      <c r="C86" s="183">
        <f t="shared" si="3"/>
        <v>0</v>
      </c>
      <c r="D86" s="183" t="str">
        <f t="shared" si="3"/>
        <v>kgCO2</v>
      </c>
      <c r="E86" s="211">
        <f>Paramètres!H$12</f>
        <v>1</v>
      </c>
      <c r="F86" s="145" t="str">
        <f t="shared" si="4"/>
        <v>kgCO2/kgCO2</v>
      </c>
      <c r="G86" s="182">
        <f>+C86*E86</f>
        <v>0</v>
      </c>
      <c r="H86" s="181" t="s">
        <v>355</v>
      </c>
      <c r="J86" s="302"/>
      <c r="K86" s="302"/>
      <c r="L86" s="312"/>
      <c r="M86" s="292"/>
      <c r="N86" s="278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6"/>
    </row>
    <row r="87" spans="2:44" ht="16.2" thickBot="1">
      <c r="B87" s="824" t="s">
        <v>359</v>
      </c>
      <c r="C87" s="825"/>
      <c r="D87" s="825"/>
      <c r="E87" s="825"/>
      <c r="F87" s="825"/>
      <c r="G87" s="180">
        <f>SUM(G82:G85)</f>
        <v>432000</v>
      </c>
      <c r="H87" s="179" t="s">
        <v>355</v>
      </c>
      <c r="J87" s="302"/>
      <c r="K87" s="302"/>
      <c r="L87" s="314" t="s">
        <v>360</v>
      </c>
      <c r="M87" s="313" t="s">
        <v>360</v>
      </c>
      <c r="N87" s="278"/>
      <c r="O87" s="277">
        <f>IF(O80&lt;=$K$16,($M$61+$M$64+$M$65+$M$66+$M$67+$M$68+$M$69+$M$70+$M$71+$M$72),"")</f>
        <v>0</v>
      </c>
      <c r="P87" s="277">
        <f>IF(P80&lt;=$K$16,('AA6'!O87*(1+Paramètres!$B$20)),"")</f>
        <v>0</v>
      </c>
      <c r="Q87" s="277">
        <f>IF(Q80&lt;=$K$16,('AA6'!P87*(1+Paramètres!$B$20)),"")</f>
        <v>0</v>
      </c>
      <c r="R87" s="277">
        <f>IF(R80&lt;=$K$16,('AA6'!Q87*(1+Paramètres!$B$20)),"")</f>
        <v>0</v>
      </c>
      <c r="S87" s="277">
        <f>IF(S80&lt;=$K$16,('AA6'!R87*(1+Paramètres!$B$20)),"")</f>
        <v>0</v>
      </c>
      <c r="T87" s="277">
        <f>IF(T80&lt;=$K$16,('AA6'!S87*(1+Paramètres!$B$20)),"")</f>
        <v>0</v>
      </c>
      <c r="U87" s="277">
        <f>IF(U80&lt;=$K$16,('AA6'!T87*(1+Paramètres!$B$20)),"")</f>
        <v>0</v>
      </c>
      <c r="V87" s="277">
        <f>IF(V80&lt;=$K$16,('AA6'!U87*(1+Paramètres!$B$20)),"")</f>
        <v>0</v>
      </c>
      <c r="W87" s="277">
        <f>IF(W80&lt;=$K$16,('AA6'!V87*(1+Paramètres!$B$20)),"")</f>
        <v>0</v>
      </c>
      <c r="X87" s="277">
        <f>IF(X80&lt;=$K$16,('AA6'!W87*(1+Paramètres!$B$20)),"")</f>
        <v>0</v>
      </c>
      <c r="Y87" s="277">
        <f>IF(Y80&lt;=$K$16,('AA6'!X87*(1+Paramètres!$B$20)),"")</f>
        <v>0</v>
      </c>
      <c r="Z87" s="277">
        <f>IF(Z80&lt;=$K$16,('AA6'!Y87*(1+Paramètres!$B$20)),"")</f>
        <v>0</v>
      </c>
      <c r="AA87" s="277">
        <f>IF(AA80&lt;=$K$16,('AA6'!Z87*(1+Paramètres!$B$20)),"")</f>
        <v>0</v>
      </c>
      <c r="AB87" s="277">
        <f>IF(AB80&lt;=$K$16,('AA6'!AA87*(1+Paramètres!$B$20)),"")</f>
        <v>0</v>
      </c>
      <c r="AC87" s="277">
        <f>IF(AC80&lt;=$K$16,('AA6'!AB87*(1+Paramètres!$B$20)),"")</f>
        <v>0</v>
      </c>
      <c r="AD87" s="277" t="str">
        <f>IF(AD80&lt;=$K$16,('AA6'!AC87*(1+Paramètres!$B$20)),"")</f>
        <v/>
      </c>
      <c r="AE87" s="277" t="str">
        <f>IF(AE80&lt;=$K$16,('AA6'!AD87*(1+Paramètres!$B$20)),"")</f>
        <v/>
      </c>
      <c r="AF87" s="277" t="str">
        <f>IF(AF80&lt;=$K$16,('AA6'!AE87*(1+Paramètres!$B$20)),"")</f>
        <v/>
      </c>
      <c r="AG87" s="277" t="str">
        <f>IF(AG80&lt;=$K$16,('AA6'!AF87*(1+Paramètres!$B$20)),"")</f>
        <v/>
      </c>
      <c r="AH87" s="277" t="str">
        <f>IF(AH80&lt;=$K$16,('AA6'!AG87*(1+Paramètres!$B$20)),"")</f>
        <v/>
      </c>
      <c r="AI87" s="277" t="str">
        <f>IF(AI80&lt;=$K$16,('AA6'!AH87*(1+Paramètres!$B$20)),"")</f>
        <v/>
      </c>
      <c r="AJ87" s="277" t="str">
        <f>IF(AJ80&lt;=$K$16,('AA6'!AI87*(1+Paramètres!$B$20)),"")</f>
        <v/>
      </c>
      <c r="AK87" s="277" t="str">
        <f>IF(AK80&lt;=$K$16,('AA6'!AJ87*(1+Paramètres!$B$20)),"")</f>
        <v/>
      </c>
      <c r="AL87" s="277" t="str">
        <f>IF(AL80&lt;=$K$16,('AA6'!AK87*(1+Paramètres!$B$20)),"")</f>
        <v/>
      </c>
      <c r="AM87" s="277" t="str">
        <f>IF(AM80&lt;=$K$16,('AA6'!AL87*(1+Paramètres!$B$20)),"")</f>
        <v/>
      </c>
      <c r="AN87" s="277" t="str">
        <f>IF(AN80&lt;=$K$16,('AA6'!AM87*(1+Paramètres!$B$20)),"")</f>
        <v/>
      </c>
      <c r="AO87" s="277" t="str">
        <f>IF(AO80&lt;=$K$16,('AA6'!AN87*(1+Paramètres!$B$20)),"")</f>
        <v/>
      </c>
      <c r="AP87" s="277" t="str">
        <f>IF(AP80&lt;=$K$16,('AA6'!AO87*(1+Paramètres!$B$20)),"")</f>
        <v/>
      </c>
      <c r="AQ87" s="277" t="str">
        <f>IF(AQ80&lt;=$K$16,('AA6'!AP87*(1+Paramètres!$B$20)),"")</f>
        <v/>
      </c>
      <c r="AR87" s="276" t="str">
        <f>IF(AR80&lt;=$K$16,('AA6'!AQ87*(1+Paramètres!$B$20)),"")</f>
        <v/>
      </c>
    </row>
    <row r="88" spans="2:44" ht="13.8" thickBot="1">
      <c r="G88" s="217">
        <f>G87/'2023'!H36</f>
        <v>1.576067128785115E-2</v>
      </c>
      <c r="H88" s="144">
        <f>G87/'2023'!H36</f>
        <v>1.576067128785115E-2</v>
      </c>
      <c r="J88" s="302"/>
      <c r="K88" s="302"/>
      <c r="L88" s="312" t="s">
        <v>361</v>
      </c>
      <c r="M88" s="292" t="s">
        <v>319</v>
      </c>
      <c r="N88" s="265" t="str">
        <f t="shared" ref="N88:AR88" si="8">IF(N80=$K$16,$M$59,"")</f>
        <v/>
      </c>
      <c r="O88" s="264" t="str">
        <f t="shared" si="8"/>
        <v/>
      </c>
      <c r="P88" s="264" t="str">
        <f t="shared" si="8"/>
        <v/>
      </c>
      <c r="Q88" s="264" t="str">
        <f t="shared" si="8"/>
        <v/>
      </c>
      <c r="R88" s="264" t="str">
        <f t="shared" si="8"/>
        <v/>
      </c>
      <c r="S88" s="264" t="str">
        <f t="shared" si="8"/>
        <v/>
      </c>
      <c r="T88" s="264" t="str">
        <f t="shared" si="8"/>
        <v/>
      </c>
      <c r="U88" s="264" t="str">
        <f t="shared" si="8"/>
        <v/>
      </c>
      <c r="V88" s="264" t="str">
        <f t="shared" si="8"/>
        <v/>
      </c>
      <c r="W88" s="264" t="str">
        <f t="shared" si="8"/>
        <v/>
      </c>
      <c r="X88" s="264" t="str">
        <f t="shared" si="8"/>
        <v/>
      </c>
      <c r="Y88" s="264" t="str">
        <f t="shared" si="8"/>
        <v/>
      </c>
      <c r="Z88" s="264" t="str">
        <f t="shared" si="8"/>
        <v/>
      </c>
      <c r="AA88" s="264" t="str">
        <f t="shared" si="8"/>
        <v/>
      </c>
      <c r="AB88" s="264" t="str">
        <f t="shared" si="8"/>
        <v/>
      </c>
      <c r="AC88" s="264">
        <f t="shared" si="8"/>
        <v>0</v>
      </c>
      <c r="AD88" s="264" t="str">
        <f t="shared" si="8"/>
        <v/>
      </c>
      <c r="AE88" s="264" t="str">
        <f t="shared" si="8"/>
        <v/>
      </c>
      <c r="AF88" s="264" t="str">
        <f t="shared" si="8"/>
        <v/>
      </c>
      <c r="AG88" s="264" t="str">
        <f t="shared" si="8"/>
        <v/>
      </c>
      <c r="AH88" s="264" t="str">
        <f t="shared" si="8"/>
        <v/>
      </c>
      <c r="AI88" s="264" t="str">
        <f t="shared" si="8"/>
        <v/>
      </c>
      <c r="AJ88" s="264" t="str">
        <f t="shared" si="8"/>
        <v/>
      </c>
      <c r="AK88" s="264" t="str">
        <f t="shared" si="8"/>
        <v/>
      </c>
      <c r="AL88" s="264" t="str">
        <f t="shared" si="8"/>
        <v/>
      </c>
      <c r="AM88" s="264" t="str">
        <f t="shared" si="8"/>
        <v/>
      </c>
      <c r="AN88" s="264" t="str">
        <f t="shared" si="8"/>
        <v/>
      </c>
      <c r="AO88" s="264" t="str">
        <f t="shared" si="8"/>
        <v/>
      </c>
      <c r="AP88" s="264" t="str">
        <f t="shared" si="8"/>
        <v/>
      </c>
      <c r="AQ88" s="264" t="str">
        <f t="shared" si="8"/>
        <v/>
      </c>
      <c r="AR88" s="263" t="str">
        <f t="shared" si="8"/>
        <v/>
      </c>
    </row>
    <row r="89" spans="2:44" ht="13.8" thickBot="1">
      <c r="J89" s="302"/>
      <c r="K89" s="302"/>
      <c r="L89" s="839" t="s">
        <v>362</v>
      </c>
      <c r="M89" s="840"/>
      <c r="N89" s="260" t="str">
        <f t="shared" ref="N89:AR89" si="9">IF(SUM(N81:N88)=0,"",SUM(N81:N88))</f>
        <v/>
      </c>
      <c r="O89" s="259" t="str">
        <f t="shared" si="9"/>
        <v/>
      </c>
      <c r="P89" s="259" t="str">
        <f t="shared" si="9"/>
        <v/>
      </c>
      <c r="Q89" s="259" t="str">
        <f t="shared" si="9"/>
        <v/>
      </c>
      <c r="R89" s="259" t="str">
        <f t="shared" si="9"/>
        <v/>
      </c>
      <c r="S89" s="259" t="str">
        <f t="shared" si="9"/>
        <v/>
      </c>
      <c r="T89" s="259" t="str">
        <f t="shared" si="9"/>
        <v/>
      </c>
      <c r="U89" s="259" t="str">
        <f t="shared" si="9"/>
        <v/>
      </c>
      <c r="V89" s="259" t="str">
        <f t="shared" si="9"/>
        <v/>
      </c>
      <c r="W89" s="259" t="str">
        <f t="shared" si="9"/>
        <v/>
      </c>
      <c r="X89" s="259" t="str">
        <f t="shared" si="9"/>
        <v/>
      </c>
      <c r="Y89" s="259" t="str">
        <f t="shared" si="9"/>
        <v/>
      </c>
      <c r="Z89" s="259" t="str">
        <f t="shared" si="9"/>
        <v/>
      </c>
      <c r="AA89" s="259" t="str">
        <f t="shared" si="9"/>
        <v/>
      </c>
      <c r="AB89" s="259" t="str">
        <f t="shared" si="9"/>
        <v/>
      </c>
      <c r="AC89" s="259" t="str">
        <f t="shared" si="9"/>
        <v/>
      </c>
      <c r="AD89" s="259" t="str">
        <f t="shared" si="9"/>
        <v/>
      </c>
      <c r="AE89" s="259" t="str">
        <f t="shared" si="9"/>
        <v/>
      </c>
      <c r="AF89" s="259" t="str">
        <f t="shared" si="9"/>
        <v/>
      </c>
      <c r="AG89" s="259" t="str">
        <f t="shared" si="9"/>
        <v/>
      </c>
      <c r="AH89" s="259" t="str">
        <f t="shared" si="9"/>
        <v/>
      </c>
      <c r="AI89" s="259" t="str">
        <f t="shared" si="9"/>
        <v/>
      </c>
      <c r="AJ89" s="259" t="str">
        <f t="shared" si="9"/>
        <v/>
      </c>
      <c r="AK89" s="259" t="str">
        <f t="shared" si="9"/>
        <v/>
      </c>
      <c r="AL89" s="259" t="str">
        <f t="shared" si="9"/>
        <v/>
      </c>
      <c r="AM89" s="259" t="str">
        <f t="shared" si="9"/>
        <v/>
      </c>
      <c r="AN89" s="259" t="str">
        <f t="shared" si="9"/>
        <v/>
      </c>
      <c r="AO89" s="259" t="str">
        <f t="shared" si="9"/>
        <v/>
      </c>
      <c r="AP89" s="259" t="str">
        <f t="shared" si="9"/>
        <v/>
      </c>
      <c r="AQ89" s="259" t="str">
        <f t="shared" si="9"/>
        <v/>
      </c>
      <c r="AR89" s="258" t="str">
        <f t="shared" si="9"/>
        <v/>
      </c>
    </row>
    <row r="90" spans="2:44" ht="13.8" thickBot="1">
      <c r="J90" s="302"/>
      <c r="K90" s="302"/>
      <c r="L90" s="841" t="s">
        <v>363</v>
      </c>
      <c r="M90" s="842"/>
      <c r="N90" s="260" t="str">
        <f>IF(N89="","",((N89)/(1+Paramètres!$B$19)^N80))</f>
        <v/>
      </c>
      <c r="O90" s="259" t="str">
        <f>IF(O89="","",((O89)/(1+Paramètres!$B$19)^O80))</f>
        <v/>
      </c>
      <c r="P90" s="259" t="str">
        <f>IF(P89="","",((P89)/(1+Paramètres!$B$19)^P80))</f>
        <v/>
      </c>
      <c r="Q90" s="259" t="str">
        <f>IF(Q89="","",((Q89)/(1+Paramètres!$B$19)^Q80))</f>
        <v/>
      </c>
      <c r="R90" s="259" t="str">
        <f>IF(R89="","",((R89)/(1+Paramètres!$B$19)^R80))</f>
        <v/>
      </c>
      <c r="S90" s="259" t="str">
        <f>IF(S89="","",((S89)/(1+Paramètres!$B$19)^S80))</f>
        <v/>
      </c>
      <c r="T90" s="259" t="str">
        <f>IF(T89="","",((T89)/(1+Paramètres!$B$19)^T80))</f>
        <v/>
      </c>
      <c r="U90" s="259" t="str">
        <f>IF(U89="","",((U89)/(1+Paramètres!$B$19)^U80))</f>
        <v/>
      </c>
      <c r="V90" s="259" t="str">
        <f>IF(V89="","",((V89)/(1+Paramètres!$B$19)^V80))</f>
        <v/>
      </c>
      <c r="W90" s="259" t="str">
        <f>IF(W89="","",((W89)/(1+Paramètres!$B$19)^W80))</f>
        <v/>
      </c>
      <c r="X90" s="259" t="str">
        <f>IF(X89="","",((X89)/(1+Paramètres!$B$19)^X80))</f>
        <v/>
      </c>
      <c r="Y90" s="259" t="str">
        <f>IF(Y89="","",((Y89)/(1+Paramètres!$B$19)^Y80))</f>
        <v/>
      </c>
      <c r="Z90" s="259" t="str">
        <f>IF(Z89="","",((Z89)/(1+Paramètres!$B$19)^Z80))</f>
        <v/>
      </c>
      <c r="AA90" s="259" t="str">
        <f>IF(AA89="","",((AA89)/(1+Paramètres!$B$19)^AA80))</f>
        <v/>
      </c>
      <c r="AB90" s="259" t="str">
        <f>IF(AB89="","",((AB89)/(1+Paramètres!$B$19)^AB80))</f>
        <v/>
      </c>
      <c r="AC90" s="259" t="str">
        <f>IF(AC89="","",((AC89)/(1+Paramètres!$B$19)^AC80))</f>
        <v/>
      </c>
      <c r="AD90" s="259" t="str">
        <f>IF(AD89="","",((AD89)/(1+Paramètres!$B$19)^AD80))</f>
        <v/>
      </c>
      <c r="AE90" s="259" t="str">
        <f>IF(AE89="","",((AE89)/(1+Paramètres!$B$19)^AE80))</f>
        <v/>
      </c>
      <c r="AF90" s="259" t="str">
        <f>IF(AF89="","",((AF89)/(1+Paramètres!$B$19)^AF80))</f>
        <v/>
      </c>
      <c r="AG90" s="259" t="str">
        <f>IF(AG89="","",((AG89)/(1+Paramètres!$B$19)^AG80))</f>
        <v/>
      </c>
      <c r="AH90" s="259" t="str">
        <f>IF(AH89="","",((AH89)/(1+Paramètres!$B$19)^AH80))</f>
        <v/>
      </c>
      <c r="AI90" s="259" t="str">
        <f>IF(AI89="","",((AI89)/(1+Paramètres!$B$19)^AI80))</f>
        <v/>
      </c>
      <c r="AJ90" s="259" t="str">
        <f>IF(AJ89="","",((AJ89)/(1+Paramètres!$B$19)^AJ80))</f>
        <v/>
      </c>
      <c r="AK90" s="259" t="str">
        <f>IF(AK89="","",((AK89)/(1+Paramètres!$B$19)^AK80))</f>
        <v/>
      </c>
      <c r="AL90" s="259" t="str">
        <f>IF(AL89="","",((AL89)/(1+Paramètres!$B$19)^AL80))</f>
        <v/>
      </c>
      <c r="AM90" s="259" t="str">
        <f>IF(AM89="","",((AM89)/(1+Paramètres!$B$19)^AM80))</f>
        <v/>
      </c>
      <c r="AN90" s="259" t="str">
        <f>IF(AN89="","",((AN89)/(1+Paramètres!$B$19)^AN80))</f>
        <v/>
      </c>
      <c r="AO90" s="259" t="str">
        <f>IF(AO89="","",((AO89)/(1+Paramètres!$B$19)^AO80))</f>
        <v/>
      </c>
      <c r="AP90" s="259" t="str">
        <f>IF(AP89="","",((AP89)/(1+Paramètres!$B$19)^AP80))</f>
        <v/>
      </c>
      <c r="AQ90" s="259" t="str">
        <f>IF(AQ89="","",((AQ89)/(1+Paramètres!$B$19)^AQ80))</f>
        <v/>
      </c>
      <c r="AR90" s="258" t="str">
        <f>IF(AR89="","",((AR89)/(1+Paramètres!$B$19)^AR80))</f>
        <v/>
      </c>
    </row>
    <row r="91" spans="2:44" ht="13.8" thickBot="1">
      <c r="J91" s="302"/>
      <c r="K91" s="302"/>
      <c r="L91" s="841" t="s">
        <v>364</v>
      </c>
      <c r="M91" s="842"/>
      <c r="N91" s="257" t="str">
        <f>N90</f>
        <v/>
      </c>
      <c r="O91" s="256" t="str">
        <f t="shared" ref="O91:AR91" si="10">IF(O90="","",((N91+O90)))</f>
        <v/>
      </c>
      <c r="P91" s="256" t="str">
        <f t="shared" si="10"/>
        <v/>
      </c>
      <c r="Q91" s="256" t="str">
        <f t="shared" si="10"/>
        <v/>
      </c>
      <c r="R91" s="256" t="str">
        <f t="shared" si="10"/>
        <v/>
      </c>
      <c r="S91" s="256" t="str">
        <f t="shared" si="10"/>
        <v/>
      </c>
      <c r="T91" s="256" t="str">
        <f t="shared" si="10"/>
        <v/>
      </c>
      <c r="U91" s="256" t="str">
        <f t="shared" si="10"/>
        <v/>
      </c>
      <c r="V91" s="256" t="str">
        <f t="shared" si="10"/>
        <v/>
      </c>
      <c r="W91" s="256" t="str">
        <f t="shared" si="10"/>
        <v/>
      </c>
      <c r="X91" s="256" t="str">
        <f t="shared" si="10"/>
        <v/>
      </c>
      <c r="Y91" s="256" t="str">
        <f t="shared" si="10"/>
        <v/>
      </c>
      <c r="Z91" s="256" t="str">
        <f t="shared" si="10"/>
        <v/>
      </c>
      <c r="AA91" s="256" t="str">
        <f t="shared" si="10"/>
        <v/>
      </c>
      <c r="AB91" s="256" t="str">
        <f t="shared" si="10"/>
        <v/>
      </c>
      <c r="AC91" s="256" t="str">
        <f t="shared" si="10"/>
        <v/>
      </c>
      <c r="AD91" s="256" t="str">
        <f t="shared" si="10"/>
        <v/>
      </c>
      <c r="AE91" s="256" t="str">
        <f t="shared" si="10"/>
        <v/>
      </c>
      <c r="AF91" s="256" t="str">
        <f t="shared" si="10"/>
        <v/>
      </c>
      <c r="AG91" s="256" t="str">
        <f t="shared" si="10"/>
        <v/>
      </c>
      <c r="AH91" s="256" t="str">
        <f t="shared" si="10"/>
        <v/>
      </c>
      <c r="AI91" s="256" t="str">
        <f t="shared" si="10"/>
        <v/>
      </c>
      <c r="AJ91" s="256" t="str">
        <f t="shared" si="10"/>
        <v/>
      </c>
      <c r="AK91" s="256" t="str">
        <f t="shared" si="10"/>
        <v/>
      </c>
      <c r="AL91" s="256" t="str">
        <f t="shared" si="10"/>
        <v/>
      </c>
      <c r="AM91" s="256" t="str">
        <f t="shared" si="10"/>
        <v/>
      </c>
      <c r="AN91" s="256" t="str">
        <f t="shared" si="10"/>
        <v/>
      </c>
      <c r="AO91" s="256" t="str">
        <f t="shared" si="10"/>
        <v/>
      </c>
      <c r="AP91" s="256" t="str">
        <f t="shared" si="10"/>
        <v/>
      </c>
      <c r="AQ91" s="256" t="str">
        <f t="shared" si="10"/>
        <v/>
      </c>
      <c r="AR91" s="255" t="str">
        <f t="shared" si="10"/>
        <v/>
      </c>
    </row>
    <row r="92" spans="2:44" ht="13.8" thickBot="1">
      <c r="J92" s="302"/>
      <c r="K92" s="302"/>
      <c r="L92" s="302"/>
      <c r="M92" s="302"/>
      <c r="N92" s="302"/>
      <c r="O92" s="301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</row>
    <row r="93" spans="2:44">
      <c r="J93" s="308"/>
      <c r="K93" s="308"/>
      <c r="L93" s="254" t="s">
        <v>225</v>
      </c>
      <c r="M93" s="253" t="str">
        <f>IFERROR(IRR(N89:AR89), "PROJET NON RENTABLE")</f>
        <v>PROJET NON RENTABLE</v>
      </c>
      <c r="N93" s="309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</row>
    <row r="94" spans="2:44" ht="13.8" thickBot="1">
      <c r="J94" s="305"/>
      <c r="K94" s="305"/>
      <c r="L94" s="252" t="s">
        <v>224</v>
      </c>
      <c r="M94" s="412" cm="1">
        <f t="array" ref="M94">IFERROR(INDEX(N80:AR80,MATCH(TRUE,N91:AR91&gt;0,0)),"PROJET NON RENTABLE")</f>
        <v>0</v>
      </c>
      <c r="N94" s="307"/>
      <c r="O94" s="305"/>
      <c r="P94" s="305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</row>
    <row r="95" spans="2:44">
      <c r="J95" s="302"/>
      <c r="K95" s="302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</row>
    <row r="96" spans="2:44" ht="13.8" thickBot="1">
      <c r="J96" s="302"/>
      <c r="K96" s="302"/>
      <c r="L96" s="302"/>
      <c r="M96" s="303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</row>
    <row r="97" spans="10:44" ht="16.2" thickBot="1">
      <c r="J97" s="826" t="s">
        <v>365</v>
      </c>
      <c r="K97" s="827"/>
      <c r="L97" s="827"/>
      <c r="M97" s="827"/>
      <c r="N97" s="827"/>
      <c r="O97" s="827"/>
      <c r="P97" s="827"/>
      <c r="Q97" s="827"/>
      <c r="R97" s="827"/>
      <c r="S97" s="827"/>
      <c r="T97" s="827"/>
      <c r="U97" s="827"/>
      <c r="V97" s="827"/>
      <c r="W97" s="827"/>
      <c r="X97" s="827"/>
      <c r="Y97" s="827"/>
      <c r="Z97" s="827"/>
      <c r="AA97" s="827"/>
      <c r="AB97" s="827"/>
      <c r="AC97" s="827"/>
      <c r="AD97" s="827"/>
      <c r="AE97" s="827"/>
      <c r="AF97" s="827"/>
      <c r="AG97" s="827"/>
      <c r="AH97" s="827"/>
      <c r="AI97" s="827"/>
      <c r="AJ97" s="827"/>
      <c r="AK97" s="827"/>
      <c r="AL97" s="827"/>
      <c r="AM97" s="827"/>
      <c r="AN97" s="827"/>
      <c r="AO97" s="827"/>
      <c r="AP97" s="827"/>
      <c r="AQ97" s="827"/>
      <c r="AR97" s="828"/>
    </row>
    <row r="98" spans="10:44" ht="21" thickBot="1"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1"/>
      <c r="AE98" s="261"/>
      <c r="AF98" s="261"/>
      <c r="AG98" s="261"/>
      <c r="AH98" s="261"/>
      <c r="AI98" s="261"/>
      <c r="AJ98" s="261"/>
      <c r="AK98" s="261"/>
      <c r="AL98" s="261"/>
      <c r="AM98" s="261"/>
      <c r="AN98" s="261"/>
      <c r="AO98" s="261"/>
      <c r="AP98" s="261"/>
      <c r="AQ98" s="261"/>
      <c r="AR98" s="261"/>
    </row>
    <row r="99" spans="10:44" ht="16.2" thickBot="1">
      <c r="J99" s="262"/>
      <c r="K99" s="262"/>
      <c r="L99" s="302"/>
      <c r="M99" s="301"/>
      <c r="N99" s="831" t="s">
        <v>366</v>
      </c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3"/>
    </row>
    <row r="100" spans="10:44" ht="16.2" thickBot="1">
      <c r="J100" s="262"/>
      <c r="K100" s="262"/>
      <c r="L100" s="302"/>
      <c r="M100" s="301"/>
      <c r="N100" s="300">
        <v>0</v>
      </c>
      <c r="O100" s="299">
        <v>1</v>
      </c>
      <c r="P100" s="299">
        <v>2</v>
      </c>
      <c r="Q100" s="299">
        <v>3</v>
      </c>
      <c r="R100" s="299">
        <v>4</v>
      </c>
      <c r="S100" s="299">
        <v>5</v>
      </c>
      <c r="T100" s="299">
        <v>6</v>
      </c>
      <c r="U100" s="299">
        <v>7</v>
      </c>
      <c r="V100" s="299">
        <v>8</v>
      </c>
      <c r="W100" s="299">
        <v>9</v>
      </c>
      <c r="X100" s="299">
        <v>10</v>
      </c>
      <c r="Y100" s="299">
        <v>11</v>
      </c>
      <c r="Z100" s="299">
        <v>12</v>
      </c>
      <c r="AA100" s="299">
        <v>13</v>
      </c>
      <c r="AB100" s="299">
        <v>14</v>
      </c>
      <c r="AC100" s="299">
        <v>15</v>
      </c>
      <c r="AD100" s="299">
        <v>16</v>
      </c>
      <c r="AE100" s="299">
        <v>17</v>
      </c>
      <c r="AF100" s="299">
        <v>18</v>
      </c>
      <c r="AG100" s="299">
        <v>19</v>
      </c>
      <c r="AH100" s="299">
        <v>20</v>
      </c>
      <c r="AI100" s="299">
        <v>21</v>
      </c>
      <c r="AJ100" s="299">
        <v>22</v>
      </c>
      <c r="AK100" s="299">
        <v>23</v>
      </c>
      <c r="AL100" s="299">
        <v>24</v>
      </c>
      <c r="AM100" s="299">
        <v>25</v>
      </c>
      <c r="AN100" s="299">
        <v>26</v>
      </c>
      <c r="AO100" s="299">
        <v>27</v>
      </c>
      <c r="AP100" s="299">
        <v>28</v>
      </c>
      <c r="AQ100" s="299">
        <v>29</v>
      </c>
      <c r="AR100" s="298">
        <v>30</v>
      </c>
    </row>
    <row r="101" spans="10:44" ht="20.399999999999999">
      <c r="J101" s="262"/>
      <c r="K101" s="262"/>
      <c r="L101" s="829" t="s">
        <v>354</v>
      </c>
      <c r="M101" s="297" t="s">
        <v>311</v>
      </c>
      <c r="N101" s="296">
        <f>(M55)</f>
        <v>0</v>
      </c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3"/>
    </row>
    <row r="102" spans="10:44" ht="21" thickBot="1">
      <c r="J102" s="262"/>
      <c r="K102" s="262"/>
      <c r="L102" s="830"/>
      <c r="M102" s="292" t="s">
        <v>314</v>
      </c>
      <c r="N102" s="290">
        <f>M56</f>
        <v>0</v>
      </c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  <c r="AO102" s="261"/>
      <c r="AP102" s="261"/>
      <c r="AQ102" s="261"/>
      <c r="AR102" s="288"/>
    </row>
    <row r="103" spans="10:44" ht="20.399999999999999">
      <c r="J103" s="262"/>
      <c r="K103" s="262"/>
      <c r="L103" s="829" t="s">
        <v>356</v>
      </c>
      <c r="M103" s="291" t="s">
        <v>357</v>
      </c>
      <c r="N103" s="290">
        <f>M57+M58</f>
        <v>0</v>
      </c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  <c r="AO103" s="261"/>
      <c r="AP103" s="261"/>
      <c r="AQ103" s="261"/>
      <c r="AR103" s="288"/>
    </row>
    <row r="104" spans="10:44" ht="16.2" thickBot="1">
      <c r="J104" s="262"/>
      <c r="K104" s="262"/>
      <c r="L104" s="830"/>
      <c r="M104" s="287" t="s">
        <v>358</v>
      </c>
      <c r="N104" s="278"/>
      <c r="O104" s="277" t="str">
        <f t="shared" ref="O104:AR104" si="11">IF(O100&lt;=$M$63,$M$62,"")</f>
        <v/>
      </c>
      <c r="P104" s="277" t="str">
        <f t="shared" si="11"/>
        <v/>
      </c>
      <c r="Q104" s="277" t="str">
        <f t="shared" si="11"/>
        <v/>
      </c>
      <c r="R104" s="277" t="str">
        <f t="shared" si="11"/>
        <v/>
      </c>
      <c r="S104" s="277" t="str">
        <f t="shared" si="11"/>
        <v/>
      </c>
      <c r="T104" s="277" t="str">
        <f t="shared" si="11"/>
        <v/>
      </c>
      <c r="U104" s="277" t="str">
        <f t="shared" si="11"/>
        <v/>
      </c>
      <c r="V104" s="277" t="str">
        <f t="shared" si="11"/>
        <v/>
      </c>
      <c r="W104" s="277" t="str">
        <f t="shared" si="11"/>
        <v/>
      </c>
      <c r="X104" s="277" t="str">
        <f t="shared" si="11"/>
        <v/>
      </c>
      <c r="Y104" s="277" t="str">
        <f t="shared" si="11"/>
        <v/>
      </c>
      <c r="Z104" s="277" t="str">
        <f t="shared" si="11"/>
        <v/>
      </c>
      <c r="AA104" s="277" t="str">
        <f t="shared" si="11"/>
        <v/>
      </c>
      <c r="AB104" s="277" t="str">
        <f t="shared" si="11"/>
        <v/>
      </c>
      <c r="AC104" s="277" t="str">
        <f t="shared" si="11"/>
        <v/>
      </c>
      <c r="AD104" s="277" t="str">
        <f t="shared" si="11"/>
        <v/>
      </c>
      <c r="AE104" s="277" t="str">
        <f t="shared" si="11"/>
        <v/>
      </c>
      <c r="AF104" s="277" t="str">
        <f t="shared" si="11"/>
        <v/>
      </c>
      <c r="AG104" s="277" t="str">
        <f t="shared" si="11"/>
        <v/>
      </c>
      <c r="AH104" s="277" t="str">
        <f t="shared" si="11"/>
        <v/>
      </c>
      <c r="AI104" s="277" t="str">
        <f t="shared" si="11"/>
        <v/>
      </c>
      <c r="AJ104" s="277" t="str">
        <f t="shared" si="11"/>
        <v/>
      </c>
      <c r="AK104" s="277" t="str">
        <f t="shared" si="11"/>
        <v/>
      </c>
      <c r="AL104" s="277" t="str">
        <f t="shared" si="11"/>
        <v/>
      </c>
      <c r="AM104" s="277" t="str">
        <f t="shared" si="11"/>
        <v/>
      </c>
      <c r="AN104" s="277" t="str">
        <f t="shared" si="11"/>
        <v/>
      </c>
      <c r="AO104" s="277" t="str">
        <f t="shared" si="11"/>
        <v/>
      </c>
      <c r="AP104" s="277" t="str">
        <f t="shared" si="11"/>
        <v/>
      </c>
      <c r="AQ104" s="277" t="str">
        <f t="shared" si="11"/>
        <v/>
      </c>
      <c r="AR104" s="276" t="str">
        <f t="shared" si="11"/>
        <v/>
      </c>
    </row>
    <row r="105" spans="10:44" ht="16.2" thickBot="1">
      <c r="J105" s="262"/>
      <c r="K105" s="262"/>
      <c r="L105" s="286" t="s">
        <v>360</v>
      </c>
      <c r="M105" s="285" t="s">
        <v>360</v>
      </c>
      <c r="N105" s="274"/>
      <c r="O105" s="284">
        <f>IF(O100&lt;=$K$16,($M$61+$M$64+$M$65+$M$66+$M$67+$M$68+$M$69+$M$70+$M$71+$M$72),"")</f>
        <v>0</v>
      </c>
      <c r="P105" s="284">
        <f>IF(P100&lt;=$K$16,O105*(1+Paramètres!$B$20),"")</f>
        <v>0</v>
      </c>
      <c r="Q105" s="284">
        <f>IF(Q100&lt;=$K$16,P105*(1+Paramètres!$B$20),"")</f>
        <v>0</v>
      </c>
      <c r="R105" s="284">
        <f>IF(R100&lt;=$K$16,Q105*(1+Paramètres!$B$20),"")</f>
        <v>0</v>
      </c>
      <c r="S105" s="284">
        <f>IF(S100&lt;=$K$16,R105*(1+Paramètres!$B$20),"")</f>
        <v>0</v>
      </c>
      <c r="T105" s="284">
        <f>IF(T100&lt;=$K$16,S105*(1+Paramètres!$B$20),"")</f>
        <v>0</v>
      </c>
      <c r="U105" s="284">
        <f>IF(U100&lt;=$K$16,T105*(1+Paramètres!$B$20),"")</f>
        <v>0</v>
      </c>
      <c r="V105" s="284">
        <f>IF(V100&lt;=$K$16,U105*(1+Paramètres!$B$20),"")</f>
        <v>0</v>
      </c>
      <c r="W105" s="284">
        <f>IF(W100&lt;=$K$16,V105*(1+Paramètres!$B$20),"")</f>
        <v>0</v>
      </c>
      <c r="X105" s="284">
        <f>IF(X100&lt;=$K$16,W105*(1+Paramètres!$B$20),"")</f>
        <v>0</v>
      </c>
      <c r="Y105" s="284">
        <f>IF(Y100&lt;=$K$16,X105*(1+Paramètres!$B$20),"")</f>
        <v>0</v>
      </c>
      <c r="Z105" s="284">
        <f>IF(Z100&lt;=$K$16,Y105*(1+Paramètres!$B$20),"")</f>
        <v>0</v>
      </c>
      <c r="AA105" s="284">
        <f>IF(AA100&lt;=$K$16,Z105*(1+Paramètres!$B$20),"")</f>
        <v>0</v>
      </c>
      <c r="AB105" s="284">
        <f>IF(AB100&lt;=$K$16,AA105*(1+Paramètres!$B$20),"")</f>
        <v>0</v>
      </c>
      <c r="AC105" s="284">
        <f>IF(AC100&lt;=$K$16,AB105*(1+Paramètres!$B$20),"")</f>
        <v>0</v>
      </c>
      <c r="AD105" s="284" t="str">
        <f>IF(AD100&lt;=$K$16,AC105*(1+Paramètres!$B$20),"")</f>
        <v/>
      </c>
      <c r="AE105" s="284" t="str">
        <f>IF(AE100&lt;=$K$16,AD105*(1+Paramètres!$B$20),"")</f>
        <v/>
      </c>
      <c r="AF105" s="284" t="str">
        <f>IF(AF100&lt;=$K$16,AE105*(1+Paramètres!$B$20),"")</f>
        <v/>
      </c>
      <c r="AG105" s="284" t="str">
        <f>IF(AG100&lt;=$K$16,AF105*(1+Paramètres!$B$20),"")</f>
        <v/>
      </c>
      <c r="AH105" s="284" t="str">
        <f>IF(AH100&lt;=$K$16,AG105*(1+Paramètres!$B$20),"")</f>
        <v/>
      </c>
      <c r="AI105" s="284" t="str">
        <f>IF(AI100&lt;=$K$16,AH105*(1+Paramètres!$B$20),"")</f>
        <v/>
      </c>
      <c r="AJ105" s="284" t="str">
        <f>IF(AJ100&lt;=$K$16,AI105*(1+Paramètres!$B$20),"")</f>
        <v/>
      </c>
      <c r="AK105" s="284" t="str">
        <f>IF(AK100&lt;=$K$16,AJ105*(1+Paramètres!$B$20),"")</f>
        <v/>
      </c>
      <c r="AL105" s="284" t="str">
        <f>IF(AL100&lt;=$K$16,AK105*(1+Paramètres!$B$20),"")</f>
        <v/>
      </c>
      <c r="AM105" s="284" t="str">
        <f>IF(AM100&lt;=$K$16,AL105*(1+Paramètres!$B$20),"")</f>
        <v/>
      </c>
      <c r="AN105" s="284" t="str">
        <f>IF(AN100&lt;=$K$16,AM105*(1+Paramètres!$B$20),"")</f>
        <v/>
      </c>
      <c r="AO105" s="284" t="str">
        <f>IF(AO100&lt;=$K$16,AN105*(1+Paramètres!$B$20),"")</f>
        <v/>
      </c>
      <c r="AP105" s="284" t="str">
        <f>IF(AP100&lt;=$K$16,AO105*(1+Paramètres!$B$20),"")</f>
        <v/>
      </c>
      <c r="AQ105" s="284" t="str">
        <f>IF(AQ100&lt;=$K$16,AP105*(1+Paramètres!$B$20),"")</f>
        <v/>
      </c>
      <c r="AR105" s="283" t="str">
        <f>IF(AR100&lt;=$K$16,AQ105*(1+Paramètres!$B$20),"")</f>
        <v/>
      </c>
    </row>
    <row r="106" spans="10:44" ht="15.6">
      <c r="J106" s="262"/>
      <c r="K106" s="262"/>
      <c r="L106" s="829" t="s">
        <v>367</v>
      </c>
      <c r="M106" s="282" t="s">
        <v>46</v>
      </c>
      <c r="N106" s="281"/>
      <c r="O106" s="280">
        <f>IF(AND(O100=1,K23="OUI"),(Paramètres!$B$22*'AA6'!M55),"")</f>
        <v>0</v>
      </c>
      <c r="P106" s="280" t="str">
        <f>IF(P100=1,(Paramètres!$B$22*'AA6'!N55),"")</f>
        <v/>
      </c>
      <c r="Q106" s="280" t="str">
        <f>IF(Q100=1,(Paramètres!$B$22*'AA6'!O55),"")</f>
        <v/>
      </c>
      <c r="R106" s="280" t="str">
        <f>IF(R100=1,(Paramètres!$B$22*'AA6'!P55),"")</f>
        <v/>
      </c>
      <c r="S106" s="280" t="str">
        <f>IF(S100=1,(Paramètres!$B$22*'AA6'!Q55),"")</f>
        <v/>
      </c>
      <c r="T106" s="280" t="str">
        <f>IF(T100=1,(Paramètres!$B$22*'AA6'!R55),"")</f>
        <v/>
      </c>
      <c r="U106" s="280" t="str">
        <f>IF(U100=1,(Paramètres!$B$22*'AA6'!S55),"")</f>
        <v/>
      </c>
      <c r="V106" s="280" t="str">
        <f>IF(V100=1,(Paramètres!$B$22*'AA6'!T55),"")</f>
        <v/>
      </c>
      <c r="W106" s="280" t="str">
        <f>IF(W100=1,(Paramètres!$B$22*'AA6'!U55),"")</f>
        <v/>
      </c>
      <c r="X106" s="280" t="str">
        <f>IF(X100=1,(Paramètres!$B$22*'AA6'!V55),"")</f>
        <v/>
      </c>
      <c r="Y106" s="280" t="str">
        <f>IF(Y100=1,(Paramètres!$B$22*'AA6'!W55),"")</f>
        <v/>
      </c>
      <c r="Z106" s="280" t="str">
        <f>IF(Z100=1,(Paramètres!$B$22*'AA6'!X55),"")</f>
        <v/>
      </c>
      <c r="AA106" s="280" t="str">
        <f>IF(AA100=1,(Paramètres!$B$22*'AA6'!Y55),"")</f>
        <v/>
      </c>
      <c r="AB106" s="280" t="str">
        <f>IF(AB100=1,(Paramètres!$B$22*'AA6'!Z55),"")</f>
        <v/>
      </c>
      <c r="AC106" s="280" t="str">
        <f>IF(AC100=1,(Paramètres!$B$22*'AA6'!AA55),"")</f>
        <v/>
      </c>
      <c r="AD106" s="280" t="str">
        <f>IF(AD100=1,(Paramètres!$B$22*'AA6'!AB55),"")</f>
        <v/>
      </c>
      <c r="AE106" s="280" t="str">
        <f>IF(AE100=1,(Paramètres!$B$22*'AA6'!AC55),"")</f>
        <v/>
      </c>
      <c r="AF106" s="280" t="str">
        <f>IF(AF100=1,(Paramètres!$B$22*'AA6'!AD55),"")</f>
        <v/>
      </c>
      <c r="AG106" s="280" t="str">
        <f>IF(AG100=1,(Paramètres!$B$22*'AA6'!AE55),"")</f>
        <v/>
      </c>
      <c r="AH106" s="280" t="str">
        <f>IF(AH100=1,(Paramètres!$B$22*'AA6'!AF55),"")</f>
        <v/>
      </c>
      <c r="AI106" s="280" t="str">
        <f>IF(AI100=1,(Paramètres!$B$22*'AA6'!AG55),"")</f>
        <v/>
      </c>
      <c r="AJ106" s="280" t="str">
        <f>IF(AJ100=1,(Paramètres!$B$22*'AA6'!AH55),"")</f>
        <v/>
      </c>
      <c r="AK106" s="280" t="str">
        <f>IF(AK100=1,(Paramètres!$B$22*'AA6'!AI55),"")</f>
        <v/>
      </c>
      <c r="AL106" s="280" t="str">
        <f>IF(AL100=1,(Paramètres!$B$22*'AA6'!AJ55),"")</f>
        <v/>
      </c>
      <c r="AM106" s="280" t="str">
        <f>IF(AM100=1,(Paramètres!$B$22*'AA6'!AK55),"")</f>
        <v/>
      </c>
      <c r="AN106" s="280" t="str">
        <f>IF(AN100=1,(Paramètres!$B$22*'AA6'!AL55),"")</f>
        <v/>
      </c>
      <c r="AO106" s="280" t="str">
        <f>IF(AO100=1,(Paramètres!$B$22*'AA6'!AM55),"")</f>
        <v/>
      </c>
      <c r="AP106" s="280" t="str">
        <f>IF(AP100=1,(Paramètres!$B$22*'AA6'!AN55),"")</f>
        <v/>
      </c>
      <c r="AQ106" s="280" t="str">
        <f>IF(AQ100=1,(Paramètres!$B$22*'AA6'!AO55),"")</f>
        <v/>
      </c>
      <c r="AR106" s="279" t="str">
        <f>IF(AR100=1,(Paramètres!$B$22*'AA6'!AP55),"")</f>
        <v/>
      </c>
    </row>
    <row r="107" spans="10:44" ht="15.6">
      <c r="J107" s="262"/>
      <c r="K107" s="262"/>
      <c r="L107" s="843"/>
      <c r="M107" s="275" t="s">
        <v>368</v>
      </c>
      <c r="N107" s="278"/>
      <c r="O107" s="277">
        <f t="shared" ref="O107:AR107" si="12">IF(O100&lt;=$K$20,$M$55/$K$20,"")</f>
        <v>0</v>
      </c>
      <c r="P107" s="277">
        <f t="shared" si="12"/>
        <v>0</v>
      </c>
      <c r="Q107" s="277">
        <f t="shared" si="12"/>
        <v>0</v>
      </c>
      <c r="R107" s="277">
        <f t="shared" si="12"/>
        <v>0</v>
      </c>
      <c r="S107" s="277">
        <f t="shared" si="12"/>
        <v>0</v>
      </c>
      <c r="T107" s="277">
        <f t="shared" si="12"/>
        <v>0</v>
      </c>
      <c r="U107" s="277">
        <f t="shared" si="12"/>
        <v>0</v>
      </c>
      <c r="V107" s="277">
        <f t="shared" si="12"/>
        <v>0</v>
      </c>
      <c r="W107" s="277">
        <f t="shared" si="12"/>
        <v>0</v>
      </c>
      <c r="X107" s="277">
        <f t="shared" si="12"/>
        <v>0</v>
      </c>
      <c r="Y107" s="277" t="str">
        <f t="shared" si="12"/>
        <v/>
      </c>
      <c r="Z107" s="277" t="str">
        <f t="shared" si="12"/>
        <v/>
      </c>
      <c r="AA107" s="277" t="str">
        <f t="shared" si="12"/>
        <v/>
      </c>
      <c r="AB107" s="277" t="str">
        <f t="shared" si="12"/>
        <v/>
      </c>
      <c r="AC107" s="277" t="str">
        <f t="shared" si="12"/>
        <v/>
      </c>
      <c r="AD107" s="277" t="str">
        <f t="shared" si="12"/>
        <v/>
      </c>
      <c r="AE107" s="277" t="str">
        <f t="shared" si="12"/>
        <v/>
      </c>
      <c r="AF107" s="277" t="str">
        <f t="shared" si="12"/>
        <v/>
      </c>
      <c r="AG107" s="277" t="str">
        <f t="shared" si="12"/>
        <v/>
      </c>
      <c r="AH107" s="277" t="str">
        <f t="shared" si="12"/>
        <v/>
      </c>
      <c r="AI107" s="277" t="str">
        <f t="shared" si="12"/>
        <v/>
      </c>
      <c r="AJ107" s="277" t="str">
        <f t="shared" si="12"/>
        <v/>
      </c>
      <c r="AK107" s="277" t="str">
        <f t="shared" si="12"/>
        <v/>
      </c>
      <c r="AL107" s="277" t="str">
        <f t="shared" si="12"/>
        <v/>
      </c>
      <c r="AM107" s="277" t="str">
        <f t="shared" si="12"/>
        <v/>
      </c>
      <c r="AN107" s="277" t="str">
        <f t="shared" si="12"/>
        <v/>
      </c>
      <c r="AO107" s="277" t="str">
        <f t="shared" si="12"/>
        <v/>
      </c>
      <c r="AP107" s="277" t="str">
        <f t="shared" si="12"/>
        <v/>
      </c>
      <c r="AQ107" s="277" t="str">
        <f t="shared" si="12"/>
        <v/>
      </c>
      <c r="AR107" s="276" t="str">
        <f t="shared" si="12"/>
        <v/>
      </c>
    </row>
    <row r="108" spans="10:44" ht="16.2" thickBot="1">
      <c r="J108" s="262"/>
      <c r="K108" s="262"/>
      <c r="L108" s="843"/>
      <c r="M108" s="275" t="s">
        <v>369</v>
      </c>
      <c r="N108" s="274"/>
      <c r="O108" s="273" t="str">
        <f t="shared" ref="O108:AR108" si="13">IF(SUM(O104:O107)=0,"",SUM(O104:O107))</f>
        <v/>
      </c>
      <c r="P108" s="273" t="str">
        <f t="shared" si="13"/>
        <v/>
      </c>
      <c r="Q108" s="273" t="str">
        <f t="shared" si="13"/>
        <v/>
      </c>
      <c r="R108" s="273" t="str">
        <f t="shared" si="13"/>
        <v/>
      </c>
      <c r="S108" s="273" t="str">
        <f t="shared" si="13"/>
        <v/>
      </c>
      <c r="T108" s="273" t="str">
        <f t="shared" si="13"/>
        <v/>
      </c>
      <c r="U108" s="273" t="str">
        <f t="shared" si="13"/>
        <v/>
      </c>
      <c r="V108" s="273" t="str">
        <f t="shared" si="13"/>
        <v/>
      </c>
      <c r="W108" s="273" t="str">
        <f t="shared" si="13"/>
        <v/>
      </c>
      <c r="X108" s="273" t="str">
        <f t="shared" si="13"/>
        <v/>
      </c>
      <c r="Y108" s="273" t="str">
        <f t="shared" si="13"/>
        <v/>
      </c>
      <c r="Z108" s="273" t="str">
        <f t="shared" si="13"/>
        <v/>
      </c>
      <c r="AA108" s="273" t="str">
        <f t="shared" si="13"/>
        <v/>
      </c>
      <c r="AB108" s="273" t="str">
        <f t="shared" si="13"/>
        <v/>
      </c>
      <c r="AC108" s="273" t="str">
        <f t="shared" si="13"/>
        <v/>
      </c>
      <c r="AD108" s="273" t="str">
        <f t="shared" si="13"/>
        <v/>
      </c>
      <c r="AE108" s="273" t="str">
        <f t="shared" si="13"/>
        <v/>
      </c>
      <c r="AF108" s="273" t="str">
        <f t="shared" si="13"/>
        <v/>
      </c>
      <c r="AG108" s="273" t="str">
        <f t="shared" si="13"/>
        <v/>
      </c>
      <c r="AH108" s="273" t="str">
        <f t="shared" si="13"/>
        <v/>
      </c>
      <c r="AI108" s="273" t="str">
        <f t="shared" si="13"/>
        <v/>
      </c>
      <c r="AJ108" s="273" t="str">
        <f t="shared" si="13"/>
        <v/>
      </c>
      <c r="AK108" s="273" t="str">
        <f t="shared" si="13"/>
        <v/>
      </c>
      <c r="AL108" s="273" t="str">
        <f t="shared" si="13"/>
        <v/>
      </c>
      <c r="AM108" s="273" t="str">
        <f t="shared" si="13"/>
        <v/>
      </c>
      <c r="AN108" s="273" t="str">
        <f t="shared" si="13"/>
        <v/>
      </c>
      <c r="AO108" s="273" t="str">
        <f t="shared" si="13"/>
        <v/>
      </c>
      <c r="AP108" s="273" t="str">
        <f t="shared" si="13"/>
        <v/>
      </c>
      <c r="AQ108" s="273" t="str">
        <f t="shared" si="13"/>
        <v/>
      </c>
      <c r="AR108" s="272" t="str">
        <f t="shared" si="13"/>
        <v/>
      </c>
    </row>
    <row r="109" spans="10:44" ht="16.2" thickBot="1">
      <c r="J109" s="262"/>
      <c r="K109" s="262"/>
      <c r="L109" s="830"/>
      <c r="M109" s="271" t="s">
        <v>370</v>
      </c>
      <c r="N109" s="270">
        <f>N102*Paramètres!$B$21</f>
        <v>0</v>
      </c>
      <c r="O109" s="269" t="str">
        <f>IF(N(O108)&gt;0,O108*Paramètres!$B$21,"")</f>
        <v/>
      </c>
      <c r="P109" s="269" t="str">
        <f>IF(N(P108)&gt;0,P108*Paramètres!$B$21,"")</f>
        <v/>
      </c>
      <c r="Q109" s="269" t="str">
        <f>IF(N(Q108)&gt;0,Q108*Paramètres!$B$21,"")</f>
        <v/>
      </c>
      <c r="R109" s="269" t="str">
        <f>IF(N(R108)&gt;0,R108*Paramètres!$B$21,"")</f>
        <v/>
      </c>
      <c r="S109" s="269" t="str">
        <f>IF(N(S108)&gt;0,S108*Paramètres!$B$21,"")</f>
        <v/>
      </c>
      <c r="T109" s="269" t="str">
        <f>IF(N(T108)&gt;0,T108*Paramètres!$B$21,"")</f>
        <v/>
      </c>
      <c r="U109" s="269" t="str">
        <f>IF(N(U108)&gt;0,U108*Paramètres!$B$21,"")</f>
        <v/>
      </c>
      <c r="V109" s="269" t="str">
        <f>IF(N(V108)&gt;0,V108*Paramètres!$B$21,"")</f>
        <v/>
      </c>
      <c r="W109" s="269" t="str">
        <f>IF(N(W108)&gt;0,W108*Paramètres!$B$21,"")</f>
        <v/>
      </c>
      <c r="X109" s="269" t="str">
        <f>IF(N(X108)&gt;0,X108*Paramètres!$B$21,"")</f>
        <v/>
      </c>
      <c r="Y109" s="269" t="str">
        <f>IF(N(Y108)&gt;0,Y108*Paramètres!$B$21,"")</f>
        <v/>
      </c>
      <c r="Z109" s="269" t="str">
        <f>IF(N(Z108)&gt;0,Z108*Paramètres!$B$21,"")</f>
        <v/>
      </c>
      <c r="AA109" s="269" t="str">
        <f>IF(N(AA108)&gt;0,AA108*Paramètres!$B$21,"")</f>
        <v/>
      </c>
      <c r="AB109" s="269" t="str">
        <f>IF(N(AB108)&gt;0,AB108*Paramètres!$B$21,"")</f>
        <v/>
      </c>
      <c r="AC109" s="269" t="str">
        <f>IF(N(AC108)&gt;0,AC108*Paramètres!$B$21,"")</f>
        <v/>
      </c>
      <c r="AD109" s="269" t="str">
        <f>IF(N(AD108)&gt;0,AD108*Paramètres!$B$21,"")</f>
        <v/>
      </c>
      <c r="AE109" s="269" t="str">
        <f>IF(N(AE108)&gt;0,AE108*Paramètres!$B$21,"")</f>
        <v/>
      </c>
      <c r="AF109" s="269" t="str">
        <f>IF(N(AF108)&gt;0,AF108*Paramètres!$B$21,"")</f>
        <v/>
      </c>
      <c r="AG109" s="269" t="str">
        <f>IF(N(AG108)&gt;0,AG108*Paramètres!$B$21,"")</f>
        <v/>
      </c>
      <c r="AH109" s="269" t="str">
        <f>IF(N(AH108)&gt;0,AH108*Paramètres!$B$21,"")</f>
        <v/>
      </c>
      <c r="AI109" s="269" t="str">
        <f>IF(N(AI108)&gt;0,AI108*Paramètres!$B$21,"")</f>
        <v/>
      </c>
      <c r="AJ109" s="269" t="str">
        <f>IF(N(AJ108)&gt;0,AJ108*Paramètres!$B$21,"")</f>
        <v/>
      </c>
      <c r="AK109" s="269" t="str">
        <f>IF(N(AK108)&gt;0,AK108*Paramètres!$B$21,"")</f>
        <v/>
      </c>
      <c r="AL109" s="269" t="str">
        <f>IF(N(AL108)&gt;0,AL108*Paramètres!$B$21,"")</f>
        <v/>
      </c>
      <c r="AM109" s="269" t="str">
        <f>IF(N(AM108)&gt;0,AM108*Paramètres!$B$21,"")</f>
        <v/>
      </c>
      <c r="AN109" s="269" t="str">
        <f>IF(N(AN108)&gt;0,AN108*Paramètres!$B$21,"")</f>
        <v/>
      </c>
      <c r="AO109" s="269" t="str">
        <f>IF(N(AO108)&gt;0,AO108*Paramètres!$B$21,"")</f>
        <v/>
      </c>
      <c r="AP109" s="269" t="str">
        <f>IF(N(AP108)&gt;0,AP108*Paramètres!$B$21,"")</f>
        <v/>
      </c>
      <c r="AQ109" s="269" t="str">
        <f>IF(N(AQ108)&gt;0,AQ108*Paramètres!$B$21,"")</f>
        <v/>
      </c>
      <c r="AR109" s="268" t="str">
        <f>IF(N(AR108)&gt;0,AR108*Paramètres!$B$21,"")</f>
        <v/>
      </c>
    </row>
    <row r="110" spans="10:44" ht="16.2" thickBot="1">
      <c r="J110" s="262"/>
      <c r="K110" s="262"/>
      <c r="L110" s="267" t="s">
        <v>361</v>
      </c>
      <c r="M110" s="266" t="s">
        <v>319</v>
      </c>
      <c r="N110" s="265" t="str">
        <f t="shared" ref="N110:AR110" si="14">IF(N100=$K$16,$M$59,"")</f>
        <v/>
      </c>
      <c r="O110" s="264" t="str">
        <f t="shared" si="14"/>
        <v/>
      </c>
      <c r="P110" s="264" t="str">
        <f t="shared" si="14"/>
        <v/>
      </c>
      <c r="Q110" s="264" t="str">
        <f t="shared" si="14"/>
        <v/>
      </c>
      <c r="R110" s="264" t="str">
        <f t="shared" si="14"/>
        <v/>
      </c>
      <c r="S110" s="264" t="str">
        <f t="shared" si="14"/>
        <v/>
      </c>
      <c r="T110" s="264" t="str">
        <f t="shared" si="14"/>
        <v/>
      </c>
      <c r="U110" s="264" t="str">
        <f t="shared" si="14"/>
        <v/>
      </c>
      <c r="V110" s="264" t="str">
        <f t="shared" si="14"/>
        <v/>
      </c>
      <c r="W110" s="264" t="str">
        <f t="shared" si="14"/>
        <v/>
      </c>
      <c r="X110" s="264" t="str">
        <f t="shared" si="14"/>
        <v/>
      </c>
      <c r="Y110" s="264" t="str">
        <f t="shared" si="14"/>
        <v/>
      </c>
      <c r="Z110" s="264" t="str">
        <f t="shared" si="14"/>
        <v/>
      </c>
      <c r="AA110" s="264" t="str">
        <f t="shared" si="14"/>
        <v/>
      </c>
      <c r="AB110" s="264" t="str">
        <f t="shared" si="14"/>
        <v/>
      </c>
      <c r="AC110" s="264">
        <f t="shared" si="14"/>
        <v>0</v>
      </c>
      <c r="AD110" s="264" t="str">
        <f t="shared" si="14"/>
        <v/>
      </c>
      <c r="AE110" s="264" t="str">
        <f t="shared" si="14"/>
        <v/>
      </c>
      <c r="AF110" s="264" t="str">
        <f t="shared" si="14"/>
        <v/>
      </c>
      <c r="AG110" s="264" t="str">
        <f t="shared" si="14"/>
        <v/>
      </c>
      <c r="AH110" s="264" t="str">
        <f t="shared" si="14"/>
        <v/>
      </c>
      <c r="AI110" s="264" t="str">
        <f t="shared" si="14"/>
        <v/>
      </c>
      <c r="AJ110" s="264" t="str">
        <f t="shared" si="14"/>
        <v/>
      </c>
      <c r="AK110" s="264" t="str">
        <f t="shared" si="14"/>
        <v/>
      </c>
      <c r="AL110" s="264" t="str">
        <f t="shared" si="14"/>
        <v/>
      </c>
      <c r="AM110" s="264" t="str">
        <f t="shared" si="14"/>
        <v/>
      </c>
      <c r="AN110" s="264" t="str">
        <f t="shared" si="14"/>
        <v/>
      </c>
      <c r="AO110" s="264" t="str">
        <f t="shared" si="14"/>
        <v/>
      </c>
      <c r="AP110" s="264" t="str">
        <f t="shared" si="14"/>
        <v/>
      </c>
      <c r="AQ110" s="264" t="str">
        <f t="shared" si="14"/>
        <v/>
      </c>
      <c r="AR110" s="263" t="str">
        <f t="shared" si="14"/>
        <v/>
      </c>
    </row>
    <row r="111" spans="10:44" ht="16.2" thickBot="1">
      <c r="J111" s="262"/>
      <c r="K111" s="262"/>
      <c r="L111" s="841" t="s">
        <v>362</v>
      </c>
      <c r="M111" s="844"/>
      <c r="N111" s="260" t="str">
        <f>IF((SUM(N101:N103)-N109)=0,"",(SUM(N101:N103))-N109)</f>
        <v/>
      </c>
      <c r="O111" s="259" t="str">
        <f t="shared" ref="O111:AR111" si="15">IF(SUM(N(O104)+N(O105)-N(O109)+N(O110))=0,"",SUM(N(O104)+N(O105)-N(O109)+N(O110)))</f>
        <v/>
      </c>
      <c r="P111" s="259" t="str">
        <f t="shared" si="15"/>
        <v/>
      </c>
      <c r="Q111" s="259" t="str">
        <f t="shared" si="15"/>
        <v/>
      </c>
      <c r="R111" s="259" t="str">
        <f t="shared" si="15"/>
        <v/>
      </c>
      <c r="S111" s="259" t="str">
        <f t="shared" si="15"/>
        <v/>
      </c>
      <c r="T111" s="259" t="str">
        <f t="shared" si="15"/>
        <v/>
      </c>
      <c r="U111" s="259" t="str">
        <f t="shared" si="15"/>
        <v/>
      </c>
      <c r="V111" s="259" t="str">
        <f t="shared" si="15"/>
        <v/>
      </c>
      <c r="W111" s="259" t="str">
        <f t="shared" si="15"/>
        <v/>
      </c>
      <c r="X111" s="259" t="str">
        <f t="shared" si="15"/>
        <v/>
      </c>
      <c r="Y111" s="259" t="str">
        <f t="shared" si="15"/>
        <v/>
      </c>
      <c r="Z111" s="259" t="str">
        <f t="shared" si="15"/>
        <v/>
      </c>
      <c r="AA111" s="259" t="str">
        <f t="shared" si="15"/>
        <v/>
      </c>
      <c r="AB111" s="259" t="str">
        <f t="shared" si="15"/>
        <v/>
      </c>
      <c r="AC111" s="259" t="str">
        <f t="shared" si="15"/>
        <v/>
      </c>
      <c r="AD111" s="259" t="str">
        <f t="shared" si="15"/>
        <v/>
      </c>
      <c r="AE111" s="259" t="str">
        <f t="shared" si="15"/>
        <v/>
      </c>
      <c r="AF111" s="259" t="str">
        <f t="shared" si="15"/>
        <v/>
      </c>
      <c r="AG111" s="259" t="str">
        <f t="shared" si="15"/>
        <v/>
      </c>
      <c r="AH111" s="259" t="str">
        <f t="shared" si="15"/>
        <v/>
      </c>
      <c r="AI111" s="259" t="str">
        <f t="shared" si="15"/>
        <v/>
      </c>
      <c r="AJ111" s="259" t="str">
        <f t="shared" si="15"/>
        <v/>
      </c>
      <c r="AK111" s="259" t="str">
        <f t="shared" si="15"/>
        <v/>
      </c>
      <c r="AL111" s="259" t="str">
        <f t="shared" si="15"/>
        <v/>
      </c>
      <c r="AM111" s="259" t="str">
        <f t="shared" si="15"/>
        <v/>
      </c>
      <c r="AN111" s="259" t="str">
        <f t="shared" si="15"/>
        <v/>
      </c>
      <c r="AO111" s="259" t="str">
        <f t="shared" si="15"/>
        <v/>
      </c>
      <c r="AP111" s="259" t="str">
        <f t="shared" si="15"/>
        <v/>
      </c>
      <c r="AQ111" s="259" t="str">
        <f t="shared" si="15"/>
        <v/>
      </c>
      <c r="AR111" s="258" t="str">
        <f t="shared" si="15"/>
        <v/>
      </c>
    </row>
    <row r="112" spans="10:44" ht="13.8" thickBot="1">
      <c r="J112" s="250"/>
      <c r="K112" s="250"/>
      <c r="L112" s="841" t="s">
        <v>363</v>
      </c>
      <c r="M112" s="844"/>
      <c r="N112" s="260" t="str">
        <f>IF(N111="","",((N111)/(1+Paramètres!$B$19)^N100))</f>
        <v/>
      </c>
      <c r="O112" s="259" t="str">
        <f>IF(O111="","",((O111)/(1+Paramètres!$B$19)^O100))</f>
        <v/>
      </c>
      <c r="P112" s="259" t="str">
        <f>IF(P111="","",((P111)/(1+Paramètres!$B$19)^P100))</f>
        <v/>
      </c>
      <c r="Q112" s="259" t="str">
        <f>IF(Q111="","",((Q111)/(1+Paramètres!$B$19)^Q100))</f>
        <v/>
      </c>
      <c r="R112" s="259" t="str">
        <f>IF(R111="","",((R111)/(1+Paramètres!$B$19)^R100))</f>
        <v/>
      </c>
      <c r="S112" s="259" t="str">
        <f>IF(S111="","",((S111)/(1+Paramètres!$B$19)^S100))</f>
        <v/>
      </c>
      <c r="T112" s="259" t="str">
        <f>IF(T111="","",((T111)/(1+Paramètres!$B$19)^T100))</f>
        <v/>
      </c>
      <c r="U112" s="259" t="str">
        <f>IF(U111="","",((U111)/(1+Paramètres!$B$19)^U100))</f>
        <v/>
      </c>
      <c r="V112" s="259" t="str">
        <f>IF(V111="","",((V111)/(1+Paramètres!$B$19)^V100))</f>
        <v/>
      </c>
      <c r="W112" s="259" t="str">
        <f>IF(W111="","",((W111)/(1+Paramètres!$B$19)^W100))</f>
        <v/>
      </c>
      <c r="X112" s="259" t="str">
        <f>IF(X111="","",((X111)/(1+Paramètres!$B$19)^X100))</f>
        <v/>
      </c>
      <c r="Y112" s="259" t="str">
        <f>IF(Y111="","",((Y111)/(1+Paramètres!$B$19)^Y100))</f>
        <v/>
      </c>
      <c r="Z112" s="259" t="str">
        <f>IF(Z111="","",((Z111)/(1+Paramètres!$B$19)^Z100))</f>
        <v/>
      </c>
      <c r="AA112" s="259" t="str">
        <f>IF(AA111="","",((AA111)/(1+Paramètres!$B$19)^AA100))</f>
        <v/>
      </c>
      <c r="AB112" s="259" t="str">
        <f>IF(AB111="","",((AB111)/(1+Paramètres!$B$19)^AB100))</f>
        <v/>
      </c>
      <c r="AC112" s="259" t="str">
        <f>IF(AC111="","",((AC111)/(1+Paramètres!$B$19)^AC100))</f>
        <v/>
      </c>
      <c r="AD112" s="259" t="str">
        <f>IF(AD111="","",((AD111)/(1+Paramètres!$B$19)^AD100))</f>
        <v/>
      </c>
      <c r="AE112" s="259" t="str">
        <f>IF(AE111="","",((AE111)/(1+Paramètres!$B$19)^AE100))</f>
        <v/>
      </c>
      <c r="AF112" s="259" t="str">
        <f>IF(AF111="","",((AF111)/(1+Paramètres!$B$19)^AF100))</f>
        <v/>
      </c>
      <c r="AG112" s="259" t="str">
        <f>IF(AG111="","",((AG111)/(1+Paramètres!$B$19)^AG100))</f>
        <v/>
      </c>
      <c r="AH112" s="259" t="str">
        <f>IF(AH111="","",((AH111)/(1+Paramètres!$B$19)^AH100))</f>
        <v/>
      </c>
      <c r="AI112" s="259" t="str">
        <f>IF(AI111="","",((AI111)/(1+Paramètres!$B$19)^AI100))</f>
        <v/>
      </c>
      <c r="AJ112" s="259" t="str">
        <f>IF(AJ111="","",((AJ111)/(1+Paramètres!$B$19)^AJ100))</f>
        <v/>
      </c>
      <c r="AK112" s="259" t="str">
        <f>IF(AK111="","",((AK111)/(1+Paramètres!$B$19)^AK100))</f>
        <v/>
      </c>
      <c r="AL112" s="259" t="str">
        <f>IF(AL111="","",((AL111)/(1+Paramètres!$B$19)^AL100))</f>
        <v/>
      </c>
      <c r="AM112" s="259" t="str">
        <f>IF(AM111="","",((AM111)/(1+Paramètres!$B$19)^AM100))</f>
        <v/>
      </c>
      <c r="AN112" s="259" t="str">
        <f>IF(AN111="","",((AN111)/(1+Paramètres!$B$19)^AN100))</f>
        <v/>
      </c>
      <c r="AO112" s="259" t="str">
        <f>IF(AO111="","",((AO111)/(1+Paramètres!$B$19)^AO100))</f>
        <v/>
      </c>
      <c r="AP112" s="259" t="str">
        <f>IF(AP111="","",((AP111)/(1+Paramètres!$B$19)^AP100))</f>
        <v/>
      </c>
      <c r="AQ112" s="259" t="str">
        <f>IF(AQ111="","",((AQ111)/(1+Paramètres!$B$19)^AQ100))</f>
        <v/>
      </c>
      <c r="AR112" s="258" t="str">
        <f>IF(AR111="","",((AR111)/(1+Paramètres!$B$19)^AR100))</f>
        <v/>
      </c>
    </row>
    <row r="113" spans="10:44" ht="13.8" thickBot="1">
      <c r="J113" s="250"/>
      <c r="K113" s="250"/>
      <c r="L113" s="841" t="s">
        <v>364</v>
      </c>
      <c r="M113" s="844"/>
      <c r="N113" s="257" t="str">
        <f>N112</f>
        <v/>
      </c>
      <c r="O113" s="256" t="str">
        <f t="shared" ref="O113:AR113" si="16">IF(O112="","",((N113+O90)))</f>
        <v/>
      </c>
      <c r="P113" s="256" t="str">
        <f t="shared" si="16"/>
        <v/>
      </c>
      <c r="Q113" s="256" t="str">
        <f t="shared" si="16"/>
        <v/>
      </c>
      <c r="R113" s="256" t="str">
        <f t="shared" si="16"/>
        <v/>
      </c>
      <c r="S113" s="256" t="str">
        <f t="shared" si="16"/>
        <v/>
      </c>
      <c r="T113" s="256" t="str">
        <f t="shared" si="16"/>
        <v/>
      </c>
      <c r="U113" s="256" t="str">
        <f t="shared" si="16"/>
        <v/>
      </c>
      <c r="V113" s="256" t="str">
        <f t="shared" si="16"/>
        <v/>
      </c>
      <c r="W113" s="256" t="str">
        <f t="shared" si="16"/>
        <v/>
      </c>
      <c r="X113" s="256" t="str">
        <f t="shared" si="16"/>
        <v/>
      </c>
      <c r="Y113" s="256" t="str">
        <f t="shared" si="16"/>
        <v/>
      </c>
      <c r="Z113" s="256" t="str">
        <f t="shared" si="16"/>
        <v/>
      </c>
      <c r="AA113" s="256" t="str">
        <f t="shared" si="16"/>
        <v/>
      </c>
      <c r="AB113" s="256" t="str">
        <f t="shared" si="16"/>
        <v/>
      </c>
      <c r="AC113" s="256" t="str">
        <f t="shared" si="16"/>
        <v/>
      </c>
      <c r="AD113" s="256" t="str">
        <f t="shared" si="16"/>
        <v/>
      </c>
      <c r="AE113" s="256" t="str">
        <f t="shared" si="16"/>
        <v/>
      </c>
      <c r="AF113" s="256" t="str">
        <f t="shared" si="16"/>
        <v/>
      </c>
      <c r="AG113" s="256" t="str">
        <f t="shared" si="16"/>
        <v/>
      </c>
      <c r="AH113" s="256" t="str">
        <f t="shared" si="16"/>
        <v/>
      </c>
      <c r="AI113" s="256" t="str">
        <f t="shared" si="16"/>
        <v/>
      </c>
      <c r="AJ113" s="256" t="str">
        <f t="shared" si="16"/>
        <v/>
      </c>
      <c r="AK113" s="256" t="str">
        <f t="shared" si="16"/>
        <v/>
      </c>
      <c r="AL113" s="256" t="str">
        <f t="shared" si="16"/>
        <v/>
      </c>
      <c r="AM113" s="256" t="str">
        <f t="shared" si="16"/>
        <v/>
      </c>
      <c r="AN113" s="256" t="str">
        <f t="shared" si="16"/>
        <v/>
      </c>
      <c r="AO113" s="256" t="str">
        <f t="shared" si="16"/>
        <v/>
      </c>
      <c r="AP113" s="256" t="str">
        <f t="shared" si="16"/>
        <v/>
      </c>
      <c r="AQ113" s="256" t="str">
        <f t="shared" si="16"/>
        <v/>
      </c>
      <c r="AR113" s="255" t="str">
        <f t="shared" si="16"/>
        <v/>
      </c>
    </row>
    <row r="114" spans="10:44" ht="13.8" thickBot="1"/>
    <row r="115" spans="10:44">
      <c r="L115" s="254" t="s">
        <v>225</v>
      </c>
      <c r="M115" s="253" t="str">
        <f>IFERROR(IRR(N111:AR111), "PROJET NON RENTABLE")</f>
        <v>PROJET NON RENTABLE</v>
      </c>
    </row>
    <row r="116" spans="10:44" ht="13.8" thickBot="1">
      <c r="L116" s="252" t="s">
        <v>224</v>
      </c>
      <c r="M116" s="412" cm="1">
        <f t="array" ref="M116">IFERROR(INDEX(N100:AR100,MATCH(TRUE,N113:AR113&gt;0,0)),"PROJET NON RENTABLE")</f>
        <v>0</v>
      </c>
    </row>
  </sheetData>
  <mergeCells count="63">
    <mergeCell ref="L103:L104"/>
    <mergeCell ref="L106:L109"/>
    <mergeCell ref="L111:M111"/>
    <mergeCell ref="L112:M112"/>
    <mergeCell ref="L113:M113"/>
    <mergeCell ref="L101:L102"/>
    <mergeCell ref="N79:AR79"/>
    <mergeCell ref="B80:H80"/>
    <mergeCell ref="E81:F81"/>
    <mergeCell ref="L81:L82"/>
    <mergeCell ref="L83:L85"/>
    <mergeCell ref="B87:F87"/>
    <mergeCell ref="L89:M89"/>
    <mergeCell ref="L90:M90"/>
    <mergeCell ref="L91:M91"/>
    <mergeCell ref="J97:AR97"/>
    <mergeCell ref="N99:AR99"/>
    <mergeCell ref="K67:K72"/>
    <mergeCell ref="B70:H70"/>
    <mergeCell ref="E71:F71"/>
    <mergeCell ref="B77:F77"/>
    <mergeCell ref="J77:AR77"/>
    <mergeCell ref="B58:E58"/>
    <mergeCell ref="B59:F59"/>
    <mergeCell ref="B60:F60"/>
    <mergeCell ref="B61:F61"/>
    <mergeCell ref="J61:J72"/>
    <mergeCell ref="B67:F67"/>
    <mergeCell ref="K62:K63"/>
    <mergeCell ref="B64:F64"/>
    <mergeCell ref="K64:K65"/>
    <mergeCell ref="B65:F65"/>
    <mergeCell ref="B66:F66"/>
    <mergeCell ref="N48:O48"/>
    <mergeCell ref="J51:Q51"/>
    <mergeCell ref="J54:N54"/>
    <mergeCell ref="J55:J59"/>
    <mergeCell ref="K55:K56"/>
    <mergeCell ref="K57:K58"/>
    <mergeCell ref="N47:O47"/>
    <mergeCell ref="B21:H21"/>
    <mergeCell ref="J26:Q26"/>
    <mergeCell ref="C31:F31"/>
    <mergeCell ref="N31:O31"/>
    <mergeCell ref="C33:F33"/>
    <mergeCell ref="N33:O33"/>
    <mergeCell ref="C35:F35"/>
    <mergeCell ref="N35:O35"/>
    <mergeCell ref="O37:O45"/>
    <mergeCell ref="B42:H42"/>
    <mergeCell ref="B46:H46"/>
    <mergeCell ref="B17:H17"/>
    <mergeCell ref="B1:H1"/>
    <mergeCell ref="B2:H2"/>
    <mergeCell ref="J2:AR2"/>
    <mergeCell ref="B3:H3"/>
    <mergeCell ref="F5:G5"/>
    <mergeCell ref="L6:M6"/>
    <mergeCell ref="L7:M7"/>
    <mergeCell ref="J8:K8"/>
    <mergeCell ref="M8:N8"/>
    <mergeCell ref="B9:H9"/>
    <mergeCell ref="B13:C13"/>
  </mergeCells>
  <dataValidations count="5">
    <dataValidation type="list" allowBlank="1" showInputMessage="1" showErrorMessage="1" sqref="C37" xr:uid="{5CDE66AC-FD58-487D-9F51-1D58A5EA0F5E}">
      <formula1>"2030,2040,2050"</formula1>
    </dataValidation>
    <dataValidation type="list" allowBlank="1" showInputMessage="1" showErrorMessage="1" sqref="K22:K23" xr:uid="{332A62E9-25D6-45CD-A3DD-E8534878FA7D}">
      <formula1>"OUI,NON"</formula1>
    </dataValidation>
    <dataValidation type="list" allowBlank="1" showInputMessage="1" showErrorMessage="1" sqref="K24" xr:uid="{E000FDB0-B64D-49EE-84FE-21B44517E9AE}">
      <formula1>"Oui,Non"</formula1>
    </dataValidation>
    <dataValidation type="list" showInputMessage="1" showErrorMessage="1" sqref="K10:K14" xr:uid="{95A4D179-880D-4E39-B214-42DA7320A3C1}">
      <formula1>Poste</formula1>
    </dataValidation>
    <dataValidation type="list" showInputMessage="1" showErrorMessage="1" sqref="K15" xr:uid="{209E3452-6FE2-4217-AD2B-C6DC6F5B079D}">
      <formula1>"Tertiaire Public,Tertiaire Privé,Industrie"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1200" r:id="rId1"/>
  <headerFooter alignWithMargins="0">
    <oddHeader>&amp;C&amp;"Arial,Gras"&amp;14ECONOTEC / 3J-CONSULT</oddHeader>
    <oddFooter>&amp;L&amp;F&amp;R&amp;A</oddFooter>
  </headerFooter>
  <rowBreaks count="1" manualBreakCount="1">
    <brk id="67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A109DDD-EC0A-4722-9FC0-A04C016043A1}">
          <x14:formula1>
            <xm:f>Paramètres!$C$57:$C$60</xm:f>
          </x14:formula1>
          <xm:sqref>F27</xm:sqref>
        </x14:dataValidation>
        <x14:dataValidation type="list" allowBlank="1" showInputMessage="1" showErrorMessage="1" xr:uid="{DFEDD402-3B94-42DD-8A88-2B3704B6EB19}">
          <x14:formula1>
            <xm:f>Paramètres!$A$57:$A$83</xm:f>
          </x14:formula1>
          <xm:sqref>B13:B14</xm:sqref>
        </x14:dataValidation>
        <x14:dataValidation type="list" allowBlank="1" showInputMessage="1" showErrorMessage="1" xr:uid="{D139180C-E0C9-4037-929A-9B00CD9A7C0A}">
          <x14:formula1>
            <xm:f>Paramètres!$B$57:$B$82</xm:f>
          </x14:formula1>
          <xm:sqref>C31:F31 C35:F35 C33:F33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93E5-8FF8-42BE-BFA0-B2E34E444399}">
  <dimension ref="B1:AR116"/>
  <sheetViews>
    <sheetView zoomScaleNormal="100" workbookViewId="0">
      <selection activeCell="B17" sqref="B17:H17"/>
    </sheetView>
  </sheetViews>
  <sheetFormatPr baseColWidth="10" defaultColWidth="11.44140625" defaultRowHeight="13.2"/>
  <cols>
    <col min="1" max="1" width="1.88671875" customWidth="1"/>
    <col min="2" max="2" width="16.88671875" customWidth="1"/>
    <col min="6" max="6" width="14" bestFit="1" customWidth="1"/>
    <col min="7" max="7" width="11.88671875" customWidth="1"/>
    <col min="8" max="8" width="12.6640625" bestFit="1" customWidth="1"/>
    <col min="10" max="10" width="49" bestFit="1" customWidth="1"/>
    <col min="11" max="11" width="31.109375" bestFit="1" customWidth="1"/>
    <col min="12" max="12" width="41.44140625" bestFit="1" customWidth="1"/>
    <col min="13" max="13" width="35.5546875" bestFit="1" customWidth="1"/>
    <col min="14" max="14" width="10.109375" bestFit="1" customWidth="1"/>
    <col min="15" max="15" width="9.6640625" bestFit="1" customWidth="1"/>
    <col min="16" max="18" width="5" bestFit="1" customWidth="1"/>
    <col min="19" max="29" width="5.33203125" bestFit="1" customWidth="1"/>
    <col min="30" max="44" width="2.88671875" bestFit="1" customWidth="1"/>
  </cols>
  <sheetData>
    <row r="1" spans="2:44" ht="21">
      <c r="B1" s="772" t="str">
        <f>Entête!C15</f>
        <v>NOM DE L'ENTITE</v>
      </c>
      <c r="C1" s="773"/>
      <c r="D1" s="773"/>
      <c r="E1" s="773"/>
      <c r="F1" s="773"/>
      <c r="G1" s="773"/>
      <c r="H1" s="774"/>
      <c r="J1" s="250"/>
      <c r="K1" s="250"/>
      <c r="L1" s="250"/>
      <c r="M1" s="251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</row>
    <row r="2" spans="2:44" ht="21">
      <c r="B2" s="775"/>
      <c r="C2" s="776"/>
      <c r="D2" s="776"/>
      <c r="E2" s="776"/>
      <c r="F2" s="776"/>
      <c r="G2" s="776"/>
      <c r="H2" s="777"/>
      <c r="J2" s="778" t="s">
        <v>260</v>
      </c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79"/>
      <c r="AP2" s="779"/>
      <c r="AQ2" s="779"/>
      <c r="AR2" s="779"/>
    </row>
    <row r="3" spans="2:44" ht="16.2" thickBot="1">
      <c r="B3" s="780" t="s">
        <v>261</v>
      </c>
      <c r="C3" s="781"/>
      <c r="D3" s="781"/>
      <c r="E3" s="781"/>
      <c r="F3" s="781"/>
      <c r="G3" s="781"/>
      <c r="H3" s="782"/>
      <c r="J3" s="375"/>
      <c r="K3" s="375"/>
      <c r="L3" s="375"/>
      <c r="M3" s="416"/>
      <c r="N3" s="375"/>
      <c r="O3" s="375"/>
      <c r="P3" s="375"/>
      <c r="Q3" s="375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</row>
    <row r="4" spans="2:44">
      <c r="J4" s="375"/>
      <c r="K4" s="375"/>
      <c r="L4" s="375"/>
      <c r="M4" s="375"/>
      <c r="N4" s="375"/>
      <c r="O4" s="375"/>
      <c r="P4" s="375"/>
      <c r="Q4" s="375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</row>
    <row r="5" spans="2:44" ht="16.2" thickBot="1">
      <c r="B5" s="198" t="s">
        <v>262</v>
      </c>
      <c r="F5" s="783" t="s">
        <v>389</v>
      </c>
      <c r="G5" s="784"/>
      <c r="J5" s="375"/>
      <c r="K5" s="375"/>
      <c r="L5" s="375"/>
      <c r="M5" s="417"/>
      <c r="N5" s="375"/>
      <c r="O5" s="375"/>
      <c r="P5" s="375"/>
      <c r="Q5" s="375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</row>
    <row r="6" spans="2:44" ht="16.2" thickBot="1">
      <c r="B6" s="198"/>
      <c r="G6" s="199"/>
      <c r="J6" s="376" t="s">
        <v>264</v>
      </c>
      <c r="K6" s="389"/>
      <c r="L6" s="785"/>
      <c r="M6" s="785"/>
      <c r="N6" s="387"/>
      <c r="O6" s="387"/>
      <c r="P6" s="387"/>
      <c r="Q6" s="387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4"/>
      <c r="AE6" s="414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</row>
    <row r="7" spans="2:44" ht="16.2" thickBot="1">
      <c r="B7" s="198" t="s">
        <v>265</v>
      </c>
      <c r="J7" s="388"/>
      <c r="K7" s="387"/>
      <c r="L7" s="785"/>
      <c r="M7" s="785"/>
      <c r="N7" s="387"/>
      <c r="O7" s="387"/>
      <c r="P7" s="387"/>
      <c r="Q7" s="387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4"/>
      <c r="AE7" s="414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</row>
    <row r="8" spans="2:44" ht="16.2" thickBot="1">
      <c r="J8" s="786" t="s">
        <v>266</v>
      </c>
      <c r="K8" s="787"/>
      <c r="L8" s="374"/>
      <c r="M8" s="786" t="s">
        <v>267</v>
      </c>
      <c r="N8" s="787"/>
      <c r="O8" s="374"/>
      <c r="P8" s="374"/>
      <c r="Q8" s="374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</row>
    <row r="9" spans="2:44" ht="16.2" thickBot="1">
      <c r="B9" s="788" t="s">
        <v>390</v>
      </c>
      <c r="C9" s="789"/>
      <c r="D9" s="789"/>
      <c r="E9" s="789"/>
      <c r="F9" s="789"/>
      <c r="G9" s="789"/>
      <c r="H9" s="790"/>
      <c r="J9" s="262"/>
      <c r="K9" s="262"/>
      <c r="L9" s="262"/>
      <c r="M9" s="262"/>
      <c r="N9" s="262"/>
      <c r="O9" s="262"/>
      <c r="P9" s="262"/>
      <c r="Q9" s="262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</row>
    <row r="10" spans="2:44" ht="16.2" thickBot="1">
      <c r="J10" s="378" t="s">
        <v>268</v>
      </c>
      <c r="K10" s="376" t="s">
        <v>55</v>
      </c>
      <c r="L10" s="262"/>
      <c r="M10" s="386" t="s">
        <v>269</v>
      </c>
      <c r="N10" s="385" t="str">
        <f>M93</f>
        <v>PROJET NON RENTABLE</v>
      </c>
      <c r="O10" s="262"/>
      <c r="P10" s="262"/>
      <c r="Q10" s="262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</row>
    <row r="11" spans="2:44" ht="15.6">
      <c r="B11" s="198" t="s">
        <v>191</v>
      </c>
      <c r="J11" s="262"/>
      <c r="K11" s="621"/>
      <c r="L11" s="262"/>
      <c r="M11" s="622"/>
      <c r="N11" s="623"/>
      <c r="O11" s="262"/>
      <c r="P11" s="262"/>
      <c r="Q11" s="262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</row>
    <row r="12" spans="2:44" ht="15.6">
      <c r="B12" s="635" t="s">
        <v>270</v>
      </c>
      <c r="J12" s="262"/>
      <c r="K12" s="621"/>
      <c r="L12" s="262"/>
      <c r="M12" s="622"/>
      <c r="N12" s="623"/>
      <c r="O12" s="262"/>
      <c r="P12" s="262"/>
      <c r="Q12" s="262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2:44" ht="24.9" customHeight="1">
      <c r="B13" s="788" t="s">
        <v>102</v>
      </c>
      <c r="C13" s="790"/>
      <c r="J13" s="262"/>
      <c r="K13" s="621"/>
      <c r="L13" s="262"/>
      <c r="M13" s="622"/>
      <c r="N13" s="623"/>
      <c r="O13" s="262"/>
      <c r="P13" s="262"/>
      <c r="Q13" s="262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</row>
    <row r="14" spans="2:44" ht="15.6">
      <c r="B14" s="199"/>
      <c r="J14" s="262"/>
      <c r="K14" s="621"/>
      <c r="L14" s="262"/>
      <c r="M14" s="622"/>
      <c r="N14" s="623"/>
      <c r="O14" s="262"/>
      <c r="P14" s="262"/>
      <c r="Q14" s="262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</row>
    <row r="15" spans="2:44" ht="16.2" thickBot="1">
      <c r="B15" s="198" t="s">
        <v>271</v>
      </c>
      <c r="J15" s="262"/>
      <c r="K15" s="262"/>
      <c r="L15" s="262"/>
      <c r="M15" s="384" t="s">
        <v>272</v>
      </c>
      <c r="N15" s="383">
        <f>M94</f>
        <v>0</v>
      </c>
      <c r="O15" s="262"/>
      <c r="P15" s="262"/>
      <c r="Q15" s="262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</row>
    <row r="16" spans="2:44" ht="16.2" thickBot="1">
      <c r="J16" s="378" t="s">
        <v>51</v>
      </c>
      <c r="K16" s="381">
        <f>VLOOKUP(K10,Paramètres!A27:C29,3)</f>
        <v>15</v>
      </c>
      <c r="L16" s="375"/>
      <c r="M16" s="310"/>
      <c r="N16" s="310"/>
      <c r="O16" s="262"/>
      <c r="P16" s="262"/>
      <c r="Q16" s="262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</row>
    <row r="17" spans="2:44" ht="29.25" customHeight="1" thickBot="1">
      <c r="B17" s="769"/>
      <c r="C17" s="770"/>
      <c r="D17" s="770"/>
      <c r="E17" s="770"/>
      <c r="F17" s="770"/>
      <c r="G17" s="770"/>
      <c r="H17" s="771"/>
      <c r="J17" s="262"/>
      <c r="K17" s="262"/>
      <c r="L17" s="375"/>
      <c r="M17" s="300" t="s">
        <v>273</v>
      </c>
      <c r="N17" s="382" t="str">
        <f>M115</f>
        <v>PROJET NON RENTABLE</v>
      </c>
      <c r="O17" s="262"/>
      <c r="P17" s="262"/>
      <c r="Q17" s="262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</row>
    <row r="18" spans="2:44" ht="16.2" thickBot="1">
      <c r="J18" s="378" t="s">
        <v>274</v>
      </c>
      <c r="K18" s="381">
        <f>VLOOKUP(K10,Paramètres!A27:D29,4)</f>
        <v>8</v>
      </c>
      <c r="L18" s="262"/>
      <c r="M18" s="311" t="s">
        <v>275</v>
      </c>
      <c r="N18" s="380">
        <f>M116</f>
        <v>0</v>
      </c>
      <c r="O18" s="262"/>
      <c r="P18" s="262"/>
      <c r="Q18" s="262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</row>
    <row r="19" spans="2:44" ht="16.2" thickBot="1">
      <c r="B19" s="198" t="s">
        <v>276</v>
      </c>
      <c r="J19" s="262"/>
      <c r="K19" s="262"/>
      <c r="L19" s="262"/>
      <c r="M19" s="375"/>
      <c r="N19" s="375"/>
      <c r="O19" s="262"/>
      <c r="P19" s="262"/>
      <c r="Q19" s="262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</row>
    <row r="20" spans="2:44" ht="16.2" thickBot="1">
      <c r="J20" s="377" t="s">
        <v>277</v>
      </c>
      <c r="K20" s="379">
        <v>10</v>
      </c>
      <c r="L20" s="262"/>
      <c r="M20" s="262"/>
      <c r="N20" s="418"/>
      <c r="O20" s="262"/>
      <c r="P20" s="262"/>
      <c r="Q20" s="262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</row>
    <row r="21" spans="2:44" ht="16.2" thickBot="1">
      <c r="B21" s="769"/>
      <c r="C21" s="770"/>
      <c r="D21" s="770"/>
      <c r="E21" s="770"/>
      <c r="F21" s="770"/>
      <c r="G21" s="770"/>
      <c r="H21" s="771"/>
      <c r="J21" s="374"/>
      <c r="K21" s="262"/>
      <c r="L21" s="262"/>
      <c r="M21" s="262"/>
      <c r="N21" s="418"/>
      <c r="O21" s="262"/>
      <c r="P21" s="262"/>
      <c r="Q21" s="262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</row>
    <row r="22" spans="2:44" ht="16.2" thickBot="1">
      <c r="J22" s="378" t="s">
        <v>278</v>
      </c>
      <c r="K22" s="376" t="s">
        <v>279</v>
      </c>
      <c r="L22" s="262"/>
      <c r="M22" s="262"/>
      <c r="N22" s="262"/>
      <c r="O22" s="262"/>
      <c r="P22" s="262"/>
      <c r="Q22" s="262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</row>
    <row r="23" spans="2:44" ht="16.2" thickBot="1">
      <c r="B23" s="198" t="s">
        <v>280</v>
      </c>
      <c r="F23" s="421">
        <f>C50*Paramètres!C13+C51*Paramètres!D13</f>
        <v>0</v>
      </c>
      <c r="G23" s="145"/>
      <c r="J23" s="377" t="s">
        <v>281</v>
      </c>
      <c r="K23" s="376" t="s">
        <v>282</v>
      </c>
      <c r="L23" s="262"/>
      <c r="M23" s="262"/>
      <c r="N23" s="262"/>
      <c r="O23" s="262"/>
      <c r="P23" s="262"/>
      <c r="Q23" s="262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</row>
    <row r="24" spans="2:44" ht="15.6">
      <c r="J24" s="262"/>
      <c r="K24" s="262"/>
      <c r="L24" s="262"/>
      <c r="M24" s="262"/>
      <c r="N24" s="262"/>
      <c r="O24" s="262"/>
      <c r="P24" s="262"/>
      <c r="Q24" s="262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</row>
    <row r="25" spans="2:44" ht="16.2" thickBot="1">
      <c r="B25" s="198" t="s">
        <v>283</v>
      </c>
      <c r="F25" s="421">
        <f>+G61*1000</f>
        <v>0</v>
      </c>
      <c r="J25" s="374"/>
      <c r="K25" s="262"/>
      <c r="L25" s="262"/>
      <c r="M25" s="262"/>
      <c r="N25" s="262"/>
      <c r="O25" s="262"/>
      <c r="P25" s="302"/>
      <c r="Q25" s="302"/>
      <c r="R25" s="302"/>
      <c r="S25" s="302"/>
      <c r="T25" s="302"/>
      <c r="U25" s="302"/>
      <c r="V25" s="302"/>
      <c r="W25" s="302"/>
      <c r="X25" s="302"/>
      <c r="Y25" s="321"/>
      <c r="Z25" s="321"/>
      <c r="AA25" s="321"/>
      <c r="AB25" s="321"/>
      <c r="AC25" s="321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</row>
    <row r="26" spans="2:44" ht="16.2" thickBot="1">
      <c r="J26" s="786" t="s">
        <v>284</v>
      </c>
      <c r="K26" s="793"/>
      <c r="L26" s="793"/>
      <c r="M26" s="793"/>
      <c r="N26" s="793"/>
      <c r="O26" s="793"/>
      <c r="P26" s="793"/>
      <c r="Q26" s="787"/>
      <c r="R26" s="302"/>
      <c r="S26" s="302"/>
      <c r="T26" s="302"/>
      <c r="U26" s="302"/>
      <c r="V26" s="302"/>
      <c r="W26" s="302"/>
      <c r="X26" s="302"/>
      <c r="Y26" s="321"/>
      <c r="Z26" s="321"/>
      <c r="AA26" s="321"/>
      <c r="AB26" s="321"/>
      <c r="AC26" s="321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</row>
    <row r="27" spans="2:44" ht="15.6">
      <c r="B27" s="198" t="s">
        <v>78</v>
      </c>
      <c r="F27" s="628" t="s">
        <v>85</v>
      </c>
      <c r="G27" s="420"/>
      <c r="J27" s="374"/>
      <c r="K27" s="262"/>
      <c r="L27" s="262"/>
      <c r="M27" s="262"/>
      <c r="N27" s="262"/>
      <c r="O27" s="262"/>
      <c r="P27" s="302"/>
      <c r="Q27" s="302"/>
      <c r="R27" s="302"/>
      <c r="S27" s="302"/>
      <c r="T27" s="302"/>
      <c r="U27" s="302"/>
      <c r="V27" s="302"/>
      <c r="W27" s="302"/>
      <c r="X27" s="302"/>
      <c r="Y27" s="321"/>
      <c r="Z27" s="321"/>
      <c r="AA27" s="321"/>
      <c r="AB27" s="321"/>
      <c r="AC27" s="321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</row>
    <row r="28" spans="2:44" ht="15.6">
      <c r="B28" s="198"/>
      <c r="F28" s="199"/>
      <c r="G28" s="420"/>
      <c r="J28" s="374"/>
      <c r="K28" s="262"/>
      <c r="L28" s="262"/>
      <c r="M28" s="262"/>
      <c r="N28" s="262"/>
      <c r="O28" s="262"/>
      <c r="P28" s="302"/>
      <c r="Q28" s="302"/>
      <c r="R28" s="302"/>
      <c r="S28" s="302"/>
      <c r="T28" s="302"/>
      <c r="U28" s="302"/>
      <c r="V28" s="302"/>
      <c r="W28" s="302"/>
      <c r="X28" s="302"/>
      <c r="Y28" s="321"/>
      <c r="Z28" s="321"/>
      <c r="AA28" s="321"/>
      <c r="AB28" s="321"/>
      <c r="AC28" s="321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</row>
    <row r="29" spans="2:44" ht="15.6">
      <c r="C29" s="198" t="s">
        <v>285</v>
      </c>
      <c r="F29" s="199"/>
      <c r="G29" s="420"/>
      <c r="J29" s="374"/>
      <c r="K29" s="262"/>
      <c r="L29" s="262"/>
      <c r="M29" s="262"/>
      <c r="N29" s="262"/>
      <c r="O29" s="262"/>
      <c r="P29" s="302"/>
      <c r="Q29" s="302"/>
      <c r="R29" s="302"/>
      <c r="S29" s="302"/>
      <c r="T29" s="302"/>
      <c r="U29" s="302"/>
      <c r="V29" s="302"/>
      <c r="W29" s="302"/>
      <c r="X29" s="302"/>
      <c r="Y29" s="321"/>
      <c r="Z29" s="321"/>
      <c r="AA29" s="321"/>
      <c r="AB29" s="321"/>
      <c r="AC29" s="321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</row>
    <row r="30" spans="2:44" ht="16.2" thickBot="1">
      <c r="B30" s="198"/>
      <c r="C30" s="635" t="s">
        <v>270</v>
      </c>
      <c r="F30" s="199"/>
      <c r="G30" s="420"/>
      <c r="J30" s="374"/>
      <c r="K30" s="262"/>
      <c r="L30" s="262"/>
      <c r="M30" s="262"/>
      <c r="N30" s="262"/>
      <c r="O30" s="262"/>
      <c r="P30" s="302"/>
      <c r="Q30" s="302"/>
      <c r="R30" s="302"/>
      <c r="S30" s="302"/>
      <c r="T30" s="302"/>
      <c r="U30" s="302"/>
      <c r="V30" s="302"/>
      <c r="W30" s="302"/>
      <c r="X30" s="302"/>
      <c r="Y30" s="321"/>
      <c r="Z30" s="321"/>
      <c r="AA30" s="321"/>
      <c r="AB30" s="321"/>
      <c r="AC30" s="321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</row>
    <row r="31" spans="2:44" ht="12.9" customHeight="1">
      <c r="B31" t="s">
        <v>286</v>
      </c>
      <c r="C31" s="794" t="s">
        <v>81</v>
      </c>
      <c r="D31" s="795"/>
      <c r="E31" s="795"/>
      <c r="F31" s="796"/>
      <c r="G31" s="420"/>
      <c r="J31" s="373"/>
      <c r="K31" s="302"/>
      <c r="L31" s="302"/>
      <c r="M31" s="319"/>
      <c r="N31" s="797" t="s">
        <v>287</v>
      </c>
      <c r="O31" s="798"/>
      <c r="P31" s="302"/>
      <c r="Q31" s="302"/>
      <c r="R31" s="302"/>
      <c r="S31" s="302"/>
      <c r="T31" s="302"/>
      <c r="U31" s="302"/>
      <c r="V31" s="302"/>
      <c r="W31" s="321"/>
      <c r="X31" s="321"/>
      <c r="Y31" s="321"/>
      <c r="Z31" s="321"/>
      <c r="AA31" s="321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</row>
    <row r="32" spans="2:44" ht="16.2" thickBot="1">
      <c r="B32" s="198"/>
      <c r="C32" s="625"/>
      <c r="D32" s="625"/>
      <c r="E32" s="625"/>
      <c r="F32" s="626"/>
      <c r="G32" s="420"/>
      <c r="J32" s="374"/>
      <c r="K32" s="262"/>
      <c r="L32" s="262"/>
      <c r="M32" s="262"/>
      <c r="N32" s="262"/>
      <c r="O32" s="262"/>
      <c r="P32" s="302"/>
      <c r="Q32" s="302"/>
      <c r="R32" s="302"/>
      <c r="S32" s="302"/>
      <c r="T32" s="302"/>
      <c r="U32" s="302"/>
      <c r="V32" s="302"/>
      <c r="W32" s="302"/>
      <c r="X32" s="302"/>
      <c r="Y32" s="321"/>
      <c r="Z32" s="321"/>
      <c r="AA32" s="321"/>
      <c r="AB32" s="321"/>
      <c r="AC32" s="321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</row>
    <row r="33" spans="2:44" ht="13.8">
      <c r="B33" t="s">
        <v>288</v>
      </c>
      <c r="C33" s="794" t="s">
        <v>81</v>
      </c>
      <c r="D33" s="795"/>
      <c r="E33" s="795"/>
      <c r="F33" s="796"/>
      <c r="G33" s="420"/>
      <c r="J33" s="373"/>
      <c r="K33" s="302"/>
      <c r="L33" s="302"/>
      <c r="M33" s="319"/>
      <c r="N33" s="797" t="s">
        <v>287</v>
      </c>
      <c r="O33" s="798"/>
      <c r="P33" s="302"/>
      <c r="Q33" s="302"/>
      <c r="R33" s="302"/>
      <c r="S33" s="302"/>
      <c r="T33" s="302"/>
      <c r="U33" s="302"/>
      <c r="V33" s="302"/>
      <c r="W33" s="321"/>
      <c r="X33" s="321"/>
      <c r="Y33" s="321"/>
      <c r="Z33" s="321"/>
      <c r="AA33" s="321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</row>
    <row r="34" spans="2:44" ht="16.2" thickBot="1">
      <c r="B34" s="198"/>
      <c r="C34" s="625"/>
      <c r="D34" s="625"/>
      <c r="E34" s="625"/>
      <c r="F34" s="626"/>
      <c r="G34" s="420"/>
      <c r="J34" s="374"/>
      <c r="K34" s="262"/>
      <c r="L34" s="262"/>
      <c r="M34" s="262"/>
      <c r="N34" s="262"/>
      <c r="O34" s="262"/>
      <c r="P34" s="302"/>
      <c r="Q34" s="302"/>
      <c r="R34" s="302"/>
      <c r="S34" s="302"/>
      <c r="T34" s="302"/>
      <c r="U34" s="302"/>
      <c r="V34" s="302"/>
      <c r="W34" s="302"/>
      <c r="X34" s="302"/>
      <c r="Y34" s="321"/>
      <c r="Z34" s="321"/>
      <c r="AA34" s="321"/>
      <c r="AB34" s="321"/>
      <c r="AC34" s="321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</row>
    <row r="35" spans="2:44" ht="14.4" thickBot="1">
      <c r="B35" t="s">
        <v>289</v>
      </c>
      <c r="C35" s="794" t="s">
        <v>81</v>
      </c>
      <c r="D35" s="795"/>
      <c r="E35" s="795"/>
      <c r="F35" s="796"/>
      <c r="G35" s="420"/>
      <c r="J35" s="373"/>
      <c r="K35" s="302"/>
      <c r="L35" s="302"/>
      <c r="M35" s="319"/>
      <c r="N35" s="797" t="s">
        <v>287</v>
      </c>
      <c r="O35" s="798"/>
      <c r="P35" s="302"/>
      <c r="Q35" s="302"/>
      <c r="R35" s="302"/>
      <c r="S35" s="302"/>
      <c r="T35" s="302"/>
      <c r="U35" s="302"/>
      <c r="V35" s="302"/>
      <c r="W35" s="321"/>
      <c r="X35" s="321"/>
      <c r="Y35" s="321"/>
      <c r="Z35" s="321"/>
      <c r="AA35" s="321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</row>
    <row r="36" spans="2:44" ht="36.6" thickBot="1">
      <c r="C36" s="635" t="s">
        <v>270</v>
      </c>
      <c r="J36" s="370" t="s">
        <v>290</v>
      </c>
      <c r="K36" s="370" t="s">
        <v>291</v>
      </c>
      <c r="L36" s="372" t="s">
        <v>292</v>
      </c>
      <c r="M36" s="372" t="s">
        <v>293</v>
      </c>
      <c r="N36" s="371" t="s">
        <v>294</v>
      </c>
      <c r="O36" s="370" t="s">
        <v>295</v>
      </c>
      <c r="P36" s="302"/>
      <c r="Q36" s="302"/>
      <c r="R36" s="302"/>
      <c r="S36" s="302"/>
      <c r="T36" s="302"/>
      <c r="U36" s="302"/>
      <c r="V36" s="302"/>
      <c r="W36" s="321"/>
      <c r="X36" s="321"/>
      <c r="Y36" s="321"/>
      <c r="Z36" s="321"/>
      <c r="AA36" s="321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</row>
    <row r="37" spans="2:44" ht="15.6">
      <c r="B37" s="198" t="s">
        <v>79</v>
      </c>
      <c r="C37" s="629">
        <v>2030</v>
      </c>
      <c r="J37" s="369" t="s">
        <v>296</v>
      </c>
      <c r="K37" s="368">
        <f>Paramètres!C12</f>
        <v>0.216</v>
      </c>
      <c r="L37" s="367"/>
      <c r="M37" s="367"/>
      <c r="N37" s="366">
        <f>Paramètres!C13*1000</f>
        <v>0</v>
      </c>
      <c r="O37" s="799">
        <v>70</v>
      </c>
      <c r="P37" s="302"/>
      <c r="Q37" s="302"/>
      <c r="R37" s="302"/>
      <c r="S37" s="302"/>
      <c r="T37" s="302"/>
      <c r="U37" s="302"/>
      <c r="V37" s="302"/>
      <c r="W37" s="321"/>
      <c r="X37" s="321"/>
      <c r="Y37" s="321"/>
      <c r="Z37" s="321"/>
      <c r="AA37" s="321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</row>
    <row r="38" spans="2:44" ht="15.6">
      <c r="B38" s="198"/>
      <c r="J38" s="364" t="s">
        <v>12</v>
      </c>
      <c r="K38" s="365">
        <f>Paramètres!D12</f>
        <v>0.218</v>
      </c>
      <c r="L38" s="362"/>
      <c r="M38" s="362"/>
      <c r="N38" s="361">
        <f>Paramètres!D13*1000</f>
        <v>0</v>
      </c>
      <c r="O38" s="800"/>
      <c r="P38" s="302"/>
      <c r="Q38" s="302"/>
      <c r="R38" s="302"/>
      <c r="S38" s="302"/>
      <c r="T38" s="302"/>
      <c r="U38" s="302"/>
      <c r="V38" s="302"/>
      <c r="W38" s="321"/>
      <c r="X38" s="321"/>
      <c r="Y38" s="321"/>
      <c r="Z38" s="321"/>
      <c r="AA38" s="321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</row>
    <row r="39" spans="2:44">
      <c r="J39" s="364" t="s">
        <v>297</v>
      </c>
      <c r="K39" s="365">
        <f>Paramètres!E12/1000/(35.9/0.94/3600)</f>
        <v>0.30700138161559892</v>
      </c>
      <c r="L39" s="362"/>
      <c r="M39" s="362"/>
      <c r="N39" s="361">
        <f>Paramètres!E13/Paramètres!E10*1000</f>
        <v>0</v>
      </c>
      <c r="O39" s="800"/>
      <c r="P39" s="302"/>
      <c r="Q39" s="302"/>
      <c r="R39" s="302"/>
      <c r="S39" s="302"/>
      <c r="T39" s="302"/>
      <c r="U39" s="302"/>
      <c r="V39" s="302"/>
      <c r="W39" s="321"/>
      <c r="X39" s="321"/>
      <c r="Y39" s="321"/>
      <c r="Z39" s="321"/>
      <c r="AA39" s="321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</row>
    <row r="40" spans="2:44" ht="15.6">
      <c r="B40" s="198" t="s">
        <v>298</v>
      </c>
      <c r="J40" s="364" t="s">
        <v>299</v>
      </c>
      <c r="K40" s="365">
        <f>2.9209/1000/(43.77/0.94/3600)</f>
        <v>0.22582420836189168</v>
      </c>
      <c r="L40" s="362"/>
      <c r="M40" s="362"/>
      <c r="N40" s="361"/>
      <c r="O40" s="800"/>
      <c r="P40" s="302"/>
      <c r="Q40" s="302"/>
      <c r="R40" s="302"/>
      <c r="S40" s="302"/>
      <c r="T40" s="302"/>
      <c r="U40" s="302"/>
      <c r="V40" s="302"/>
      <c r="W40" s="321"/>
      <c r="X40" s="321"/>
      <c r="Y40" s="321"/>
      <c r="Z40" s="321"/>
      <c r="AA40" s="321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</row>
    <row r="41" spans="2:44">
      <c r="J41" s="364" t="s">
        <v>300</v>
      </c>
      <c r="K41" s="365">
        <f>3.3679/1000/(35.9/0.94/3600)</f>
        <v>0.31746444568245125</v>
      </c>
      <c r="L41" s="362"/>
      <c r="M41" s="362"/>
      <c r="N41" s="361"/>
      <c r="O41" s="800"/>
      <c r="P41" s="302"/>
      <c r="Q41" s="302"/>
      <c r="R41" s="302"/>
      <c r="S41" s="302"/>
      <c r="T41" s="302"/>
      <c r="U41" s="302"/>
      <c r="V41" s="302"/>
      <c r="W41" s="321"/>
      <c r="X41" s="321"/>
      <c r="Y41" s="321"/>
      <c r="Z41" s="321"/>
      <c r="AA41" s="321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</row>
    <row r="42" spans="2:44" ht="12.9" customHeight="1">
      <c r="B42" s="769"/>
      <c r="C42" s="770"/>
      <c r="D42" s="770"/>
      <c r="E42" s="770"/>
      <c r="F42" s="770"/>
      <c r="G42" s="770"/>
      <c r="H42" s="771"/>
      <c r="J42" s="364" t="s">
        <v>301</v>
      </c>
      <c r="K42" s="365">
        <f>3.0567/1000/(29.31/0.96/3600)</f>
        <v>0.36042153531218019</v>
      </c>
      <c r="L42" s="362"/>
      <c r="M42" s="362"/>
      <c r="N42" s="361"/>
      <c r="O42" s="800"/>
      <c r="P42" s="302"/>
      <c r="Q42" s="302"/>
      <c r="R42" s="302"/>
      <c r="S42" s="302"/>
      <c r="T42" s="302"/>
      <c r="U42" s="302"/>
      <c r="V42" s="302"/>
      <c r="W42" s="321"/>
      <c r="X42" s="321"/>
      <c r="Y42" s="321"/>
      <c r="Z42" s="321"/>
      <c r="AA42" s="321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</row>
    <row r="43" spans="2:44">
      <c r="J43" s="364" t="s">
        <v>302</v>
      </c>
      <c r="K43" s="411">
        <v>0</v>
      </c>
      <c r="L43" s="362"/>
      <c r="M43" s="362"/>
      <c r="N43" s="361"/>
      <c r="O43" s="800"/>
      <c r="P43" s="302"/>
      <c r="Q43" s="302"/>
      <c r="R43" s="302"/>
      <c r="S43" s="302"/>
      <c r="T43" s="302"/>
      <c r="U43" s="302"/>
      <c r="V43" s="302"/>
      <c r="W43" s="321"/>
      <c r="X43" s="321"/>
      <c r="Y43" s="321"/>
      <c r="Z43" s="321"/>
      <c r="AA43" s="321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</row>
    <row r="44" spans="2:44" ht="15.6">
      <c r="B44" s="198" t="s">
        <v>303</v>
      </c>
      <c r="J44" s="364" t="s">
        <v>304</v>
      </c>
      <c r="K44" s="363"/>
      <c r="L44" s="362"/>
      <c r="M44" s="362"/>
      <c r="N44" s="361"/>
      <c r="O44" s="800"/>
      <c r="P44" s="302"/>
      <c r="Q44" s="302"/>
      <c r="R44" s="302"/>
      <c r="S44" s="302"/>
      <c r="T44" s="302"/>
      <c r="U44" s="302"/>
      <c r="V44" s="302"/>
      <c r="W44" s="321"/>
      <c r="X44" s="321"/>
      <c r="Y44" s="321"/>
      <c r="Z44" s="321"/>
      <c r="AA44" s="321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</row>
    <row r="45" spans="2:44" ht="13.8" thickBot="1">
      <c r="J45" s="360" t="s">
        <v>304</v>
      </c>
      <c r="K45" s="359"/>
      <c r="L45" s="358"/>
      <c r="M45" s="358"/>
      <c r="N45" s="357"/>
      <c r="O45" s="801"/>
      <c r="P45" s="302"/>
      <c r="Q45" s="302"/>
      <c r="R45" s="302"/>
      <c r="S45" s="302"/>
      <c r="T45" s="302"/>
      <c r="U45" s="302"/>
      <c r="V45" s="302"/>
      <c r="W45" s="321"/>
      <c r="X45" s="321"/>
      <c r="Y45" s="321"/>
      <c r="Z45" s="321"/>
      <c r="AA45" s="321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</row>
    <row r="46" spans="2:44" ht="25.5" customHeight="1" thickBot="1">
      <c r="B46" s="788"/>
      <c r="C46" s="789"/>
      <c r="D46" s="789"/>
      <c r="E46" s="789"/>
      <c r="F46" s="789"/>
      <c r="G46" s="789"/>
      <c r="H46" s="790"/>
      <c r="J46" s="302"/>
      <c r="K46" s="302"/>
      <c r="L46" s="302"/>
      <c r="M46" s="319"/>
      <c r="N46" s="302"/>
      <c r="O46" s="302"/>
      <c r="P46" s="302"/>
      <c r="Q46" s="302"/>
      <c r="R46" s="302"/>
      <c r="S46" s="302"/>
      <c r="T46" s="302"/>
      <c r="U46" s="302"/>
      <c r="V46" s="302"/>
      <c r="W46" s="321"/>
      <c r="X46" s="321"/>
      <c r="Y46" s="321"/>
      <c r="Z46" s="321"/>
      <c r="AA46" s="321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</row>
    <row r="47" spans="2:44" ht="13.8" thickBot="1">
      <c r="B47" s="197"/>
      <c r="C47" s="197"/>
      <c r="D47" s="197"/>
      <c r="E47" s="197"/>
      <c r="F47" s="197"/>
      <c r="G47" s="197"/>
      <c r="H47" s="197"/>
      <c r="I47" s="1"/>
      <c r="J47" s="302"/>
      <c r="K47" s="302"/>
      <c r="L47" s="302"/>
      <c r="M47" s="356" t="s">
        <v>305</v>
      </c>
      <c r="N47" s="791">
        <f>(((L37-M37)*N37)+((L38-M38)*N38)+((L39-M39)*N39)+((L40-M40)*N40)+((L41-M41)*N41)+((L42-M42)*N42)+((L43-M43)*N43)+((L44-M44)*N44)+((L45-M45)*N45))</f>
        <v>0</v>
      </c>
      <c r="O47" s="792"/>
      <c r="P47" s="302"/>
      <c r="Q47" s="302"/>
      <c r="R47" s="302"/>
      <c r="S47" s="302"/>
      <c r="T47" s="302"/>
      <c r="U47" s="302"/>
      <c r="V47" s="302"/>
      <c r="W47" s="321"/>
      <c r="X47" s="321"/>
      <c r="Y47" s="321"/>
      <c r="Z47" s="321"/>
      <c r="AA47" s="321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</row>
    <row r="48" spans="2:44" ht="16.2" thickBot="1">
      <c r="B48" s="198" t="s">
        <v>306</v>
      </c>
      <c r="C48" s="423"/>
      <c r="D48" s="423"/>
      <c r="E48" s="423"/>
      <c r="F48" s="423"/>
      <c r="G48" s="423"/>
      <c r="H48" s="423"/>
      <c r="I48" s="1"/>
      <c r="J48" s="302"/>
      <c r="K48" s="302"/>
      <c r="L48" s="302"/>
      <c r="M48" s="355" t="s">
        <v>307</v>
      </c>
      <c r="N48" s="791">
        <f>IF(K22="OUI",((((L38-M38)*K38)+((L39-M39)*K39)+((L40-M40)*K40)+((L41-M41)*K41)+((L42-M42)*K42)+((L43-M43)*K43)+((L44-M44)*K44)+((L45-M45)*K45)))*O37,0)</f>
        <v>0</v>
      </c>
      <c r="O48" s="792"/>
      <c r="P48" s="302"/>
      <c r="Q48" s="302"/>
      <c r="R48" s="302"/>
      <c r="S48" s="302"/>
      <c r="T48" s="302"/>
      <c r="U48" s="302"/>
      <c r="V48" s="302"/>
      <c r="W48" s="321"/>
      <c r="X48" s="321"/>
      <c r="Y48" s="321"/>
      <c r="Z48" s="321"/>
      <c r="AA48" s="321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</row>
    <row r="49" spans="2:44">
      <c r="G49" s="196"/>
      <c r="I49" s="1"/>
      <c r="J49" s="302"/>
      <c r="K49" s="302"/>
      <c r="L49" s="302"/>
      <c r="M49" s="354"/>
      <c r="N49" s="353"/>
      <c r="O49" s="353"/>
      <c r="P49" s="302"/>
      <c r="Q49" s="302"/>
      <c r="R49" s="302"/>
      <c r="S49" s="302"/>
      <c r="T49" s="302"/>
      <c r="U49" s="302"/>
      <c r="V49" s="302"/>
      <c r="W49" s="321"/>
      <c r="X49" s="321"/>
      <c r="Y49" s="321"/>
      <c r="Z49" s="321"/>
      <c r="AA49" s="321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</row>
    <row r="50" spans="2:44" ht="17.100000000000001" customHeight="1" thickBot="1">
      <c r="B50" t="str">
        <f>Paramètres!C5</f>
        <v>Electricité 
achetée</v>
      </c>
      <c r="C50" s="448"/>
      <c r="D50" t="str">
        <f>Paramètres!C6</f>
        <v>kWh</v>
      </c>
      <c r="G50" s="196"/>
      <c r="J50" s="302"/>
      <c r="K50" s="302"/>
      <c r="L50" s="302"/>
      <c r="M50" s="354"/>
      <c r="N50" s="353"/>
      <c r="O50" s="353"/>
      <c r="P50" s="353"/>
      <c r="Q50" s="353"/>
      <c r="R50" s="302"/>
      <c r="S50" s="302"/>
      <c r="T50" s="302"/>
      <c r="U50" s="302"/>
      <c r="V50" s="302"/>
      <c r="W50" s="302"/>
      <c r="X50" s="302"/>
      <c r="Y50" s="321"/>
      <c r="Z50" s="321"/>
      <c r="AA50" s="321"/>
      <c r="AB50" s="321"/>
      <c r="AC50" s="321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</row>
    <row r="51" spans="2:44" ht="17.100000000000001" customHeight="1" thickBot="1">
      <c r="B51" t="str">
        <f>Paramètres!D5</f>
        <v>Gaz Naturel</v>
      </c>
      <c r="C51" s="448"/>
      <c r="D51" s="145" t="str">
        <f>Paramètres!D6</f>
        <v>kWhs</v>
      </c>
      <c r="G51" s="196"/>
      <c r="H51" s="145"/>
      <c r="J51" s="786" t="s">
        <v>308</v>
      </c>
      <c r="K51" s="793"/>
      <c r="L51" s="793"/>
      <c r="M51" s="793"/>
      <c r="N51" s="793"/>
      <c r="O51" s="793"/>
      <c r="P51" s="793"/>
      <c r="Q51" s="787"/>
      <c r="R51" s="302"/>
      <c r="S51" s="302"/>
      <c r="T51" s="302"/>
      <c r="U51" s="302"/>
      <c r="V51" s="302"/>
      <c r="W51" s="302"/>
      <c r="X51" s="302"/>
      <c r="Y51" s="321"/>
      <c r="Z51" s="321"/>
      <c r="AA51" s="321"/>
      <c r="AB51" s="321"/>
      <c r="AC51" s="321"/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</row>
    <row r="52" spans="2:44" ht="17.100000000000001" customHeight="1">
      <c r="B52" t="str">
        <f>Paramètres!F5</f>
        <v>Biogaz</v>
      </c>
      <c r="C52" s="448"/>
      <c r="D52" s="145" t="str">
        <f>Paramètres!F6</f>
        <v>kWhs</v>
      </c>
      <c r="G52" s="196"/>
      <c r="H52" s="145"/>
      <c r="J52" s="633"/>
      <c r="K52" s="633"/>
      <c r="L52" s="633"/>
      <c r="M52" s="633"/>
      <c r="N52" s="633"/>
      <c r="O52" s="633"/>
      <c r="P52" s="633"/>
      <c r="Q52" s="633"/>
      <c r="R52" s="302"/>
      <c r="S52" s="302"/>
      <c r="T52" s="302"/>
      <c r="U52" s="302"/>
      <c r="V52" s="302"/>
      <c r="W52" s="302"/>
      <c r="X52" s="302"/>
      <c r="Y52" s="321"/>
      <c r="Z52" s="321"/>
      <c r="AA52" s="321"/>
      <c r="AB52" s="321"/>
      <c r="AC52" s="321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</row>
    <row r="53" spans="2:44" ht="17.100000000000001" customHeight="1">
      <c r="B53" t="str">
        <f>Paramètres!G5</f>
        <v>Elec SER</v>
      </c>
      <c r="C53" s="448"/>
      <c r="D53" s="145" t="str">
        <f>Paramètres!G6</f>
        <v>kWh</v>
      </c>
      <c r="G53" s="196"/>
      <c r="H53" s="145"/>
      <c r="J53" s="633"/>
      <c r="K53" s="633"/>
      <c r="L53" s="633"/>
      <c r="M53" s="633"/>
      <c r="N53" s="633"/>
      <c r="O53" s="633"/>
      <c r="P53" s="633"/>
      <c r="Q53" s="633"/>
      <c r="R53" s="302"/>
      <c r="S53" s="302"/>
      <c r="T53" s="302"/>
      <c r="U53" s="302"/>
      <c r="V53" s="302"/>
      <c r="W53" s="302"/>
      <c r="X53" s="302"/>
      <c r="Y53" s="321"/>
      <c r="Z53" s="321"/>
      <c r="AA53" s="321"/>
      <c r="AB53" s="321"/>
      <c r="AC53" s="321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</row>
    <row r="54" spans="2:44" ht="17.100000000000001" customHeight="1" thickBot="1">
      <c r="B54" t="str">
        <f>Paramètres!H5</f>
        <v>Process</v>
      </c>
      <c r="C54" s="448">
        <v>10000</v>
      </c>
      <c r="D54" s="145" t="str">
        <f>Paramètres!H6</f>
        <v>kgCO2</v>
      </c>
      <c r="G54" s="196"/>
      <c r="J54" s="802"/>
      <c r="K54" s="802"/>
      <c r="L54" s="802"/>
      <c r="M54" s="802"/>
      <c r="N54" s="8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21"/>
      <c r="AB54" s="321"/>
      <c r="AC54" s="321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</row>
    <row r="55" spans="2:44">
      <c r="C55" s="195"/>
      <c r="J55" s="803" t="s">
        <v>309</v>
      </c>
      <c r="K55" s="806" t="s">
        <v>310</v>
      </c>
      <c r="L55" s="330" t="s">
        <v>311</v>
      </c>
      <c r="M55" s="352"/>
      <c r="N55" s="333" t="s">
        <v>312</v>
      </c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21"/>
      <c r="AB55" s="321"/>
      <c r="AC55" s="321"/>
      <c r="AD55" s="321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</row>
    <row r="56" spans="2:44" ht="16.2" thickBot="1">
      <c r="B56" s="198" t="s">
        <v>313</v>
      </c>
      <c r="C56" s="423"/>
      <c r="D56" s="423"/>
      <c r="E56" s="423"/>
      <c r="F56" s="423"/>
      <c r="G56" s="423"/>
      <c r="H56" s="423"/>
      <c r="J56" s="804"/>
      <c r="K56" s="807"/>
      <c r="L56" s="326" t="s">
        <v>314</v>
      </c>
      <c r="M56" s="327"/>
      <c r="N56" s="326" t="s">
        <v>312</v>
      </c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21"/>
      <c r="AB56" s="321"/>
      <c r="AC56" s="321"/>
      <c r="AD56" s="321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</row>
    <row r="57" spans="2:44">
      <c r="H57" s="178"/>
      <c r="J57" s="804"/>
      <c r="K57" s="807" t="s">
        <v>315</v>
      </c>
      <c r="L57" s="341" t="s">
        <v>316</v>
      </c>
      <c r="M57" s="340"/>
      <c r="N57" s="333" t="s">
        <v>312</v>
      </c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21"/>
      <c r="AB57" s="321"/>
      <c r="AC57" s="321"/>
      <c r="AD57" s="321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</row>
    <row r="58" spans="2:44" ht="13.8" thickBot="1">
      <c r="B58" s="810"/>
      <c r="C58" s="811"/>
      <c r="D58" s="811"/>
      <c r="E58" s="812"/>
      <c r="G58" s="630">
        <v>0</v>
      </c>
      <c r="H58" s="476"/>
      <c r="J58" s="804"/>
      <c r="K58" s="807"/>
      <c r="L58" s="339" t="s">
        <v>317</v>
      </c>
      <c r="M58" s="351"/>
      <c r="N58" s="326" t="s">
        <v>312</v>
      </c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21"/>
      <c r="AB58" s="321"/>
      <c r="AC58" s="321"/>
      <c r="AD58" s="321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</row>
    <row r="59" spans="2:44" ht="13.8" thickBot="1">
      <c r="B59" s="808"/>
      <c r="C59" s="808"/>
      <c r="D59" s="808"/>
      <c r="E59" s="808"/>
      <c r="F59" s="808"/>
      <c r="G59" s="422"/>
      <c r="H59" s="178"/>
      <c r="J59" s="805"/>
      <c r="K59" s="350" t="s">
        <v>318</v>
      </c>
      <c r="L59" s="322" t="s">
        <v>319</v>
      </c>
      <c r="M59" s="349"/>
      <c r="N59" s="331" t="s">
        <v>312</v>
      </c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21"/>
      <c r="AB59" s="321"/>
      <c r="AC59" s="321"/>
      <c r="AD59" s="321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</row>
    <row r="60" spans="2:44" ht="13.8" thickBot="1">
      <c r="B60" s="808"/>
      <c r="C60" s="808"/>
      <c r="D60" s="808"/>
      <c r="E60" s="808"/>
      <c r="F60" s="808"/>
      <c r="G60" s="422"/>
      <c r="H60" s="178"/>
      <c r="J60" s="348"/>
      <c r="K60" s="346"/>
      <c r="L60" s="346"/>
      <c r="M60" s="347"/>
      <c r="N60" s="346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21"/>
      <c r="AB60" s="321"/>
      <c r="AC60" s="321"/>
      <c r="AD60" s="321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</row>
    <row r="61" spans="2:44" ht="13.8" thickBot="1">
      <c r="B61" s="813" t="s">
        <v>320</v>
      </c>
      <c r="C61" s="813"/>
      <c r="D61" s="813"/>
      <c r="E61" s="813"/>
      <c r="F61" s="813"/>
      <c r="G61" s="449">
        <f>SUM(G58:G60)/1000</f>
        <v>0</v>
      </c>
      <c r="H61" s="190"/>
      <c r="J61" s="814" t="s">
        <v>321</v>
      </c>
      <c r="K61" s="344" t="s">
        <v>322</v>
      </c>
      <c r="L61" s="343" t="s">
        <v>323</v>
      </c>
      <c r="M61" s="342"/>
      <c r="N61" s="333" t="s">
        <v>324</v>
      </c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21"/>
      <c r="AB61" s="321"/>
      <c r="AC61" s="321"/>
      <c r="AD61" s="321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</row>
    <row r="62" spans="2:44">
      <c r="B62" s="193"/>
      <c r="C62" s="194"/>
      <c r="D62" s="193"/>
      <c r="E62" s="193"/>
      <c r="F62" s="193"/>
      <c r="J62" s="815"/>
      <c r="K62" s="807" t="s">
        <v>325</v>
      </c>
      <c r="L62" s="341" t="s">
        <v>326</v>
      </c>
      <c r="M62" s="340"/>
      <c r="N62" s="333" t="s">
        <v>324</v>
      </c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21"/>
      <c r="AB62" s="321"/>
      <c r="AC62" s="321"/>
      <c r="AD62" s="321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</row>
    <row r="63" spans="2:44" ht="16.2" thickBot="1">
      <c r="B63" s="198" t="s">
        <v>327</v>
      </c>
      <c r="C63" s="423"/>
      <c r="D63" s="423"/>
      <c r="E63" s="423"/>
      <c r="F63" s="423"/>
      <c r="G63" s="423"/>
      <c r="H63" s="423"/>
      <c r="J63" s="815"/>
      <c r="K63" s="807"/>
      <c r="L63" s="339" t="s">
        <v>328</v>
      </c>
      <c r="M63" s="338"/>
      <c r="N63" s="322" t="s">
        <v>329</v>
      </c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21"/>
      <c r="AB63" s="321"/>
      <c r="AC63" s="321"/>
      <c r="AD63" s="321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</row>
    <row r="64" spans="2:44">
      <c r="B64" s="808"/>
      <c r="C64" s="808"/>
      <c r="D64" s="808"/>
      <c r="E64" s="808"/>
      <c r="F64" s="808"/>
      <c r="G64" s="192"/>
      <c r="H64" s="178" t="s">
        <v>330</v>
      </c>
      <c r="J64" s="815"/>
      <c r="K64" s="807" t="s">
        <v>331</v>
      </c>
      <c r="L64" s="337" t="s">
        <v>332</v>
      </c>
      <c r="M64" s="336">
        <f>N47/1000</f>
        <v>0</v>
      </c>
      <c r="N64" s="333" t="s">
        <v>324</v>
      </c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21"/>
      <c r="AB64" s="321"/>
      <c r="AC64" s="321"/>
      <c r="AD64" s="321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</row>
    <row r="65" spans="2:44" ht="13.8" thickBot="1">
      <c r="B65" s="808"/>
      <c r="C65" s="808"/>
      <c r="D65" s="808"/>
      <c r="E65" s="808"/>
      <c r="F65" s="808"/>
      <c r="G65" s="192"/>
      <c r="H65" s="178" t="s">
        <v>330</v>
      </c>
      <c r="J65" s="815"/>
      <c r="K65" s="809"/>
      <c r="L65" s="328" t="s">
        <v>333</v>
      </c>
      <c r="M65" s="335">
        <f>N48/1000</f>
        <v>0</v>
      </c>
      <c r="N65" s="326" t="s">
        <v>324</v>
      </c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21"/>
      <c r="AB65" s="321"/>
      <c r="AC65" s="321"/>
      <c r="AD65" s="321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</row>
    <row r="66" spans="2:44" ht="13.8" thickBot="1">
      <c r="B66" s="808"/>
      <c r="C66" s="808"/>
      <c r="D66" s="808"/>
      <c r="E66" s="808"/>
      <c r="F66" s="808"/>
      <c r="G66" s="192"/>
      <c r="H66" s="178" t="s">
        <v>330</v>
      </c>
      <c r="J66" s="815"/>
      <c r="K66" s="334" t="s">
        <v>334</v>
      </c>
      <c r="L66" s="333" t="s">
        <v>335</v>
      </c>
      <c r="M66" s="332">
        <v>0</v>
      </c>
      <c r="N66" s="331" t="s">
        <v>324</v>
      </c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21"/>
      <c r="AB66" s="321"/>
      <c r="AC66" s="321"/>
      <c r="AD66" s="321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</row>
    <row r="67" spans="2:44">
      <c r="B67" s="813" t="s">
        <v>336</v>
      </c>
      <c r="C67" s="813"/>
      <c r="D67" s="813"/>
      <c r="E67" s="813"/>
      <c r="F67" s="813"/>
      <c r="G67" s="191">
        <f>SUM(G64:G66)</f>
        <v>0</v>
      </c>
      <c r="H67" s="190" t="s">
        <v>330</v>
      </c>
      <c r="J67" s="815"/>
      <c r="K67" s="817" t="s">
        <v>337</v>
      </c>
      <c r="L67" s="330" t="s">
        <v>338</v>
      </c>
      <c r="M67" s="327"/>
      <c r="N67" s="326" t="s">
        <v>324</v>
      </c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21"/>
      <c r="AB67" s="321"/>
      <c r="AC67" s="321"/>
      <c r="AD67" s="321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</row>
    <row r="68" spans="2:44" ht="26.4">
      <c r="B68" s="423"/>
      <c r="C68" s="423"/>
      <c r="D68" s="423"/>
      <c r="E68" s="423"/>
      <c r="F68" s="423"/>
      <c r="G68" s="423"/>
      <c r="H68" s="423"/>
      <c r="J68" s="815"/>
      <c r="K68" s="807"/>
      <c r="L68" s="328" t="s">
        <v>339</v>
      </c>
      <c r="M68" s="327"/>
      <c r="N68" s="326" t="s">
        <v>324</v>
      </c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21"/>
      <c r="AB68" s="321"/>
      <c r="AC68" s="321"/>
      <c r="AD68" s="321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</row>
    <row r="69" spans="2:44">
      <c r="B69" s="145"/>
      <c r="J69" s="815"/>
      <c r="K69" s="807"/>
      <c r="L69" s="328" t="s">
        <v>340</v>
      </c>
      <c r="M69" s="327"/>
      <c r="N69" s="326" t="s">
        <v>324</v>
      </c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21"/>
      <c r="AB69" s="321"/>
      <c r="AC69" s="321"/>
      <c r="AD69" s="321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</row>
    <row r="70" spans="2:44" ht="18" customHeight="1">
      <c r="B70" s="819" t="s">
        <v>341</v>
      </c>
      <c r="C70" s="820"/>
      <c r="D70" s="820"/>
      <c r="E70" s="820"/>
      <c r="F70" s="820"/>
      <c r="G70" s="820"/>
      <c r="H70" s="821"/>
      <c r="J70" s="815"/>
      <c r="K70" s="807"/>
      <c r="L70" s="328" t="s">
        <v>342</v>
      </c>
      <c r="M70" s="327"/>
      <c r="N70" s="326" t="s">
        <v>324</v>
      </c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21"/>
      <c r="AB70" s="321"/>
      <c r="AC70" s="321"/>
      <c r="AD70" s="321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</row>
    <row r="71" spans="2:44" ht="34.5" customHeight="1">
      <c r="B71" s="186" t="s">
        <v>343</v>
      </c>
      <c r="C71" s="187" t="s">
        <v>344</v>
      </c>
      <c r="D71" s="187" t="s">
        <v>129</v>
      </c>
      <c r="E71" s="822" t="s">
        <v>345</v>
      </c>
      <c r="F71" s="823"/>
      <c r="G71" s="186" t="s">
        <v>346</v>
      </c>
      <c r="H71" s="185"/>
      <c r="J71" s="815"/>
      <c r="K71" s="807"/>
      <c r="L71" s="328" t="s">
        <v>347</v>
      </c>
      <c r="M71" s="327"/>
      <c r="N71" s="326" t="s">
        <v>324</v>
      </c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21"/>
      <c r="AB71" s="321"/>
      <c r="AC71" s="321"/>
      <c r="AD71" s="321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</row>
    <row r="72" spans="2:44" ht="13.8" thickBot="1">
      <c r="B72" s="184" t="str">
        <f t="shared" ref="B72:D76" si="0">+B50</f>
        <v>Electricité 
achetée</v>
      </c>
      <c r="C72" s="183">
        <f t="shared" si="0"/>
        <v>0</v>
      </c>
      <c r="D72" t="str">
        <f t="shared" si="0"/>
        <v>kWh</v>
      </c>
      <c r="E72" s="189">
        <f>Paramètres!C10</f>
        <v>1</v>
      </c>
      <c r="F72" s="145" t="str">
        <f>"kWhf/"&amp;D72</f>
        <v>kWhf/kWh</v>
      </c>
      <c r="G72" s="214">
        <f>+C72*E72/1000</f>
        <v>0</v>
      </c>
      <c r="H72" s="212" t="s">
        <v>233</v>
      </c>
      <c r="J72" s="816"/>
      <c r="K72" s="818"/>
      <c r="L72" s="324" t="s">
        <v>232</v>
      </c>
      <c r="M72" s="323"/>
      <c r="N72" s="322" t="s">
        <v>324</v>
      </c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21"/>
      <c r="AB72" s="321"/>
      <c r="AC72" s="321"/>
      <c r="AD72" s="321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</row>
    <row r="73" spans="2:44" ht="14.4">
      <c r="B73" s="184" t="str">
        <f t="shared" si="0"/>
        <v>Gaz Naturel</v>
      </c>
      <c r="C73" s="183">
        <f t="shared" si="0"/>
        <v>0</v>
      </c>
      <c r="D73" t="str">
        <f t="shared" si="0"/>
        <v>kWhs</v>
      </c>
      <c r="E73" s="189">
        <f>Paramètres!D10</f>
        <v>1</v>
      </c>
      <c r="F73" s="145" t="str">
        <f t="shared" ref="F73:F76" si="1">"kWhf/"&amp;D73</f>
        <v>kWhf/kWhs</v>
      </c>
      <c r="G73" s="214">
        <f>+C73*E73/1000</f>
        <v>0</v>
      </c>
      <c r="H73" s="212" t="s">
        <v>233</v>
      </c>
      <c r="J73" s="320"/>
      <c r="K73" s="302"/>
      <c r="L73" s="302"/>
      <c r="M73" s="319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</row>
    <row r="74" spans="2:44" ht="14.4">
      <c r="B74" s="184" t="str">
        <f t="shared" si="0"/>
        <v>Biogaz</v>
      </c>
      <c r="C74" s="183">
        <f t="shared" si="0"/>
        <v>0</v>
      </c>
      <c r="D74" t="str">
        <f t="shared" si="0"/>
        <v>kWhs</v>
      </c>
      <c r="E74" s="189">
        <f>Paramètres!F10</f>
        <v>1</v>
      </c>
      <c r="F74" s="145" t="str">
        <f t="shared" ref="F74" si="2">"kWhf/"&amp;D74</f>
        <v>kWhf/kWhs</v>
      </c>
      <c r="G74" s="214">
        <f>+C74*E74/1000</f>
        <v>0</v>
      </c>
      <c r="H74" s="212" t="s">
        <v>233</v>
      </c>
      <c r="J74" s="320"/>
      <c r="K74" s="302"/>
      <c r="L74" s="302"/>
      <c r="M74" s="319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</row>
    <row r="75" spans="2:44" ht="14.4">
      <c r="B75" s="184" t="str">
        <f t="shared" si="0"/>
        <v>Elec SER</v>
      </c>
      <c r="C75" s="183">
        <f t="shared" si="0"/>
        <v>0</v>
      </c>
      <c r="D75" t="str">
        <f t="shared" si="0"/>
        <v>kWh</v>
      </c>
      <c r="E75" s="189">
        <f>Paramètres!G10</f>
        <v>1</v>
      </c>
      <c r="F75" s="145" t="str">
        <f t="shared" si="1"/>
        <v>kWhf/kWh</v>
      </c>
      <c r="G75" s="214">
        <f>+C75*E75/1000</f>
        <v>0</v>
      </c>
      <c r="H75" s="212" t="s">
        <v>233</v>
      </c>
      <c r="J75" s="320"/>
      <c r="K75" s="302"/>
      <c r="L75" s="302"/>
      <c r="M75" s="319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</row>
    <row r="76" spans="2:44" ht="15" thickBot="1">
      <c r="B76" s="184" t="str">
        <f t="shared" si="0"/>
        <v>Process</v>
      </c>
      <c r="C76" s="183">
        <f t="shared" si="0"/>
        <v>10000</v>
      </c>
      <c r="D76" t="str">
        <f t="shared" si="0"/>
        <v>kgCO2</v>
      </c>
      <c r="E76" s="189">
        <f>Paramètres!H10</f>
        <v>0</v>
      </c>
      <c r="F76" s="145" t="str">
        <f t="shared" si="1"/>
        <v>kWhf/kgCO2</v>
      </c>
      <c r="G76" s="214">
        <f>+C76*E76/1000</f>
        <v>0</v>
      </c>
      <c r="H76" s="212" t="s">
        <v>233</v>
      </c>
      <c r="J76" s="320"/>
      <c r="K76" s="302"/>
      <c r="L76" s="302"/>
      <c r="M76" s="319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</row>
    <row r="77" spans="2:44" ht="16.2" thickBot="1">
      <c r="B77" s="824" t="s">
        <v>348</v>
      </c>
      <c r="C77" s="825"/>
      <c r="D77" s="825"/>
      <c r="E77" s="825"/>
      <c r="F77" s="825"/>
      <c r="G77" s="215">
        <f>SUM(G72:G75)</f>
        <v>0</v>
      </c>
      <c r="H77" s="213" t="s">
        <v>233</v>
      </c>
      <c r="J77" s="826" t="s">
        <v>349</v>
      </c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7"/>
      <c r="V77" s="827"/>
      <c r="W77" s="827"/>
      <c r="X77" s="827"/>
      <c r="Y77" s="827"/>
      <c r="Z77" s="827"/>
      <c r="AA77" s="827"/>
      <c r="AB77" s="827"/>
      <c r="AC77" s="827"/>
      <c r="AD77" s="827"/>
      <c r="AE77" s="827"/>
      <c r="AF77" s="827"/>
      <c r="AG77" s="827"/>
      <c r="AH77" s="827"/>
      <c r="AI77" s="827"/>
      <c r="AJ77" s="827"/>
      <c r="AK77" s="827"/>
      <c r="AL77" s="827"/>
      <c r="AM77" s="827"/>
      <c r="AN77" s="827"/>
      <c r="AO77" s="827"/>
      <c r="AP77" s="827"/>
      <c r="AQ77" s="827"/>
      <c r="AR77" s="828"/>
    </row>
    <row r="78" spans="2:44" ht="13.8" thickBot="1">
      <c r="B78" s="86"/>
      <c r="C78" s="86"/>
      <c r="D78" s="86"/>
      <c r="E78" s="86"/>
      <c r="F78" s="86"/>
      <c r="G78" s="216">
        <f>G77/'2023'!H35</f>
        <v>0</v>
      </c>
      <c r="H78" s="228">
        <f>G77/'2023'!T17</f>
        <v>0</v>
      </c>
      <c r="J78" s="302"/>
      <c r="K78" s="302"/>
      <c r="L78" s="302"/>
      <c r="M78" s="301"/>
      <c r="N78" s="302"/>
      <c r="O78" s="308"/>
      <c r="P78" s="308"/>
      <c r="Q78" s="308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</row>
    <row r="79" spans="2:44" ht="14.4" thickBot="1">
      <c r="B79" s="188"/>
      <c r="C79" s="188"/>
      <c r="D79" s="188"/>
      <c r="E79" s="188"/>
      <c r="F79" s="188"/>
      <c r="G79" s="188"/>
      <c r="H79" s="188"/>
      <c r="J79" s="302"/>
      <c r="K79" s="302"/>
      <c r="L79" s="302"/>
      <c r="M79" s="301"/>
      <c r="N79" s="831" t="s">
        <v>350</v>
      </c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  <c r="AQ79" s="832"/>
      <c r="AR79" s="833"/>
    </row>
    <row r="80" spans="2:44" ht="19.5" customHeight="1" thickBot="1">
      <c r="B80" s="819" t="s">
        <v>351</v>
      </c>
      <c r="C80" s="820"/>
      <c r="D80" s="820"/>
      <c r="E80" s="820"/>
      <c r="F80" s="820"/>
      <c r="G80" s="820"/>
      <c r="H80" s="821"/>
      <c r="J80" s="302"/>
      <c r="K80" s="302"/>
      <c r="L80" s="310"/>
      <c r="M80" s="310"/>
      <c r="N80" s="300">
        <v>0</v>
      </c>
      <c r="O80" s="299">
        <v>1</v>
      </c>
      <c r="P80" s="299">
        <v>2</v>
      </c>
      <c r="Q80" s="299">
        <v>3</v>
      </c>
      <c r="R80" s="299">
        <v>4</v>
      </c>
      <c r="S80" s="299">
        <v>5</v>
      </c>
      <c r="T80" s="299">
        <v>6</v>
      </c>
      <c r="U80" s="299">
        <v>7</v>
      </c>
      <c r="V80" s="299">
        <v>8</v>
      </c>
      <c r="W80" s="299">
        <v>9</v>
      </c>
      <c r="X80" s="299">
        <v>10</v>
      </c>
      <c r="Y80" s="299">
        <v>11</v>
      </c>
      <c r="Z80" s="299">
        <v>12</v>
      </c>
      <c r="AA80" s="299">
        <v>13</v>
      </c>
      <c r="AB80" s="299">
        <v>14</v>
      </c>
      <c r="AC80" s="299">
        <v>15</v>
      </c>
      <c r="AD80" s="299">
        <v>16</v>
      </c>
      <c r="AE80" s="299">
        <v>17</v>
      </c>
      <c r="AF80" s="299">
        <v>18</v>
      </c>
      <c r="AG80" s="299">
        <v>19</v>
      </c>
      <c r="AH80" s="299">
        <v>20</v>
      </c>
      <c r="AI80" s="299">
        <v>21</v>
      </c>
      <c r="AJ80" s="299">
        <v>22</v>
      </c>
      <c r="AK80" s="299">
        <v>23</v>
      </c>
      <c r="AL80" s="299">
        <v>24</v>
      </c>
      <c r="AM80" s="299">
        <v>25</v>
      </c>
      <c r="AN80" s="299">
        <v>26</v>
      </c>
      <c r="AO80" s="299">
        <v>27</v>
      </c>
      <c r="AP80" s="299">
        <v>28</v>
      </c>
      <c r="AQ80" s="299">
        <v>29</v>
      </c>
      <c r="AR80" s="298">
        <v>30</v>
      </c>
    </row>
    <row r="81" spans="2:44" ht="30" customHeight="1">
      <c r="B81" s="186" t="str">
        <f>+B71</f>
        <v>Vecteurs énergétiques</v>
      </c>
      <c r="C81" s="186" t="str">
        <f>+C71</f>
        <v>Quantités</v>
      </c>
      <c r="D81" s="186" t="str">
        <f>+D71</f>
        <v>Unités</v>
      </c>
      <c r="E81" s="834" t="s">
        <v>352</v>
      </c>
      <c r="F81" s="834"/>
      <c r="G81" s="186" t="s">
        <v>353</v>
      </c>
      <c r="H81" s="185"/>
      <c r="J81" s="302"/>
      <c r="K81" s="302"/>
      <c r="L81" s="835" t="s">
        <v>354</v>
      </c>
      <c r="M81" s="297" t="s">
        <v>311</v>
      </c>
      <c r="N81" s="296">
        <f>(M55)</f>
        <v>0</v>
      </c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7"/>
    </row>
    <row r="82" spans="2:44" ht="16.2" thickBot="1">
      <c r="B82" s="184" t="str">
        <f>+B72</f>
        <v>Electricité 
achetée</v>
      </c>
      <c r="C82" s="183">
        <f t="shared" ref="C82:D86" si="3">C72</f>
        <v>0</v>
      </c>
      <c r="D82" s="183" t="str">
        <f t="shared" si="3"/>
        <v>kWh</v>
      </c>
      <c r="E82" s="211">
        <f>Paramètres!C$12</f>
        <v>0.216</v>
      </c>
      <c r="F82" s="145" t="str">
        <f>"kgCO2/"&amp;D82</f>
        <v>kgCO2/kWh</v>
      </c>
      <c r="G82" s="182">
        <f>+C82*E82</f>
        <v>0</v>
      </c>
      <c r="H82" s="181" t="s">
        <v>355</v>
      </c>
      <c r="J82" s="302"/>
      <c r="K82" s="302"/>
      <c r="L82" s="836"/>
      <c r="M82" s="310" t="s">
        <v>314</v>
      </c>
      <c r="N82" s="290">
        <f>M56</f>
        <v>0</v>
      </c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16"/>
    </row>
    <row r="83" spans="2:44" ht="15.6">
      <c r="B83" s="184" t="str">
        <f>+B73</f>
        <v>Gaz Naturel</v>
      </c>
      <c r="C83" s="183">
        <f t="shared" si="3"/>
        <v>0</v>
      </c>
      <c r="D83" s="183" t="str">
        <f t="shared" si="3"/>
        <v>kWhs</v>
      </c>
      <c r="E83" s="211">
        <f>Paramètres!D$12</f>
        <v>0.218</v>
      </c>
      <c r="F83" s="145" t="str">
        <f t="shared" ref="F83:F86" si="4">"kgCO2/"&amp;D83</f>
        <v>kgCO2/kWhs</v>
      </c>
      <c r="G83" s="182">
        <f>+C83*E83</f>
        <v>0</v>
      </c>
      <c r="H83" s="181" t="s">
        <v>355</v>
      </c>
      <c r="I83" s="81"/>
      <c r="J83" s="302"/>
      <c r="K83" s="302"/>
      <c r="L83" s="837" t="s">
        <v>356</v>
      </c>
      <c r="M83" s="297" t="s">
        <v>357</v>
      </c>
      <c r="N83" s="290">
        <f>M57+M58</f>
        <v>0</v>
      </c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16"/>
    </row>
    <row r="84" spans="2:44" ht="15.6">
      <c r="B84" s="184" t="str">
        <f>+B74</f>
        <v>Biogaz</v>
      </c>
      <c r="C84" s="183">
        <f t="shared" si="3"/>
        <v>0</v>
      </c>
      <c r="D84" s="183" t="str">
        <f t="shared" si="3"/>
        <v>kWhs</v>
      </c>
      <c r="E84" s="211">
        <f>Paramètres!F$12</f>
        <v>0</v>
      </c>
      <c r="F84" s="145" t="str">
        <f t="shared" ref="F84" si="5">"kgCO2/"&amp;D84</f>
        <v>kgCO2/kWhs</v>
      </c>
      <c r="G84" s="182">
        <f>+C84*E84</f>
        <v>0</v>
      </c>
      <c r="H84" s="181" t="s">
        <v>355</v>
      </c>
      <c r="I84" s="81"/>
      <c r="J84" s="302"/>
      <c r="K84" s="302"/>
      <c r="L84" s="836"/>
      <c r="M84" s="310"/>
      <c r="N84" s="290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16"/>
    </row>
    <row r="85" spans="2:44" ht="16.2" thickBot="1">
      <c r="B85" s="184" t="str">
        <f>+B75</f>
        <v>Elec SER</v>
      </c>
      <c r="C85" s="183">
        <f t="shared" si="3"/>
        <v>0</v>
      </c>
      <c r="D85" s="183" t="str">
        <f t="shared" si="3"/>
        <v>kWh</v>
      </c>
      <c r="E85" s="211">
        <f>Paramètres!G$12</f>
        <v>0</v>
      </c>
      <c r="F85" s="145" t="str">
        <f t="shared" si="4"/>
        <v>kgCO2/kWh</v>
      </c>
      <c r="G85" s="182">
        <f>+C85*E85</f>
        <v>0</v>
      </c>
      <c r="H85" s="181" t="s">
        <v>355</v>
      </c>
      <c r="J85" s="302"/>
      <c r="K85" s="302"/>
      <c r="L85" s="838"/>
      <c r="M85" s="315" t="s">
        <v>358</v>
      </c>
      <c r="N85" s="278"/>
      <c r="O85" s="277" t="str">
        <f t="shared" ref="O85:Y85" si="6">IF(O80&lt;=$M$63,$M$62,"")</f>
        <v/>
      </c>
      <c r="P85" s="277" t="str">
        <f t="shared" si="6"/>
        <v/>
      </c>
      <c r="Q85" s="277" t="str">
        <f t="shared" si="6"/>
        <v/>
      </c>
      <c r="R85" s="277" t="str">
        <f t="shared" si="6"/>
        <v/>
      </c>
      <c r="S85" s="277" t="str">
        <f t="shared" si="6"/>
        <v/>
      </c>
      <c r="T85" s="277" t="str">
        <f t="shared" si="6"/>
        <v/>
      </c>
      <c r="U85" s="277" t="str">
        <f t="shared" si="6"/>
        <v/>
      </c>
      <c r="V85" s="277" t="str">
        <f t="shared" si="6"/>
        <v/>
      </c>
      <c r="W85" s="277" t="str">
        <f t="shared" si="6"/>
        <v/>
      </c>
      <c r="X85" s="277" t="str">
        <f t="shared" si="6"/>
        <v/>
      </c>
      <c r="Y85" s="277" t="str">
        <f t="shared" si="6"/>
        <v/>
      </c>
      <c r="Z85" s="277" t="str">
        <f t="shared" ref="Z85:AR85" si="7">IF(X80&lt;=$M$63,$M$62,"")</f>
        <v/>
      </c>
      <c r="AA85" s="277" t="str">
        <f t="shared" si="7"/>
        <v/>
      </c>
      <c r="AB85" s="277" t="str">
        <f t="shared" si="7"/>
        <v/>
      </c>
      <c r="AC85" s="277" t="str">
        <f t="shared" si="7"/>
        <v/>
      </c>
      <c r="AD85" s="277" t="str">
        <f t="shared" si="7"/>
        <v/>
      </c>
      <c r="AE85" s="277" t="str">
        <f t="shared" si="7"/>
        <v/>
      </c>
      <c r="AF85" s="277" t="str">
        <f t="shared" si="7"/>
        <v/>
      </c>
      <c r="AG85" s="277" t="str">
        <f t="shared" si="7"/>
        <v/>
      </c>
      <c r="AH85" s="277" t="str">
        <f t="shared" si="7"/>
        <v/>
      </c>
      <c r="AI85" s="277" t="str">
        <f t="shared" si="7"/>
        <v/>
      </c>
      <c r="AJ85" s="277" t="str">
        <f t="shared" si="7"/>
        <v/>
      </c>
      <c r="AK85" s="277" t="str">
        <f t="shared" si="7"/>
        <v/>
      </c>
      <c r="AL85" s="277" t="str">
        <f t="shared" si="7"/>
        <v/>
      </c>
      <c r="AM85" s="277" t="str">
        <f t="shared" si="7"/>
        <v/>
      </c>
      <c r="AN85" s="277" t="str">
        <f t="shared" si="7"/>
        <v/>
      </c>
      <c r="AO85" s="277" t="str">
        <f t="shared" si="7"/>
        <v/>
      </c>
      <c r="AP85" s="277" t="str">
        <f t="shared" si="7"/>
        <v/>
      </c>
      <c r="AQ85" s="277" t="str">
        <f t="shared" si="7"/>
        <v/>
      </c>
      <c r="AR85" s="276" t="str">
        <f t="shared" si="7"/>
        <v/>
      </c>
    </row>
    <row r="86" spans="2:44" ht="16.2" thickBot="1">
      <c r="B86" s="184" t="str">
        <f>+B76</f>
        <v>Process</v>
      </c>
      <c r="C86" s="183">
        <f t="shared" si="3"/>
        <v>10000</v>
      </c>
      <c r="D86" s="183" t="str">
        <f t="shared" si="3"/>
        <v>kgCO2</v>
      </c>
      <c r="E86" s="211">
        <f>Paramètres!H$12</f>
        <v>1</v>
      </c>
      <c r="F86" s="145" t="str">
        <f t="shared" si="4"/>
        <v>kgCO2/kgCO2</v>
      </c>
      <c r="G86" s="182">
        <f>+C86*E86</f>
        <v>10000</v>
      </c>
      <c r="H86" s="181" t="s">
        <v>355</v>
      </c>
      <c r="J86" s="302"/>
      <c r="K86" s="302"/>
      <c r="L86" s="312"/>
      <c r="M86" s="292"/>
      <c r="N86" s="278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6"/>
    </row>
    <row r="87" spans="2:44" ht="16.2" thickBot="1">
      <c r="B87" s="824" t="s">
        <v>359</v>
      </c>
      <c r="C87" s="825"/>
      <c r="D87" s="825"/>
      <c r="E87" s="825"/>
      <c r="F87" s="825"/>
      <c r="G87" s="180">
        <f>SUM(G82:G85)</f>
        <v>0</v>
      </c>
      <c r="H87" s="179" t="s">
        <v>355</v>
      </c>
      <c r="J87" s="302"/>
      <c r="K87" s="302"/>
      <c r="L87" s="314" t="s">
        <v>360</v>
      </c>
      <c r="M87" s="313" t="s">
        <v>360</v>
      </c>
      <c r="N87" s="278"/>
      <c r="O87" s="277">
        <f>IF(O80&lt;=$K$16,($M$61+$M$64+$M$65+$M$66+$M$67+$M$68+$M$69+$M$70+$M$71+$M$72),"")</f>
        <v>0</v>
      </c>
      <c r="P87" s="277">
        <f>IF(P80&lt;=$K$16,('AA7'!O87*(1+Paramètres!$B$20)),"")</f>
        <v>0</v>
      </c>
      <c r="Q87" s="277">
        <f>IF(Q80&lt;=$K$16,('AA7'!P87*(1+Paramètres!$B$20)),"")</f>
        <v>0</v>
      </c>
      <c r="R87" s="277">
        <f>IF(R80&lt;=$K$16,('AA7'!Q87*(1+Paramètres!$B$20)),"")</f>
        <v>0</v>
      </c>
      <c r="S87" s="277">
        <f>IF(S80&lt;=$K$16,('AA7'!R87*(1+Paramètres!$B$20)),"")</f>
        <v>0</v>
      </c>
      <c r="T87" s="277">
        <f>IF(T80&lt;=$K$16,('AA7'!S87*(1+Paramètres!$B$20)),"")</f>
        <v>0</v>
      </c>
      <c r="U87" s="277">
        <f>IF(U80&lt;=$K$16,('AA7'!T87*(1+Paramètres!$B$20)),"")</f>
        <v>0</v>
      </c>
      <c r="V87" s="277">
        <f>IF(V80&lt;=$K$16,('AA7'!U87*(1+Paramètres!$B$20)),"")</f>
        <v>0</v>
      </c>
      <c r="W87" s="277">
        <f>IF(W80&lt;=$K$16,('AA7'!V87*(1+Paramètres!$B$20)),"")</f>
        <v>0</v>
      </c>
      <c r="X87" s="277">
        <f>IF(X80&lt;=$K$16,('AA7'!W87*(1+Paramètres!$B$20)),"")</f>
        <v>0</v>
      </c>
      <c r="Y87" s="277">
        <f>IF(Y80&lt;=$K$16,('AA7'!X87*(1+Paramètres!$B$20)),"")</f>
        <v>0</v>
      </c>
      <c r="Z87" s="277">
        <f>IF(Z80&lt;=$K$16,('AA7'!Y87*(1+Paramètres!$B$20)),"")</f>
        <v>0</v>
      </c>
      <c r="AA87" s="277">
        <f>IF(AA80&lt;=$K$16,('AA7'!Z87*(1+Paramètres!$B$20)),"")</f>
        <v>0</v>
      </c>
      <c r="AB87" s="277">
        <f>IF(AB80&lt;=$K$16,('AA7'!AA87*(1+Paramètres!$B$20)),"")</f>
        <v>0</v>
      </c>
      <c r="AC87" s="277">
        <f>IF(AC80&lt;=$K$16,('AA7'!AB87*(1+Paramètres!$B$20)),"")</f>
        <v>0</v>
      </c>
      <c r="AD87" s="277" t="str">
        <f>IF(AD80&lt;=$K$16,('AA7'!AC87*(1+Paramètres!$B$20)),"")</f>
        <v/>
      </c>
      <c r="AE87" s="277" t="str">
        <f>IF(AE80&lt;=$K$16,('AA7'!AD87*(1+Paramètres!$B$20)),"")</f>
        <v/>
      </c>
      <c r="AF87" s="277" t="str">
        <f>IF(AF80&lt;=$K$16,('AA7'!AE87*(1+Paramètres!$B$20)),"")</f>
        <v/>
      </c>
      <c r="AG87" s="277" t="str">
        <f>IF(AG80&lt;=$K$16,('AA7'!AF87*(1+Paramètres!$B$20)),"")</f>
        <v/>
      </c>
      <c r="AH87" s="277" t="str">
        <f>IF(AH80&lt;=$K$16,('AA7'!AG87*(1+Paramètres!$B$20)),"")</f>
        <v/>
      </c>
      <c r="AI87" s="277" t="str">
        <f>IF(AI80&lt;=$K$16,('AA7'!AH87*(1+Paramètres!$B$20)),"")</f>
        <v/>
      </c>
      <c r="AJ87" s="277" t="str">
        <f>IF(AJ80&lt;=$K$16,('AA7'!AI87*(1+Paramètres!$B$20)),"")</f>
        <v/>
      </c>
      <c r="AK87" s="277" t="str">
        <f>IF(AK80&lt;=$K$16,('AA7'!AJ87*(1+Paramètres!$B$20)),"")</f>
        <v/>
      </c>
      <c r="AL87" s="277" t="str">
        <f>IF(AL80&lt;=$K$16,('AA7'!AK87*(1+Paramètres!$B$20)),"")</f>
        <v/>
      </c>
      <c r="AM87" s="277" t="str">
        <f>IF(AM80&lt;=$K$16,('AA7'!AL87*(1+Paramètres!$B$20)),"")</f>
        <v/>
      </c>
      <c r="AN87" s="277" t="str">
        <f>IF(AN80&lt;=$K$16,('AA7'!AM87*(1+Paramètres!$B$20)),"")</f>
        <v/>
      </c>
      <c r="AO87" s="277" t="str">
        <f>IF(AO80&lt;=$K$16,('AA7'!AN87*(1+Paramètres!$B$20)),"")</f>
        <v/>
      </c>
      <c r="AP87" s="277" t="str">
        <f>IF(AP80&lt;=$K$16,('AA7'!AO87*(1+Paramètres!$B$20)),"")</f>
        <v/>
      </c>
      <c r="AQ87" s="277" t="str">
        <f>IF(AQ80&lt;=$K$16,('AA7'!AP87*(1+Paramètres!$B$20)),"")</f>
        <v/>
      </c>
      <c r="AR87" s="276" t="str">
        <f>IF(AR80&lt;=$K$16,('AA7'!AQ87*(1+Paramètres!$B$20)),"")</f>
        <v/>
      </c>
    </row>
    <row r="88" spans="2:44" ht="13.8" thickBot="1">
      <c r="G88" s="217">
        <f>G87/'2023'!H36</f>
        <v>0</v>
      </c>
      <c r="H88" s="144">
        <f>G87/'2023'!H36</f>
        <v>0</v>
      </c>
      <c r="J88" s="302"/>
      <c r="K88" s="302"/>
      <c r="L88" s="312" t="s">
        <v>361</v>
      </c>
      <c r="M88" s="292" t="s">
        <v>319</v>
      </c>
      <c r="N88" s="265" t="str">
        <f t="shared" ref="N88:AR88" si="8">IF(N80=$K$16,$M$59,"")</f>
        <v/>
      </c>
      <c r="O88" s="264" t="str">
        <f t="shared" si="8"/>
        <v/>
      </c>
      <c r="P88" s="264" t="str">
        <f t="shared" si="8"/>
        <v/>
      </c>
      <c r="Q88" s="264" t="str">
        <f t="shared" si="8"/>
        <v/>
      </c>
      <c r="R88" s="264" t="str">
        <f t="shared" si="8"/>
        <v/>
      </c>
      <c r="S88" s="264" t="str">
        <f t="shared" si="8"/>
        <v/>
      </c>
      <c r="T88" s="264" t="str">
        <f t="shared" si="8"/>
        <v/>
      </c>
      <c r="U88" s="264" t="str">
        <f t="shared" si="8"/>
        <v/>
      </c>
      <c r="V88" s="264" t="str">
        <f t="shared" si="8"/>
        <v/>
      </c>
      <c r="W88" s="264" t="str">
        <f t="shared" si="8"/>
        <v/>
      </c>
      <c r="X88" s="264" t="str">
        <f t="shared" si="8"/>
        <v/>
      </c>
      <c r="Y88" s="264" t="str">
        <f t="shared" si="8"/>
        <v/>
      </c>
      <c r="Z88" s="264" t="str">
        <f t="shared" si="8"/>
        <v/>
      </c>
      <c r="AA88" s="264" t="str">
        <f t="shared" si="8"/>
        <v/>
      </c>
      <c r="AB88" s="264" t="str">
        <f t="shared" si="8"/>
        <v/>
      </c>
      <c r="AC88" s="264">
        <f t="shared" si="8"/>
        <v>0</v>
      </c>
      <c r="AD88" s="264" t="str">
        <f t="shared" si="8"/>
        <v/>
      </c>
      <c r="AE88" s="264" t="str">
        <f t="shared" si="8"/>
        <v/>
      </c>
      <c r="AF88" s="264" t="str">
        <f t="shared" si="8"/>
        <v/>
      </c>
      <c r="AG88" s="264" t="str">
        <f t="shared" si="8"/>
        <v/>
      </c>
      <c r="AH88" s="264" t="str">
        <f t="shared" si="8"/>
        <v/>
      </c>
      <c r="AI88" s="264" t="str">
        <f t="shared" si="8"/>
        <v/>
      </c>
      <c r="AJ88" s="264" t="str">
        <f t="shared" si="8"/>
        <v/>
      </c>
      <c r="AK88" s="264" t="str">
        <f t="shared" si="8"/>
        <v/>
      </c>
      <c r="AL88" s="264" t="str">
        <f t="shared" si="8"/>
        <v/>
      </c>
      <c r="AM88" s="264" t="str">
        <f t="shared" si="8"/>
        <v/>
      </c>
      <c r="AN88" s="264" t="str">
        <f t="shared" si="8"/>
        <v/>
      </c>
      <c r="AO88" s="264" t="str">
        <f t="shared" si="8"/>
        <v/>
      </c>
      <c r="AP88" s="264" t="str">
        <f t="shared" si="8"/>
        <v/>
      </c>
      <c r="AQ88" s="264" t="str">
        <f t="shared" si="8"/>
        <v/>
      </c>
      <c r="AR88" s="263" t="str">
        <f t="shared" si="8"/>
        <v/>
      </c>
    </row>
    <row r="89" spans="2:44" ht="13.8" thickBot="1">
      <c r="J89" s="302"/>
      <c r="K89" s="302"/>
      <c r="L89" s="839" t="s">
        <v>362</v>
      </c>
      <c r="M89" s="840"/>
      <c r="N89" s="260" t="str">
        <f t="shared" ref="N89:AR89" si="9">IF(SUM(N81:N88)=0,"",SUM(N81:N88))</f>
        <v/>
      </c>
      <c r="O89" s="259" t="str">
        <f t="shared" si="9"/>
        <v/>
      </c>
      <c r="P89" s="259" t="str">
        <f t="shared" si="9"/>
        <v/>
      </c>
      <c r="Q89" s="259" t="str">
        <f t="shared" si="9"/>
        <v/>
      </c>
      <c r="R89" s="259" t="str">
        <f t="shared" si="9"/>
        <v/>
      </c>
      <c r="S89" s="259" t="str">
        <f t="shared" si="9"/>
        <v/>
      </c>
      <c r="T89" s="259" t="str">
        <f t="shared" si="9"/>
        <v/>
      </c>
      <c r="U89" s="259" t="str">
        <f t="shared" si="9"/>
        <v/>
      </c>
      <c r="V89" s="259" t="str">
        <f t="shared" si="9"/>
        <v/>
      </c>
      <c r="W89" s="259" t="str">
        <f t="shared" si="9"/>
        <v/>
      </c>
      <c r="X89" s="259" t="str">
        <f t="shared" si="9"/>
        <v/>
      </c>
      <c r="Y89" s="259" t="str">
        <f t="shared" si="9"/>
        <v/>
      </c>
      <c r="Z89" s="259" t="str">
        <f t="shared" si="9"/>
        <v/>
      </c>
      <c r="AA89" s="259" t="str">
        <f t="shared" si="9"/>
        <v/>
      </c>
      <c r="AB89" s="259" t="str">
        <f t="shared" si="9"/>
        <v/>
      </c>
      <c r="AC89" s="259" t="str">
        <f t="shared" si="9"/>
        <v/>
      </c>
      <c r="AD89" s="259" t="str">
        <f t="shared" si="9"/>
        <v/>
      </c>
      <c r="AE89" s="259" t="str">
        <f t="shared" si="9"/>
        <v/>
      </c>
      <c r="AF89" s="259" t="str">
        <f t="shared" si="9"/>
        <v/>
      </c>
      <c r="AG89" s="259" t="str">
        <f t="shared" si="9"/>
        <v/>
      </c>
      <c r="AH89" s="259" t="str">
        <f t="shared" si="9"/>
        <v/>
      </c>
      <c r="AI89" s="259" t="str">
        <f t="shared" si="9"/>
        <v/>
      </c>
      <c r="AJ89" s="259" t="str">
        <f t="shared" si="9"/>
        <v/>
      </c>
      <c r="AK89" s="259" t="str">
        <f t="shared" si="9"/>
        <v/>
      </c>
      <c r="AL89" s="259" t="str">
        <f t="shared" si="9"/>
        <v/>
      </c>
      <c r="AM89" s="259" t="str">
        <f t="shared" si="9"/>
        <v/>
      </c>
      <c r="AN89" s="259" t="str">
        <f t="shared" si="9"/>
        <v/>
      </c>
      <c r="AO89" s="259" t="str">
        <f t="shared" si="9"/>
        <v/>
      </c>
      <c r="AP89" s="259" t="str">
        <f t="shared" si="9"/>
        <v/>
      </c>
      <c r="AQ89" s="259" t="str">
        <f t="shared" si="9"/>
        <v/>
      </c>
      <c r="AR89" s="258" t="str">
        <f t="shared" si="9"/>
        <v/>
      </c>
    </row>
    <row r="90" spans="2:44" ht="13.8" thickBot="1">
      <c r="J90" s="302"/>
      <c r="K90" s="302"/>
      <c r="L90" s="841" t="s">
        <v>363</v>
      </c>
      <c r="M90" s="842"/>
      <c r="N90" s="260" t="str">
        <f>IF(N89="","",((N89)/(1+Paramètres!$B$19)^N80))</f>
        <v/>
      </c>
      <c r="O90" s="259" t="str">
        <f>IF(O89="","",((O89)/(1+Paramètres!$B$19)^O80))</f>
        <v/>
      </c>
      <c r="P90" s="259" t="str">
        <f>IF(P89="","",((P89)/(1+Paramètres!$B$19)^P80))</f>
        <v/>
      </c>
      <c r="Q90" s="259" t="str">
        <f>IF(Q89="","",((Q89)/(1+Paramètres!$B$19)^Q80))</f>
        <v/>
      </c>
      <c r="R90" s="259" t="str">
        <f>IF(R89="","",((R89)/(1+Paramètres!$B$19)^R80))</f>
        <v/>
      </c>
      <c r="S90" s="259" t="str">
        <f>IF(S89="","",((S89)/(1+Paramètres!$B$19)^S80))</f>
        <v/>
      </c>
      <c r="T90" s="259" t="str">
        <f>IF(T89="","",((T89)/(1+Paramètres!$B$19)^T80))</f>
        <v/>
      </c>
      <c r="U90" s="259" t="str">
        <f>IF(U89="","",((U89)/(1+Paramètres!$B$19)^U80))</f>
        <v/>
      </c>
      <c r="V90" s="259" t="str">
        <f>IF(V89="","",((V89)/(1+Paramètres!$B$19)^V80))</f>
        <v/>
      </c>
      <c r="W90" s="259" t="str">
        <f>IF(W89="","",((W89)/(1+Paramètres!$B$19)^W80))</f>
        <v/>
      </c>
      <c r="X90" s="259" t="str">
        <f>IF(X89="","",((X89)/(1+Paramètres!$B$19)^X80))</f>
        <v/>
      </c>
      <c r="Y90" s="259" t="str">
        <f>IF(Y89="","",((Y89)/(1+Paramètres!$B$19)^Y80))</f>
        <v/>
      </c>
      <c r="Z90" s="259" t="str">
        <f>IF(Z89="","",((Z89)/(1+Paramètres!$B$19)^Z80))</f>
        <v/>
      </c>
      <c r="AA90" s="259" t="str">
        <f>IF(AA89="","",((AA89)/(1+Paramètres!$B$19)^AA80))</f>
        <v/>
      </c>
      <c r="AB90" s="259" t="str">
        <f>IF(AB89="","",((AB89)/(1+Paramètres!$B$19)^AB80))</f>
        <v/>
      </c>
      <c r="AC90" s="259" t="str">
        <f>IF(AC89="","",((AC89)/(1+Paramètres!$B$19)^AC80))</f>
        <v/>
      </c>
      <c r="AD90" s="259" t="str">
        <f>IF(AD89="","",((AD89)/(1+Paramètres!$B$19)^AD80))</f>
        <v/>
      </c>
      <c r="AE90" s="259" t="str">
        <f>IF(AE89="","",((AE89)/(1+Paramètres!$B$19)^AE80))</f>
        <v/>
      </c>
      <c r="AF90" s="259" t="str">
        <f>IF(AF89="","",((AF89)/(1+Paramètres!$B$19)^AF80))</f>
        <v/>
      </c>
      <c r="AG90" s="259" t="str">
        <f>IF(AG89="","",((AG89)/(1+Paramètres!$B$19)^AG80))</f>
        <v/>
      </c>
      <c r="AH90" s="259" t="str">
        <f>IF(AH89="","",((AH89)/(1+Paramètres!$B$19)^AH80))</f>
        <v/>
      </c>
      <c r="AI90" s="259" t="str">
        <f>IF(AI89="","",((AI89)/(1+Paramètres!$B$19)^AI80))</f>
        <v/>
      </c>
      <c r="AJ90" s="259" t="str">
        <f>IF(AJ89="","",((AJ89)/(1+Paramètres!$B$19)^AJ80))</f>
        <v/>
      </c>
      <c r="AK90" s="259" t="str">
        <f>IF(AK89="","",((AK89)/(1+Paramètres!$B$19)^AK80))</f>
        <v/>
      </c>
      <c r="AL90" s="259" t="str">
        <f>IF(AL89="","",((AL89)/(1+Paramètres!$B$19)^AL80))</f>
        <v/>
      </c>
      <c r="AM90" s="259" t="str">
        <f>IF(AM89="","",((AM89)/(1+Paramètres!$B$19)^AM80))</f>
        <v/>
      </c>
      <c r="AN90" s="259" t="str">
        <f>IF(AN89="","",((AN89)/(1+Paramètres!$B$19)^AN80))</f>
        <v/>
      </c>
      <c r="AO90" s="259" t="str">
        <f>IF(AO89="","",((AO89)/(1+Paramètres!$B$19)^AO80))</f>
        <v/>
      </c>
      <c r="AP90" s="259" t="str">
        <f>IF(AP89="","",((AP89)/(1+Paramètres!$B$19)^AP80))</f>
        <v/>
      </c>
      <c r="AQ90" s="259" t="str">
        <f>IF(AQ89="","",((AQ89)/(1+Paramètres!$B$19)^AQ80))</f>
        <v/>
      </c>
      <c r="AR90" s="258" t="str">
        <f>IF(AR89="","",((AR89)/(1+Paramètres!$B$19)^AR80))</f>
        <v/>
      </c>
    </row>
    <row r="91" spans="2:44" ht="13.8" thickBot="1">
      <c r="J91" s="302"/>
      <c r="K91" s="302"/>
      <c r="L91" s="841" t="s">
        <v>364</v>
      </c>
      <c r="M91" s="842"/>
      <c r="N91" s="257" t="str">
        <f>N90</f>
        <v/>
      </c>
      <c r="O91" s="256" t="str">
        <f t="shared" ref="O91:AR91" si="10">IF(O90="","",((N91+O90)))</f>
        <v/>
      </c>
      <c r="P91" s="256" t="str">
        <f t="shared" si="10"/>
        <v/>
      </c>
      <c r="Q91" s="256" t="str">
        <f t="shared" si="10"/>
        <v/>
      </c>
      <c r="R91" s="256" t="str">
        <f t="shared" si="10"/>
        <v/>
      </c>
      <c r="S91" s="256" t="str">
        <f t="shared" si="10"/>
        <v/>
      </c>
      <c r="T91" s="256" t="str">
        <f t="shared" si="10"/>
        <v/>
      </c>
      <c r="U91" s="256" t="str">
        <f t="shared" si="10"/>
        <v/>
      </c>
      <c r="V91" s="256" t="str">
        <f t="shared" si="10"/>
        <v/>
      </c>
      <c r="W91" s="256" t="str">
        <f t="shared" si="10"/>
        <v/>
      </c>
      <c r="X91" s="256" t="str">
        <f t="shared" si="10"/>
        <v/>
      </c>
      <c r="Y91" s="256" t="str">
        <f t="shared" si="10"/>
        <v/>
      </c>
      <c r="Z91" s="256" t="str">
        <f t="shared" si="10"/>
        <v/>
      </c>
      <c r="AA91" s="256" t="str">
        <f t="shared" si="10"/>
        <v/>
      </c>
      <c r="AB91" s="256" t="str">
        <f t="shared" si="10"/>
        <v/>
      </c>
      <c r="AC91" s="256" t="str">
        <f t="shared" si="10"/>
        <v/>
      </c>
      <c r="AD91" s="256" t="str">
        <f t="shared" si="10"/>
        <v/>
      </c>
      <c r="AE91" s="256" t="str">
        <f t="shared" si="10"/>
        <v/>
      </c>
      <c r="AF91" s="256" t="str">
        <f t="shared" si="10"/>
        <v/>
      </c>
      <c r="AG91" s="256" t="str">
        <f t="shared" si="10"/>
        <v/>
      </c>
      <c r="AH91" s="256" t="str">
        <f t="shared" si="10"/>
        <v/>
      </c>
      <c r="AI91" s="256" t="str">
        <f t="shared" si="10"/>
        <v/>
      </c>
      <c r="AJ91" s="256" t="str">
        <f t="shared" si="10"/>
        <v/>
      </c>
      <c r="AK91" s="256" t="str">
        <f t="shared" si="10"/>
        <v/>
      </c>
      <c r="AL91" s="256" t="str">
        <f t="shared" si="10"/>
        <v/>
      </c>
      <c r="AM91" s="256" t="str">
        <f t="shared" si="10"/>
        <v/>
      </c>
      <c r="AN91" s="256" t="str">
        <f t="shared" si="10"/>
        <v/>
      </c>
      <c r="AO91" s="256" t="str">
        <f t="shared" si="10"/>
        <v/>
      </c>
      <c r="AP91" s="256" t="str">
        <f t="shared" si="10"/>
        <v/>
      </c>
      <c r="AQ91" s="256" t="str">
        <f t="shared" si="10"/>
        <v/>
      </c>
      <c r="AR91" s="255" t="str">
        <f t="shared" si="10"/>
        <v/>
      </c>
    </row>
    <row r="92" spans="2:44" ht="13.8" thickBot="1">
      <c r="J92" s="302"/>
      <c r="K92" s="302"/>
      <c r="L92" s="302"/>
      <c r="M92" s="302"/>
      <c r="N92" s="302"/>
      <c r="O92" s="301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</row>
    <row r="93" spans="2:44">
      <c r="J93" s="308"/>
      <c r="K93" s="308"/>
      <c r="L93" s="254" t="s">
        <v>225</v>
      </c>
      <c r="M93" s="253" t="str">
        <f>IFERROR(IRR(N89:AR89), "PROJET NON RENTABLE")</f>
        <v>PROJET NON RENTABLE</v>
      </c>
      <c r="N93" s="309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</row>
    <row r="94" spans="2:44" ht="13.8" thickBot="1">
      <c r="J94" s="305"/>
      <c r="K94" s="305"/>
      <c r="L94" s="252" t="s">
        <v>224</v>
      </c>
      <c r="M94" s="412" cm="1">
        <f t="array" ref="M94">IFERROR(INDEX(N80:AR80,MATCH(TRUE,N91:AR91&gt;0,0)),"PROJET NON RENTABLE")</f>
        <v>0</v>
      </c>
      <c r="N94" s="307"/>
      <c r="O94" s="305"/>
      <c r="P94" s="305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</row>
    <row r="95" spans="2:44">
      <c r="J95" s="302"/>
      <c r="K95" s="302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</row>
    <row r="96" spans="2:44" ht="13.8" thickBot="1">
      <c r="J96" s="302"/>
      <c r="K96" s="302"/>
      <c r="L96" s="302"/>
      <c r="M96" s="303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</row>
    <row r="97" spans="10:44" ht="16.2" thickBot="1">
      <c r="J97" s="826" t="s">
        <v>365</v>
      </c>
      <c r="K97" s="827"/>
      <c r="L97" s="827"/>
      <c r="M97" s="827"/>
      <c r="N97" s="827"/>
      <c r="O97" s="827"/>
      <c r="P97" s="827"/>
      <c r="Q97" s="827"/>
      <c r="R97" s="827"/>
      <c r="S97" s="827"/>
      <c r="T97" s="827"/>
      <c r="U97" s="827"/>
      <c r="V97" s="827"/>
      <c r="W97" s="827"/>
      <c r="X97" s="827"/>
      <c r="Y97" s="827"/>
      <c r="Z97" s="827"/>
      <c r="AA97" s="827"/>
      <c r="AB97" s="827"/>
      <c r="AC97" s="827"/>
      <c r="AD97" s="827"/>
      <c r="AE97" s="827"/>
      <c r="AF97" s="827"/>
      <c r="AG97" s="827"/>
      <c r="AH97" s="827"/>
      <c r="AI97" s="827"/>
      <c r="AJ97" s="827"/>
      <c r="AK97" s="827"/>
      <c r="AL97" s="827"/>
      <c r="AM97" s="827"/>
      <c r="AN97" s="827"/>
      <c r="AO97" s="827"/>
      <c r="AP97" s="827"/>
      <c r="AQ97" s="827"/>
      <c r="AR97" s="828"/>
    </row>
    <row r="98" spans="10:44" ht="21" thickBot="1"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1"/>
      <c r="AE98" s="261"/>
      <c r="AF98" s="261"/>
      <c r="AG98" s="261"/>
      <c r="AH98" s="261"/>
      <c r="AI98" s="261"/>
      <c r="AJ98" s="261"/>
      <c r="AK98" s="261"/>
      <c r="AL98" s="261"/>
      <c r="AM98" s="261"/>
      <c r="AN98" s="261"/>
      <c r="AO98" s="261"/>
      <c r="AP98" s="261"/>
      <c r="AQ98" s="261"/>
      <c r="AR98" s="261"/>
    </row>
    <row r="99" spans="10:44" ht="16.2" thickBot="1">
      <c r="J99" s="262"/>
      <c r="K99" s="262"/>
      <c r="L99" s="302"/>
      <c r="M99" s="301"/>
      <c r="N99" s="831" t="s">
        <v>366</v>
      </c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3"/>
    </row>
    <row r="100" spans="10:44" ht="16.2" thickBot="1">
      <c r="J100" s="262"/>
      <c r="K100" s="262"/>
      <c r="L100" s="302"/>
      <c r="M100" s="301"/>
      <c r="N100" s="300">
        <v>0</v>
      </c>
      <c r="O100" s="299">
        <v>1</v>
      </c>
      <c r="P100" s="299">
        <v>2</v>
      </c>
      <c r="Q100" s="299">
        <v>3</v>
      </c>
      <c r="R100" s="299">
        <v>4</v>
      </c>
      <c r="S100" s="299">
        <v>5</v>
      </c>
      <c r="T100" s="299">
        <v>6</v>
      </c>
      <c r="U100" s="299">
        <v>7</v>
      </c>
      <c r="V100" s="299">
        <v>8</v>
      </c>
      <c r="W100" s="299">
        <v>9</v>
      </c>
      <c r="X100" s="299">
        <v>10</v>
      </c>
      <c r="Y100" s="299">
        <v>11</v>
      </c>
      <c r="Z100" s="299">
        <v>12</v>
      </c>
      <c r="AA100" s="299">
        <v>13</v>
      </c>
      <c r="AB100" s="299">
        <v>14</v>
      </c>
      <c r="AC100" s="299">
        <v>15</v>
      </c>
      <c r="AD100" s="299">
        <v>16</v>
      </c>
      <c r="AE100" s="299">
        <v>17</v>
      </c>
      <c r="AF100" s="299">
        <v>18</v>
      </c>
      <c r="AG100" s="299">
        <v>19</v>
      </c>
      <c r="AH100" s="299">
        <v>20</v>
      </c>
      <c r="AI100" s="299">
        <v>21</v>
      </c>
      <c r="AJ100" s="299">
        <v>22</v>
      </c>
      <c r="AK100" s="299">
        <v>23</v>
      </c>
      <c r="AL100" s="299">
        <v>24</v>
      </c>
      <c r="AM100" s="299">
        <v>25</v>
      </c>
      <c r="AN100" s="299">
        <v>26</v>
      </c>
      <c r="AO100" s="299">
        <v>27</v>
      </c>
      <c r="AP100" s="299">
        <v>28</v>
      </c>
      <c r="AQ100" s="299">
        <v>29</v>
      </c>
      <c r="AR100" s="298">
        <v>30</v>
      </c>
    </row>
    <row r="101" spans="10:44" ht="20.399999999999999">
      <c r="J101" s="262"/>
      <c r="K101" s="262"/>
      <c r="L101" s="829" t="s">
        <v>354</v>
      </c>
      <c r="M101" s="297" t="s">
        <v>311</v>
      </c>
      <c r="N101" s="296">
        <f>(M55)</f>
        <v>0</v>
      </c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3"/>
    </row>
    <row r="102" spans="10:44" ht="21" thickBot="1">
      <c r="J102" s="262"/>
      <c r="K102" s="262"/>
      <c r="L102" s="830"/>
      <c r="M102" s="292" t="s">
        <v>314</v>
      </c>
      <c r="N102" s="290">
        <f>M56</f>
        <v>0</v>
      </c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  <c r="AO102" s="261"/>
      <c r="AP102" s="261"/>
      <c r="AQ102" s="261"/>
      <c r="AR102" s="288"/>
    </row>
    <row r="103" spans="10:44" ht="20.399999999999999">
      <c r="J103" s="262"/>
      <c r="K103" s="262"/>
      <c r="L103" s="829" t="s">
        <v>356</v>
      </c>
      <c r="M103" s="291" t="s">
        <v>357</v>
      </c>
      <c r="N103" s="290">
        <f>M57+M58</f>
        <v>0</v>
      </c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  <c r="AO103" s="261"/>
      <c r="AP103" s="261"/>
      <c r="AQ103" s="261"/>
      <c r="AR103" s="288"/>
    </row>
    <row r="104" spans="10:44" ht="16.2" thickBot="1">
      <c r="J104" s="262"/>
      <c r="K104" s="262"/>
      <c r="L104" s="830"/>
      <c r="M104" s="287" t="s">
        <v>358</v>
      </c>
      <c r="N104" s="278"/>
      <c r="O104" s="277" t="str">
        <f t="shared" ref="O104:AR104" si="11">IF(O100&lt;=$M$63,$M$62,"")</f>
        <v/>
      </c>
      <c r="P104" s="277" t="str">
        <f t="shared" si="11"/>
        <v/>
      </c>
      <c r="Q104" s="277" t="str">
        <f t="shared" si="11"/>
        <v/>
      </c>
      <c r="R104" s="277" t="str">
        <f t="shared" si="11"/>
        <v/>
      </c>
      <c r="S104" s="277" t="str">
        <f t="shared" si="11"/>
        <v/>
      </c>
      <c r="T104" s="277" t="str">
        <f t="shared" si="11"/>
        <v/>
      </c>
      <c r="U104" s="277" t="str">
        <f t="shared" si="11"/>
        <v/>
      </c>
      <c r="V104" s="277" t="str">
        <f t="shared" si="11"/>
        <v/>
      </c>
      <c r="W104" s="277" t="str">
        <f t="shared" si="11"/>
        <v/>
      </c>
      <c r="X104" s="277" t="str">
        <f t="shared" si="11"/>
        <v/>
      </c>
      <c r="Y104" s="277" t="str">
        <f t="shared" si="11"/>
        <v/>
      </c>
      <c r="Z104" s="277" t="str">
        <f t="shared" si="11"/>
        <v/>
      </c>
      <c r="AA104" s="277" t="str">
        <f t="shared" si="11"/>
        <v/>
      </c>
      <c r="AB104" s="277" t="str">
        <f t="shared" si="11"/>
        <v/>
      </c>
      <c r="AC104" s="277" t="str">
        <f t="shared" si="11"/>
        <v/>
      </c>
      <c r="AD104" s="277" t="str">
        <f t="shared" si="11"/>
        <v/>
      </c>
      <c r="AE104" s="277" t="str">
        <f t="shared" si="11"/>
        <v/>
      </c>
      <c r="AF104" s="277" t="str">
        <f t="shared" si="11"/>
        <v/>
      </c>
      <c r="AG104" s="277" t="str">
        <f t="shared" si="11"/>
        <v/>
      </c>
      <c r="AH104" s="277" t="str">
        <f t="shared" si="11"/>
        <v/>
      </c>
      <c r="AI104" s="277" t="str">
        <f t="shared" si="11"/>
        <v/>
      </c>
      <c r="AJ104" s="277" t="str">
        <f t="shared" si="11"/>
        <v/>
      </c>
      <c r="AK104" s="277" t="str">
        <f t="shared" si="11"/>
        <v/>
      </c>
      <c r="AL104" s="277" t="str">
        <f t="shared" si="11"/>
        <v/>
      </c>
      <c r="AM104" s="277" t="str">
        <f t="shared" si="11"/>
        <v/>
      </c>
      <c r="AN104" s="277" t="str">
        <f t="shared" si="11"/>
        <v/>
      </c>
      <c r="AO104" s="277" t="str">
        <f t="shared" si="11"/>
        <v/>
      </c>
      <c r="AP104" s="277" t="str">
        <f t="shared" si="11"/>
        <v/>
      </c>
      <c r="AQ104" s="277" t="str">
        <f t="shared" si="11"/>
        <v/>
      </c>
      <c r="AR104" s="276" t="str">
        <f t="shared" si="11"/>
        <v/>
      </c>
    </row>
    <row r="105" spans="10:44" ht="16.2" thickBot="1">
      <c r="J105" s="262"/>
      <c r="K105" s="262"/>
      <c r="L105" s="286" t="s">
        <v>360</v>
      </c>
      <c r="M105" s="285" t="s">
        <v>360</v>
      </c>
      <c r="N105" s="274"/>
      <c r="O105" s="284">
        <f>IF(O100&lt;=$K$16,($M$61+$M$64+$M$65+$M$66+$M$67+$M$68+$M$69+$M$70+$M$71+$M$72),"")</f>
        <v>0</v>
      </c>
      <c r="P105" s="284">
        <f>IF(P100&lt;=$K$16,O105*(1+Paramètres!$B$20),"")</f>
        <v>0</v>
      </c>
      <c r="Q105" s="284">
        <f>IF(Q100&lt;=$K$16,P105*(1+Paramètres!$B$20),"")</f>
        <v>0</v>
      </c>
      <c r="R105" s="284">
        <f>IF(R100&lt;=$K$16,Q105*(1+Paramètres!$B$20),"")</f>
        <v>0</v>
      </c>
      <c r="S105" s="284">
        <f>IF(S100&lt;=$K$16,R105*(1+Paramètres!$B$20),"")</f>
        <v>0</v>
      </c>
      <c r="T105" s="284">
        <f>IF(T100&lt;=$K$16,S105*(1+Paramètres!$B$20),"")</f>
        <v>0</v>
      </c>
      <c r="U105" s="284">
        <f>IF(U100&lt;=$K$16,T105*(1+Paramètres!$B$20),"")</f>
        <v>0</v>
      </c>
      <c r="V105" s="284">
        <f>IF(V100&lt;=$K$16,U105*(1+Paramètres!$B$20),"")</f>
        <v>0</v>
      </c>
      <c r="W105" s="284">
        <f>IF(W100&lt;=$K$16,V105*(1+Paramètres!$B$20),"")</f>
        <v>0</v>
      </c>
      <c r="X105" s="284">
        <f>IF(X100&lt;=$K$16,W105*(1+Paramètres!$B$20),"")</f>
        <v>0</v>
      </c>
      <c r="Y105" s="284">
        <f>IF(Y100&lt;=$K$16,X105*(1+Paramètres!$B$20),"")</f>
        <v>0</v>
      </c>
      <c r="Z105" s="284">
        <f>IF(Z100&lt;=$K$16,Y105*(1+Paramètres!$B$20),"")</f>
        <v>0</v>
      </c>
      <c r="AA105" s="284">
        <f>IF(AA100&lt;=$K$16,Z105*(1+Paramètres!$B$20),"")</f>
        <v>0</v>
      </c>
      <c r="AB105" s="284">
        <f>IF(AB100&lt;=$K$16,AA105*(1+Paramètres!$B$20),"")</f>
        <v>0</v>
      </c>
      <c r="AC105" s="284">
        <f>IF(AC100&lt;=$K$16,AB105*(1+Paramètres!$B$20),"")</f>
        <v>0</v>
      </c>
      <c r="AD105" s="284" t="str">
        <f>IF(AD100&lt;=$K$16,AC105*(1+Paramètres!$B$20),"")</f>
        <v/>
      </c>
      <c r="AE105" s="284" t="str">
        <f>IF(AE100&lt;=$K$16,AD105*(1+Paramètres!$B$20),"")</f>
        <v/>
      </c>
      <c r="AF105" s="284" t="str">
        <f>IF(AF100&lt;=$K$16,AE105*(1+Paramètres!$B$20),"")</f>
        <v/>
      </c>
      <c r="AG105" s="284" t="str">
        <f>IF(AG100&lt;=$K$16,AF105*(1+Paramètres!$B$20),"")</f>
        <v/>
      </c>
      <c r="AH105" s="284" t="str">
        <f>IF(AH100&lt;=$K$16,AG105*(1+Paramètres!$B$20),"")</f>
        <v/>
      </c>
      <c r="AI105" s="284" t="str">
        <f>IF(AI100&lt;=$K$16,AH105*(1+Paramètres!$B$20),"")</f>
        <v/>
      </c>
      <c r="AJ105" s="284" t="str">
        <f>IF(AJ100&lt;=$K$16,AI105*(1+Paramètres!$B$20),"")</f>
        <v/>
      </c>
      <c r="AK105" s="284" t="str">
        <f>IF(AK100&lt;=$K$16,AJ105*(1+Paramètres!$B$20),"")</f>
        <v/>
      </c>
      <c r="AL105" s="284" t="str">
        <f>IF(AL100&lt;=$K$16,AK105*(1+Paramètres!$B$20),"")</f>
        <v/>
      </c>
      <c r="AM105" s="284" t="str">
        <f>IF(AM100&lt;=$K$16,AL105*(1+Paramètres!$B$20),"")</f>
        <v/>
      </c>
      <c r="AN105" s="284" t="str">
        <f>IF(AN100&lt;=$K$16,AM105*(1+Paramètres!$B$20),"")</f>
        <v/>
      </c>
      <c r="AO105" s="284" t="str">
        <f>IF(AO100&lt;=$K$16,AN105*(1+Paramètres!$B$20),"")</f>
        <v/>
      </c>
      <c r="AP105" s="284" t="str">
        <f>IF(AP100&lt;=$K$16,AO105*(1+Paramètres!$B$20),"")</f>
        <v/>
      </c>
      <c r="AQ105" s="284" t="str">
        <f>IF(AQ100&lt;=$K$16,AP105*(1+Paramètres!$B$20),"")</f>
        <v/>
      </c>
      <c r="AR105" s="283" t="str">
        <f>IF(AR100&lt;=$K$16,AQ105*(1+Paramètres!$B$20),"")</f>
        <v/>
      </c>
    </row>
    <row r="106" spans="10:44" ht="15.6">
      <c r="J106" s="262"/>
      <c r="K106" s="262"/>
      <c r="L106" s="829" t="s">
        <v>367</v>
      </c>
      <c r="M106" s="282" t="s">
        <v>46</v>
      </c>
      <c r="N106" s="281"/>
      <c r="O106" s="280">
        <f>IF(AND(O100=1,K23="OUI"),(Paramètres!$B$22*'AA7'!M55),"")</f>
        <v>0</v>
      </c>
      <c r="P106" s="280" t="str">
        <f>IF(P100=1,(Paramètres!$B$22*'AA7'!N55),"")</f>
        <v/>
      </c>
      <c r="Q106" s="280" t="str">
        <f>IF(Q100=1,(Paramètres!$B$22*'AA7'!O55),"")</f>
        <v/>
      </c>
      <c r="R106" s="280" t="str">
        <f>IF(R100=1,(Paramètres!$B$22*'AA7'!P55),"")</f>
        <v/>
      </c>
      <c r="S106" s="280" t="str">
        <f>IF(S100=1,(Paramètres!$B$22*'AA7'!Q55),"")</f>
        <v/>
      </c>
      <c r="T106" s="280" t="str">
        <f>IF(T100=1,(Paramètres!$B$22*'AA7'!R55),"")</f>
        <v/>
      </c>
      <c r="U106" s="280" t="str">
        <f>IF(U100=1,(Paramètres!$B$22*'AA7'!S55),"")</f>
        <v/>
      </c>
      <c r="V106" s="280" t="str">
        <f>IF(V100=1,(Paramètres!$B$22*'AA7'!T55),"")</f>
        <v/>
      </c>
      <c r="W106" s="280" t="str">
        <f>IF(W100=1,(Paramètres!$B$22*'AA7'!U55),"")</f>
        <v/>
      </c>
      <c r="X106" s="280" t="str">
        <f>IF(X100=1,(Paramètres!$B$22*'AA7'!V55),"")</f>
        <v/>
      </c>
      <c r="Y106" s="280" t="str">
        <f>IF(Y100=1,(Paramètres!$B$22*'AA7'!W55),"")</f>
        <v/>
      </c>
      <c r="Z106" s="280" t="str">
        <f>IF(Z100=1,(Paramètres!$B$22*'AA7'!X55),"")</f>
        <v/>
      </c>
      <c r="AA106" s="280" t="str">
        <f>IF(AA100=1,(Paramètres!$B$22*'AA7'!Y55),"")</f>
        <v/>
      </c>
      <c r="AB106" s="280" t="str">
        <f>IF(AB100=1,(Paramètres!$B$22*'AA7'!Z55),"")</f>
        <v/>
      </c>
      <c r="AC106" s="280" t="str">
        <f>IF(AC100=1,(Paramètres!$B$22*'AA7'!AA55),"")</f>
        <v/>
      </c>
      <c r="AD106" s="280" t="str">
        <f>IF(AD100=1,(Paramètres!$B$22*'AA7'!AB55),"")</f>
        <v/>
      </c>
      <c r="AE106" s="280" t="str">
        <f>IF(AE100=1,(Paramètres!$B$22*'AA7'!AC55),"")</f>
        <v/>
      </c>
      <c r="AF106" s="280" t="str">
        <f>IF(AF100=1,(Paramètres!$B$22*'AA7'!AD55),"")</f>
        <v/>
      </c>
      <c r="AG106" s="280" t="str">
        <f>IF(AG100=1,(Paramètres!$B$22*'AA7'!AE55),"")</f>
        <v/>
      </c>
      <c r="AH106" s="280" t="str">
        <f>IF(AH100=1,(Paramètres!$B$22*'AA7'!AF55),"")</f>
        <v/>
      </c>
      <c r="AI106" s="280" t="str">
        <f>IF(AI100=1,(Paramètres!$B$22*'AA7'!AG55),"")</f>
        <v/>
      </c>
      <c r="AJ106" s="280" t="str">
        <f>IF(AJ100=1,(Paramètres!$B$22*'AA7'!AH55),"")</f>
        <v/>
      </c>
      <c r="AK106" s="280" t="str">
        <f>IF(AK100=1,(Paramètres!$B$22*'AA7'!AI55),"")</f>
        <v/>
      </c>
      <c r="AL106" s="280" t="str">
        <f>IF(AL100=1,(Paramètres!$B$22*'AA7'!AJ55),"")</f>
        <v/>
      </c>
      <c r="AM106" s="280" t="str">
        <f>IF(AM100=1,(Paramètres!$B$22*'AA7'!AK55),"")</f>
        <v/>
      </c>
      <c r="AN106" s="280" t="str">
        <f>IF(AN100=1,(Paramètres!$B$22*'AA7'!AL55),"")</f>
        <v/>
      </c>
      <c r="AO106" s="280" t="str">
        <f>IF(AO100=1,(Paramètres!$B$22*'AA7'!AM55),"")</f>
        <v/>
      </c>
      <c r="AP106" s="280" t="str">
        <f>IF(AP100=1,(Paramètres!$B$22*'AA7'!AN55),"")</f>
        <v/>
      </c>
      <c r="AQ106" s="280" t="str">
        <f>IF(AQ100=1,(Paramètres!$B$22*'AA7'!AO55),"")</f>
        <v/>
      </c>
      <c r="AR106" s="279" t="str">
        <f>IF(AR100=1,(Paramètres!$B$22*'AA7'!AP55),"")</f>
        <v/>
      </c>
    </row>
    <row r="107" spans="10:44" ht="15.6">
      <c r="J107" s="262"/>
      <c r="K107" s="262"/>
      <c r="L107" s="843"/>
      <c r="M107" s="275" t="s">
        <v>368</v>
      </c>
      <c r="N107" s="278"/>
      <c r="O107" s="277">
        <f t="shared" ref="O107:AR107" si="12">IF(O100&lt;=$K$20,$M$55/$K$20,"")</f>
        <v>0</v>
      </c>
      <c r="P107" s="277">
        <f t="shared" si="12"/>
        <v>0</v>
      </c>
      <c r="Q107" s="277">
        <f t="shared" si="12"/>
        <v>0</v>
      </c>
      <c r="R107" s="277">
        <f t="shared" si="12"/>
        <v>0</v>
      </c>
      <c r="S107" s="277">
        <f t="shared" si="12"/>
        <v>0</v>
      </c>
      <c r="T107" s="277">
        <f t="shared" si="12"/>
        <v>0</v>
      </c>
      <c r="U107" s="277">
        <f t="shared" si="12"/>
        <v>0</v>
      </c>
      <c r="V107" s="277">
        <f t="shared" si="12"/>
        <v>0</v>
      </c>
      <c r="W107" s="277">
        <f t="shared" si="12"/>
        <v>0</v>
      </c>
      <c r="X107" s="277">
        <f t="shared" si="12"/>
        <v>0</v>
      </c>
      <c r="Y107" s="277" t="str">
        <f t="shared" si="12"/>
        <v/>
      </c>
      <c r="Z107" s="277" t="str">
        <f t="shared" si="12"/>
        <v/>
      </c>
      <c r="AA107" s="277" t="str">
        <f t="shared" si="12"/>
        <v/>
      </c>
      <c r="AB107" s="277" t="str">
        <f t="shared" si="12"/>
        <v/>
      </c>
      <c r="AC107" s="277" t="str">
        <f t="shared" si="12"/>
        <v/>
      </c>
      <c r="AD107" s="277" t="str">
        <f t="shared" si="12"/>
        <v/>
      </c>
      <c r="AE107" s="277" t="str">
        <f t="shared" si="12"/>
        <v/>
      </c>
      <c r="AF107" s="277" t="str">
        <f t="shared" si="12"/>
        <v/>
      </c>
      <c r="AG107" s="277" t="str">
        <f t="shared" si="12"/>
        <v/>
      </c>
      <c r="AH107" s="277" t="str">
        <f t="shared" si="12"/>
        <v/>
      </c>
      <c r="AI107" s="277" t="str">
        <f t="shared" si="12"/>
        <v/>
      </c>
      <c r="AJ107" s="277" t="str">
        <f t="shared" si="12"/>
        <v/>
      </c>
      <c r="AK107" s="277" t="str">
        <f t="shared" si="12"/>
        <v/>
      </c>
      <c r="AL107" s="277" t="str">
        <f t="shared" si="12"/>
        <v/>
      </c>
      <c r="AM107" s="277" t="str">
        <f t="shared" si="12"/>
        <v/>
      </c>
      <c r="AN107" s="277" t="str">
        <f t="shared" si="12"/>
        <v/>
      </c>
      <c r="AO107" s="277" t="str">
        <f t="shared" si="12"/>
        <v/>
      </c>
      <c r="AP107" s="277" t="str">
        <f t="shared" si="12"/>
        <v/>
      </c>
      <c r="AQ107" s="277" t="str">
        <f t="shared" si="12"/>
        <v/>
      </c>
      <c r="AR107" s="276" t="str">
        <f t="shared" si="12"/>
        <v/>
      </c>
    </row>
    <row r="108" spans="10:44" ht="16.2" thickBot="1">
      <c r="J108" s="262"/>
      <c r="K108" s="262"/>
      <c r="L108" s="843"/>
      <c r="M108" s="275" t="s">
        <v>369</v>
      </c>
      <c r="N108" s="274"/>
      <c r="O108" s="273" t="str">
        <f t="shared" ref="O108:AR108" si="13">IF(SUM(O104:O107)=0,"",SUM(O104:O107))</f>
        <v/>
      </c>
      <c r="P108" s="273" t="str">
        <f t="shared" si="13"/>
        <v/>
      </c>
      <c r="Q108" s="273" t="str">
        <f t="shared" si="13"/>
        <v/>
      </c>
      <c r="R108" s="273" t="str">
        <f t="shared" si="13"/>
        <v/>
      </c>
      <c r="S108" s="273" t="str">
        <f t="shared" si="13"/>
        <v/>
      </c>
      <c r="T108" s="273" t="str">
        <f t="shared" si="13"/>
        <v/>
      </c>
      <c r="U108" s="273" t="str">
        <f t="shared" si="13"/>
        <v/>
      </c>
      <c r="V108" s="273" t="str">
        <f t="shared" si="13"/>
        <v/>
      </c>
      <c r="W108" s="273" t="str">
        <f t="shared" si="13"/>
        <v/>
      </c>
      <c r="X108" s="273" t="str">
        <f t="shared" si="13"/>
        <v/>
      </c>
      <c r="Y108" s="273" t="str">
        <f t="shared" si="13"/>
        <v/>
      </c>
      <c r="Z108" s="273" t="str">
        <f t="shared" si="13"/>
        <v/>
      </c>
      <c r="AA108" s="273" t="str">
        <f t="shared" si="13"/>
        <v/>
      </c>
      <c r="AB108" s="273" t="str">
        <f t="shared" si="13"/>
        <v/>
      </c>
      <c r="AC108" s="273" t="str">
        <f t="shared" si="13"/>
        <v/>
      </c>
      <c r="AD108" s="273" t="str">
        <f t="shared" si="13"/>
        <v/>
      </c>
      <c r="AE108" s="273" t="str">
        <f t="shared" si="13"/>
        <v/>
      </c>
      <c r="AF108" s="273" t="str">
        <f t="shared" si="13"/>
        <v/>
      </c>
      <c r="AG108" s="273" t="str">
        <f t="shared" si="13"/>
        <v/>
      </c>
      <c r="AH108" s="273" t="str">
        <f t="shared" si="13"/>
        <v/>
      </c>
      <c r="AI108" s="273" t="str">
        <f t="shared" si="13"/>
        <v/>
      </c>
      <c r="AJ108" s="273" t="str">
        <f t="shared" si="13"/>
        <v/>
      </c>
      <c r="AK108" s="273" t="str">
        <f t="shared" si="13"/>
        <v/>
      </c>
      <c r="AL108" s="273" t="str">
        <f t="shared" si="13"/>
        <v/>
      </c>
      <c r="AM108" s="273" t="str">
        <f t="shared" si="13"/>
        <v/>
      </c>
      <c r="AN108" s="273" t="str">
        <f t="shared" si="13"/>
        <v/>
      </c>
      <c r="AO108" s="273" t="str">
        <f t="shared" si="13"/>
        <v/>
      </c>
      <c r="AP108" s="273" t="str">
        <f t="shared" si="13"/>
        <v/>
      </c>
      <c r="AQ108" s="273" t="str">
        <f t="shared" si="13"/>
        <v/>
      </c>
      <c r="AR108" s="272" t="str">
        <f t="shared" si="13"/>
        <v/>
      </c>
    </row>
    <row r="109" spans="10:44" ht="16.2" thickBot="1">
      <c r="J109" s="262"/>
      <c r="K109" s="262"/>
      <c r="L109" s="830"/>
      <c r="M109" s="271" t="s">
        <v>370</v>
      </c>
      <c r="N109" s="270">
        <f>N102*Paramètres!$B$21</f>
        <v>0</v>
      </c>
      <c r="O109" s="269" t="str">
        <f>IF(N(O108)&gt;0,O108*Paramètres!$B$21,"")</f>
        <v/>
      </c>
      <c r="P109" s="269" t="str">
        <f>IF(N(P108)&gt;0,P108*Paramètres!$B$21,"")</f>
        <v/>
      </c>
      <c r="Q109" s="269" t="str">
        <f>IF(N(Q108)&gt;0,Q108*Paramètres!$B$21,"")</f>
        <v/>
      </c>
      <c r="R109" s="269" t="str">
        <f>IF(N(R108)&gt;0,R108*Paramètres!$B$21,"")</f>
        <v/>
      </c>
      <c r="S109" s="269" t="str">
        <f>IF(N(S108)&gt;0,S108*Paramètres!$B$21,"")</f>
        <v/>
      </c>
      <c r="T109" s="269" t="str">
        <f>IF(N(T108)&gt;0,T108*Paramètres!$B$21,"")</f>
        <v/>
      </c>
      <c r="U109" s="269" t="str">
        <f>IF(N(U108)&gt;0,U108*Paramètres!$B$21,"")</f>
        <v/>
      </c>
      <c r="V109" s="269" t="str">
        <f>IF(N(V108)&gt;0,V108*Paramètres!$B$21,"")</f>
        <v/>
      </c>
      <c r="W109" s="269" t="str">
        <f>IF(N(W108)&gt;0,W108*Paramètres!$B$21,"")</f>
        <v/>
      </c>
      <c r="X109" s="269" t="str">
        <f>IF(N(X108)&gt;0,X108*Paramètres!$B$21,"")</f>
        <v/>
      </c>
      <c r="Y109" s="269" t="str">
        <f>IF(N(Y108)&gt;0,Y108*Paramètres!$B$21,"")</f>
        <v/>
      </c>
      <c r="Z109" s="269" t="str">
        <f>IF(N(Z108)&gt;0,Z108*Paramètres!$B$21,"")</f>
        <v/>
      </c>
      <c r="AA109" s="269" t="str">
        <f>IF(N(AA108)&gt;0,AA108*Paramètres!$B$21,"")</f>
        <v/>
      </c>
      <c r="AB109" s="269" t="str">
        <f>IF(N(AB108)&gt;0,AB108*Paramètres!$B$21,"")</f>
        <v/>
      </c>
      <c r="AC109" s="269" t="str">
        <f>IF(N(AC108)&gt;0,AC108*Paramètres!$B$21,"")</f>
        <v/>
      </c>
      <c r="AD109" s="269" t="str">
        <f>IF(N(AD108)&gt;0,AD108*Paramètres!$B$21,"")</f>
        <v/>
      </c>
      <c r="AE109" s="269" t="str">
        <f>IF(N(AE108)&gt;0,AE108*Paramètres!$B$21,"")</f>
        <v/>
      </c>
      <c r="AF109" s="269" t="str">
        <f>IF(N(AF108)&gt;0,AF108*Paramètres!$B$21,"")</f>
        <v/>
      </c>
      <c r="AG109" s="269" t="str">
        <f>IF(N(AG108)&gt;0,AG108*Paramètres!$B$21,"")</f>
        <v/>
      </c>
      <c r="AH109" s="269" t="str">
        <f>IF(N(AH108)&gt;0,AH108*Paramètres!$B$21,"")</f>
        <v/>
      </c>
      <c r="AI109" s="269" t="str">
        <f>IF(N(AI108)&gt;0,AI108*Paramètres!$B$21,"")</f>
        <v/>
      </c>
      <c r="AJ109" s="269" t="str">
        <f>IF(N(AJ108)&gt;0,AJ108*Paramètres!$B$21,"")</f>
        <v/>
      </c>
      <c r="AK109" s="269" t="str">
        <f>IF(N(AK108)&gt;0,AK108*Paramètres!$B$21,"")</f>
        <v/>
      </c>
      <c r="AL109" s="269" t="str">
        <f>IF(N(AL108)&gt;0,AL108*Paramètres!$B$21,"")</f>
        <v/>
      </c>
      <c r="AM109" s="269" t="str">
        <f>IF(N(AM108)&gt;0,AM108*Paramètres!$B$21,"")</f>
        <v/>
      </c>
      <c r="AN109" s="269" t="str">
        <f>IF(N(AN108)&gt;0,AN108*Paramètres!$B$21,"")</f>
        <v/>
      </c>
      <c r="AO109" s="269" t="str">
        <f>IF(N(AO108)&gt;0,AO108*Paramètres!$B$21,"")</f>
        <v/>
      </c>
      <c r="AP109" s="269" t="str">
        <f>IF(N(AP108)&gt;0,AP108*Paramètres!$B$21,"")</f>
        <v/>
      </c>
      <c r="AQ109" s="269" t="str">
        <f>IF(N(AQ108)&gt;0,AQ108*Paramètres!$B$21,"")</f>
        <v/>
      </c>
      <c r="AR109" s="268" t="str">
        <f>IF(N(AR108)&gt;0,AR108*Paramètres!$B$21,"")</f>
        <v/>
      </c>
    </row>
    <row r="110" spans="10:44" ht="16.2" thickBot="1">
      <c r="J110" s="262"/>
      <c r="K110" s="262"/>
      <c r="L110" s="267" t="s">
        <v>361</v>
      </c>
      <c r="M110" s="266" t="s">
        <v>319</v>
      </c>
      <c r="N110" s="265" t="str">
        <f t="shared" ref="N110:AR110" si="14">IF(N100=$K$16,$M$59,"")</f>
        <v/>
      </c>
      <c r="O110" s="264" t="str">
        <f t="shared" si="14"/>
        <v/>
      </c>
      <c r="P110" s="264" t="str">
        <f t="shared" si="14"/>
        <v/>
      </c>
      <c r="Q110" s="264" t="str">
        <f t="shared" si="14"/>
        <v/>
      </c>
      <c r="R110" s="264" t="str">
        <f t="shared" si="14"/>
        <v/>
      </c>
      <c r="S110" s="264" t="str">
        <f t="shared" si="14"/>
        <v/>
      </c>
      <c r="T110" s="264" t="str">
        <f t="shared" si="14"/>
        <v/>
      </c>
      <c r="U110" s="264" t="str">
        <f t="shared" si="14"/>
        <v/>
      </c>
      <c r="V110" s="264" t="str">
        <f t="shared" si="14"/>
        <v/>
      </c>
      <c r="W110" s="264" t="str">
        <f t="shared" si="14"/>
        <v/>
      </c>
      <c r="X110" s="264" t="str">
        <f t="shared" si="14"/>
        <v/>
      </c>
      <c r="Y110" s="264" t="str">
        <f t="shared" si="14"/>
        <v/>
      </c>
      <c r="Z110" s="264" t="str">
        <f t="shared" si="14"/>
        <v/>
      </c>
      <c r="AA110" s="264" t="str">
        <f t="shared" si="14"/>
        <v/>
      </c>
      <c r="AB110" s="264" t="str">
        <f t="shared" si="14"/>
        <v/>
      </c>
      <c r="AC110" s="264">
        <f t="shared" si="14"/>
        <v>0</v>
      </c>
      <c r="AD110" s="264" t="str">
        <f t="shared" si="14"/>
        <v/>
      </c>
      <c r="AE110" s="264" t="str">
        <f t="shared" si="14"/>
        <v/>
      </c>
      <c r="AF110" s="264" t="str">
        <f t="shared" si="14"/>
        <v/>
      </c>
      <c r="AG110" s="264" t="str">
        <f t="shared" si="14"/>
        <v/>
      </c>
      <c r="AH110" s="264" t="str">
        <f t="shared" si="14"/>
        <v/>
      </c>
      <c r="AI110" s="264" t="str">
        <f t="shared" si="14"/>
        <v/>
      </c>
      <c r="AJ110" s="264" t="str">
        <f t="shared" si="14"/>
        <v/>
      </c>
      <c r="AK110" s="264" t="str">
        <f t="shared" si="14"/>
        <v/>
      </c>
      <c r="AL110" s="264" t="str">
        <f t="shared" si="14"/>
        <v/>
      </c>
      <c r="AM110" s="264" t="str">
        <f t="shared" si="14"/>
        <v/>
      </c>
      <c r="AN110" s="264" t="str">
        <f t="shared" si="14"/>
        <v/>
      </c>
      <c r="AO110" s="264" t="str">
        <f t="shared" si="14"/>
        <v/>
      </c>
      <c r="AP110" s="264" t="str">
        <f t="shared" si="14"/>
        <v/>
      </c>
      <c r="AQ110" s="264" t="str">
        <f t="shared" si="14"/>
        <v/>
      </c>
      <c r="AR110" s="263" t="str">
        <f t="shared" si="14"/>
        <v/>
      </c>
    </row>
    <row r="111" spans="10:44" ht="16.2" thickBot="1">
      <c r="J111" s="262"/>
      <c r="K111" s="262"/>
      <c r="L111" s="841" t="s">
        <v>362</v>
      </c>
      <c r="M111" s="844"/>
      <c r="N111" s="260" t="str">
        <f>IF((SUM(N101:N103)-N109)=0,"",(SUM(N101:N103))-N109)</f>
        <v/>
      </c>
      <c r="O111" s="259" t="str">
        <f t="shared" ref="O111:AR111" si="15">IF(SUM(N(O104)+N(O105)-N(O109)+N(O110))=0,"",SUM(N(O104)+N(O105)-N(O109)+N(O110)))</f>
        <v/>
      </c>
      <c r="P111" s="259" t="str">
        <f t="shared" si="15"/>
        <v/>
      </c>
      <c r="Q111" s="259" t="str">
        <f t="shared" si="15"/>
        <v/>
      </c>
      <c r="R111" s="259" t="str">
        <f t="shared" si="15"/>
        <v/>
      </c>
      <c r="S111" s="259" t="str">
        <f t="shared" si="15"/>
        <v/>
      </c>
      <c r="T111" s="259" t="str">
        <f t="shared" si="15"/>
        <v/>
      </c>
      <c r="U111" s="259" t="str">
        <f t="shared" si="15"/>
        <v/>
      </c>
      <c r="V111" s="259" t="str">
        <f t="shared" si="15"/>
        <v/>
      </c>
      <c r="W111" s="259" t="str">
        <f t="shared" si="15"/>
        <v/>
      </c>
      <c r="X111" s="259" t="str">
        <f t="shared" si="15"/>
        <v/>
      </c>
      <c r="Y111" s="259" t="str">
        <f t="shared" si="15"/>
        <v/>
      </c>
      <c r="Z111" s="259" t="str">
        <f t="shared" si="15"/>
        <v/>
      </c>
      <c r="AA111" s="259" t="str">
        <f t="shared" si="15"/>
        <v/>
      </c>
      <c r="AB111" s="259" t="str">
        <f t="shared" si="15"/>
        <v/>
      </c>
      <c r="AC111" s="259" t="str">
        <f t="shared" si="15"/>
        <v/>
      </c>
      <c r="AD111" s="259" t="str">
        <f t="shared" si="15"/>
        <v/>
      </c>
      <c r="AE111" s="259" t="str">
        <f t="shared" si="15"/>
        <v/>
      </c>
      <c r="AF111" s="259" t="str">
        <f t="shared" si="15"/>
        <v/>
      </c>
      <c r="AG111" s="259" t="str">
        <f t="shared" si="15"/>
        <v/>
      </c>
      <c r="AH111" s="259" t="str">
        <f t="shared" si="15"/>
        <v/>
      </c>
      <c r="AI111" s="259" t="str">
        <f t="shared" si="15"/>
        <v/>
      </c>
      <c r="AJ111" s="259" t="str">
        <f t="shared" si="15"/>
        <v/>
      </c>
      <c r="AK111" s="259" t="str">
        <f t="shared" si="15"/>
        <v/>
      </c>
      <c r="AL111" s="259" t="str">
        <f t="shared" si="15"/>
        <v/>
      </c>
      <c r="AM111" s="259" t="str">
        <f t="shared" si="15"/>
        <v/>
      </c>
      <c r="AN111" s="259" t="str">
        <f t="shared" si="15"/>
        <v/>
      </c>
      <c r="AO111" s="259" t="str">
        <f t="shared" si="15"/>
        <v/>
      </c>
      <c r="AP111" s="259" t="str">
        <f t="shared" si="15"/>
        <v/>
      </c>
      <c r="AQ111" s="259" t="str">
        <f t="shared" si="15"/>
        <v/>
      </c>
      <c r="AR111" s="258" t="str">
        <f t="shared" si="15"/>
        <v/>
      </c>
    </row>
    <row r="112" spans="10:44" ht="13.8" thickBot="1">
      <c r="J112" s="250"/>
      <c r="K112" s="250"/>
      <c r="L112" s="841" t="s">
        <v>363</v>
      </c>
      <c r="M112" s="844"/>
      <c r="N112" s="260" t="str">
        <f>IF(N111="","",((N111)/(1+Paramètres!$B$19)^N100))</f>
        <v/>
      </c>
      <c r="O112" s="259" t="str">
        <f>IF(O111="","",((O111)/(1+Paramètres!$B$19)^O100))</f>
        <v/>
      </c>
      <c r="P112" s="259" t="str">
        <f>IF(P111="","",((P111)/(1+Paramètres!$B$19)^P100))</f>
        <v/>
      </c>
      <c r="Q112" s="259" t="str">
        <f>IF(Q111="","",((Q111)/(1+Paramètres!$B$19)^Q100))</f>
        <v/>
      </c>
      <c r="R112" s="259" t="str">
        <f>IF(R111="","",((R111)/(1+Paramètres!$B$19)^R100))</f>
        <v/>
      </c>
      <c r="S112" s="259" t="str">
        <f>IF(S111="","",((S111)/(1+Paramètres!$B$19)^S100))</f>
        <v/>
      </c>
      <c r="T112" s="259" t="str">
        <f>IF(T111="","",((T111)/(1+Paramètres!$B$19)^T100))</f>
        <v/>
      </c>
      <c r="U112" s="259" t="str">
        <f>IF(U111="","",((U111)/(1+Paramètres!$B$19)^U100))</f>
        <v/>
      </c>
      <c r="V112" s="259" t="str">
        <f>IF(V111="","",((V111)/(1+Paramètres!$B$19)^V100))</f>
        <v/>
      </c>
      <c r="W112" s="259" t="str">
        <f>IF(W111="","",((W111)/(1+Paramètres!$B$19)^W100))</f>
        <v/>
      </c>
      <c r="X112" s="259" t="str">
        <f>IF(X111="","",((X111)/(1+Paramètres!$B$19)^X100))</f>
        <v/>
      </c>
      <c r="Y112" s="259" t="str">
        <f>IF(Y111="","",((Y111)/(1+Paramètres!$B$19)^Y100))</f>
        <v/>
      </c>
      <c r="Z112" s="259" t="str">
        <f>IF(Z111="","",((Z111)/(1+Paramètres!$B$19)^Z100))</f>
        <v/>
      </c>
      <c r="AA112" s="259" t="str">
        <f>IF(AA111="","",((AA111)/(1+Paramètres!$B$19)^AA100))</f>
        <v/>
      </c>
      <c r="AB112" s="259" t="str">
        <f>IF(AB111="","",((AB111)/(1+Paramètres!$B$19)^AB100))</f>
        <v/>
      </c>
      <c r="AC112" s="259" t="str">
        <f>IF(AC111="","",((AC111)/(1+Paramètres!$B$19)^AC100))</f>
        <v/>
      </c>
      <c r="AD112" s="259" t="str">
        <f>IF(AD111="","",((AD111)/(1+Paramètres!$B$19)^AD100))</f>
        <v/>
      </c>
      <c r="AE112" s="259" t="str">
        <f>IF(AE111="","",((AE111)/(1+Paramètres!$B$19)^AE100))</f>
        <v/>
      </c>
      <c r="AF112" s="259" t="str">
        <f>IF(AF111="","",((AF111)/(1+Paramètres!$B$19)^AF100))</f>
        <v/>
      </c>
      <c r="AG112" s="259" t="str">
        <f>IF(AG111="","",((AG111)/(1+Paramètres!$B$19)^AG100))</f>
        <v/>
      </c>
      <c r="AH112" s="259" t="str">
        <f>IF(AH111="","",((AH111)/(1+Paramètres!$B$19)^AH100))</f>
        <v/>
      </c>
      <c r="AI112" s="259" t="str">
        <f>IF(AI111="","",((AI111)/(1+Paramètres!$B$19)^AI100))</f>
        <v/>
      </c>
      <c r="AJ112" s="259" t="str">
        <f>IF(AJ111="","",((AJ111)/(1+Paramètres!$B$19)^AJ100))</f>
        <v/>
      </c>
      <c r="AK112" s="259" t="str">
        <f>IF(AK111="","",((AK111)/(1+Paramètres!$B$19)^AK100))</f>
        <v/>
      </c>
      <c r="AL112" s="259" t="str">
        <f>IF(AL111="","",((AL111)/(1+Paramètres!$B$19)^AL100))</f>
        <v/>
      </c>
      <c r="AM112" s="259" t="str">
        <f>IF(AM111="","",((AM111)/(1+Paramètres!$B$19)^AM100))</f>
        <v/>
      </c>
      <c r="AN112" s="259" t="str">
        <f>IF(AN111="","",((AN111)/(1+Paramètres!$B$19)^AN100))</f>
        <v/>
      </c>
      <c r="AO112" s="259" t="str">
        <f>IF(AO111="","",((AO111)/(1+Paramètres!$B$19)^AO100))</f>
        <v/>
      </c>
      <c r="AP112" s="259" t="str">
        <f>IF(AP111="","",((AP111)/(1+Paramètres!$B$19)^AP100))</f>
        <v/>
      </c>
      <c r="AQ112" s="259" t="str">
        <f>IF(AQ111="","",((AQ111)/(1+Paramètres!$B$19)^AQ100))</f>
        <v/>
      </c>
      <c r="AR112" s="258" t="str">
        <f>IF(AR111="","",((AR111)/(1+Paramètres!$B$19)^AR100))</f>
        <v/>
      </c>
    </row>
    <row r="113" spans="10:44" ht="13.8" thickBot="1">
      <c r="J113" s="250"/>
      <c r="K113" s="250"/>
      <c r="L113" s="841" t="s">
        <v>364</v>
      </c>
      <c r="M113" s="844"/>
      <c r="N113" s="257" t="str">
        <f>N112</f>
        <v/>
      </c>
      <c r="O113" s="256" t="str">
        <f t="shared" ref="O113:AR113" si="16">IF(O112="","",((N113+O90)))</f>
        <v/>
      </c>
      <c r="P113" s="256" t="str">
        <f t="shared" si="16"/>
        <v/>
      </c>
      <c r="Q113" s="256" t="str">
        <f t="shared" si="16"/>
        <v/>
      </c>
      <c r="R113" s="256" t="str">
        <f t="shared" si="16"/>
        <v/>
      </c>
      <c r="S113" s="256" t="str">
        <f t="shared" si="16"/>
        <v/>
      </c>
      <c r="T113" s="256" t="str">
        <f t="shared" si="16"/>
        <v/>
      </c>
      <c r="U113" s="256" t="str">
        <f t="shared" si="16"/>
        <v/>
      </c>
      <c r="V113" s="256" t="str">
        <f t="shared" si="16"/>
        <v/>
      </c>
      <c r="W113" s="256" t="str">
        <f t="shared" si="16"/>
        <v/>
      </c>
      <c r="X113" s="256" t="str">
        <f t="shared" si="16"/>
        <v/>
      </c>
      <c r="Y113" s="256" t="str">
        <f t="shared" si="16"/>
        <v/>
      </c>
      <c r="Z113" s="256" t="str">
        <f t="shared" si="16"/>
        <v/>
      </c>
      <c r="AA113" s="256" t="str">
        <f t="shared" si="16"/>
        <v/>
      </c>
      <c r="AB113" s="256" t="str">
        <f t="shared" si="16"/>
        <v/>
      </c>
      <c r="AC113" s="256" t="str">
        <f t="shared" si="16"/>
        <v/>
      </c>
      <c r="AD113" s="256" t="str">
        <f t="shared" si="16"/>
        <v/>
      </c>
      <c r="AE113" s="256" t="str">
        <f t="shared" si="16"/>
        <v/>
      </c>
      <c r="AF113" s="256" t="str">
        <f t="shared" si="16"/>
        <v/>
      </c>
      <c r="AG113" s="256" t="str">
        <f t="shared" si="16"/>
        <v/>
      </c>
      <c r="AH113" s="256" t="str">
        <f t="shared" si="16"/>
        <v/>
      </c>
      <c r="AI113" s="256" t="str">
        <f t="shared" si="16"/>
        <v/>
      </c>
      <c r="AJ113" s="256" t="str">
        <f t="shared" si="16"/>
        <v/>
      </c>
      <c r="AK113" s="256" t="str">
        <f t="shared" si="16"/>
        <v/>
      </c>
      <c r="AL113" s="256" t="str">
        <f t="shared" si="16"/>
        <v/>
      </c>
      <c r="AM113" s="256" t="str">
        <f t="shared" si="16"/>
        <v/>
      </c>
      <c r="AN113" s="256" t="str">
        <f t="shared" si="16"/>
        <v/>
      </c>
      <c r="AO113" s="256" t="str">
        <f t="shared" si="16"/>
        <v/>
      </c>
      <c r="AP113" s="256" t="str">
        <f t="shared" si="16"/>
        <v/>
      </c>
      <c r="AQ113" s="256" t="str">
        <f t="shared" si="16"/>
        <v/>
      </c>
      <c r="AR113" s="255" t="str">
        <f t="shared" si="16"/>
        <v/>
      </c>
    </row>
    <row r="114" spans="10:44" ht="13.8" thickBot="1"/>
    <row r="115" spans="10:44">
      <c r="L115" s="254" t="s">
        <v>225</v>
      </c>
      <c r="M115" s="253" t="str">
        <f>IFERROR(IRR(N111:AR111), "PROJET NON RENTABLE")</f>
        <v>PROJET NON RENTABLE</v>
      </c>
    </row>
    <row r="116" spans="10:44" ht="13.8" thickBot="1">
      <c r="L116" s="252" t="s">
        <v>224</v>
      </c>
      <c r="M116" s="412" cm="1">
        <f t="array" ref="M116">IFERROR(INDEX(N100:AR100,MATCH(TRUE,N113:AR113&gt;0,0)),"PROJET NON RENTABLE")</f>
        <v>0</v>
      </c>
    </row>
  </sheetData>
  <mergeCells count="63">
    <mergeCell ref="L103:L104"/>
    <mergeCell ref="L106:L109"/>
    <mergeCell ref="L111:M111"/>
    <mergeCell ref="L112:M112"/>
    <mergeCell ref="L113:M113"/>
    <mergeCell ref="L101:L102"/>
    <mergeCell ref="N79:AR79"/>
    <mergeCell ref="B80:H80"/>
    <mergeCell ref="E81:F81"/>
    <mergeCell ref="L81:L82"/>
    <mergeCell ref="L83:L85"/>
    <mergeCell ref="B87:F87"/>
    <mergeCell ref="L89:M89"/>
    <mergeCell ref="L90:M90"/>
    <mergeCell ref="L91:M91"/>
    <mergeCell ref="J97:AR97"/>
    <mergeCell ref="N99:AR99"/>
    <mergeCell ref="K67:K72"/>
    <mergeCell ref="B70:H70"/>
    <mergeCell ref="E71:F71"/>
    <mergeCell ref="B77:F77"/>
    <mergeCell ref="J77:AR77"/>
    <mergeCell ref="B58:E58"/>
    <mergeCell ref="B59:F59"/>
    <mergeCell ref="B60:F60"/>
    <mergeCell ref="B61:F61"/>
    <mergeCell ref="J61:J72"/>
    <mergeCell ref="B67:F67"/>
    <mergeCell ref="K62:K63"/>
    <mergeCell ref="B64:F64"/>
    <mergeCell ref="K64:K65"/>
    <mergeCell ref="B65:F65"/>
    <mergeCell ref="B66:F66"/>
    <mergeCell ref="N48:O48"/>
    <mergeCell ref="J51:Q51"/>
    <mergeCell ref="J54:N54"/>
    <mergeCell ref="J55:J59"/>
    <mergeCell ref="K55:K56"/>
    <mergeCell ref="K57:K58"/>
    <mergeCell ref="N47:O47"/>
    <mergeCell ref="B21:H21"/>
    <mergeCell ref="J26:Q26"/>
    <mergeCell ref="C31:F31"/>
    <mergeCell ref="N31:O31"/>
    <mergeCell ref="C33:F33"/>
    <mergeCell ref="N33:O33"/>
    <mergeCell ref="C35:F35"/>
    <mergeCell ref="N35:O35"/>
    <mergeCell ref="O37:O45"/>
    <mergeCell ref="B42:H42"/>
    <mergeCell ref="B46:H46"/>
    <mergeCell ref="B17:H17"/>
    <mergeCell ref="B1:H1"/>
    <mergeCell ref="B2:H2"/>
    <mergeCell ref="J2:AR2"/>
    <mergeCell ref="B3:H3"/>
    <mergeCell ref="F5:G5"/>
    <mergeCell ref="L6:M6"/>
    <mergeCell ref="L7:M7"/>
    <mergeCell ref="J8:K8"/>
    <mergeCell ref="M8:N8"/>
    <mergeCell ref="B9:H9"/>
    <mergeCell ref="B13:C13"/>
  </mergeCells>
  <dataValidations count="5">
    <dataValidation type="list" showInputMessage="1" showErrorMessage="1" sqref="K15" xr:uid="{9AD4F24C-E5AB-45DE-8628-17A686F5B50D}">
      <formula1>"Tertiaire Public,Tertiaire Privé,Industrie"</formula1>
    </dataValidation>
    <dataValidation type="list" showInputMessage="1" showErrorMessage="1" sqref="K10:K14" xr:uid="{0F2F1888-EBC0-4743-A5A3-FABD0ECCE013}">
      <formula1>Poste</formula1>
    </dataValidation>
    <dataValidation type="list" allowBlank="1" showInputMessage="1" showErrorMessage="1" sqref="K24" xr:uid="{5290FB12-C480-4356-A958-42CD86DFE562}">
      <formula1>"Oui,Non"</formula1>
    </dataValidation>
    <dataValidation type="list" allowBlank="1" showInputMessage="1" showErrorMessage="1" sqref="K22:K23" xr:uid="{271CEA60-A9F5-4E1B-A06B-AC794DAB79EF}">
      <formula1>"OUI,NON"</formula1>
    </dataValidation>
    <dataValidation type="list" allowBlank="1" showInputMessage="1" showErrorMessage="1" sqref="C37" xr:uid="{BDB07DDF-C594-4A03-9A41-7852C9FD74F9}">
      <formula1>"2030,2040,2050"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1200" r:id="rId1"/>
  <headerFooter alignWithMargins="0">
    <oddHeader>&amp;C&amp;"Arial,Gras"&amp;14ECONOTEC / 3J-CONSULT</oddHeader>
    <oddFooter>&amp;L&amp;F&amp;R&amp;A</oddFooter>
  </headerFooter>
  <rowBreaks count="1" manualBreakCount="1">
    <brk id="67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BDDAF07-4CE9-46E4-8C3F-E4CAAA4C6D17}">
          <x14:formula1>
            <xm:f>Paramètres!$C$57:$C$60</xm:f>
          </x14:formula1>
          <xm:sqref>F27</xm:sqref>
        </x14:dataValidation>
        <x14:dataValidation type="list" allowBlank="1" showInputMessage="1" showErrorMessage="1" xr:uid="{58B86CB3-1B17-42BE-95A8-59722B7A701D}">
          <x14:formula1>
            <xm:f>Paramètres!$A$57:$A$83</xm:f>
          </x14:formula1>
          <xm:sqref>B13:B14</xm:sqref>
        </x14:dataValidation>
        <x14:dataValidation type="list" allowBlank="1" showInputMessage="1" showErrorMessage="1" xr:uid="{64F73F20-1B45-4517-8F9A-53000E52297D}">
          <x14:formula1>
            <xm:f>Paramètres!$B$57:$B$82</xm:f>
          </x14:formula1>
          <xm:sqref>C31:F31 C35:F35 C33:F33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F3703-D16D-4BDF-9166-8EDDC870E7AE}">
  <dimension ref="B1:AR116"/>
  <sheetViews>
    <sheetView zoomScaleNormal="100" workbookViewId="0">
      <selection activeCell="F20" sqref="F20"/>
    </sheetView>
  </sheetViews>
  <sheetFormatPr baseColWidth="10" defaultColWidth="11.44140625" defaultRowHeight="13.2"/>
  <cols>
    <col min="1" max="1" width="1.88671875" customWidth="1"/>
    <col min="2" max="2" width="16.88671875" customWidth="1"/>
    <col min="6" max="6" width="14" bestFit="1" customWidth="1"/>
    <col min="7" max="7" width="11.88671875" customWidth="1"/>
    <col min="8" max="8" width="12.6640625" bestFit="1" customWidth="1"/>
    <col min="10" max="10" width="49" bestFit="1" customWidth="1"/>
    <col min="11" max="11" width="31.109375" bestFit="1" customWidth="1"/>
    <col min="12" max="12" width="41.44140625" bestFit="1" customWidth="1"/>
    <col min="13" max="13" width="35.5546875" bestFit="1" customWidth="1"/>
    <col min="14" max="14" width="10.109375" bestFit="1" customWidth="1"/>
    <col min="15" max="15" width="9.6640625" bestFit="1" customWidth="1"/>
    <col min="16" max="18" width="5" bestFit="1" customWidth="1"/>
    <col min="19" max="29" width="5.33203125" bestFit="1" customWidth="1"/>
    <col min="30" max="44" width="2.88671875" bestFit="1" customWidth="1"/>
  </cols>
  <sheetData>
    <row r="1" spans="2:44" ht="21">
      <c r="B1" s="772" t="str">
        <f>Entête!C15</f>
        <v>NOM DE L'ENTITE</v>
      </c>
      <c r="C1" s="773"/>
      <c r="D1" s="773"/>
      <c r="E1" s="773"/>
      <c r="F1" s="773"/>
      <c r="G1" s="773"/>
      <c r="H1" s="774"/>
      <c r="J1" s="250"/>
      <c r="K1" s="250"/>
      <c r="L1" s="250"/>
      <c r="M1" s="251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</row>
    <row r="2" spans="2:44" ht="21">
      <c r="B2" s="775"/>
      <c r="C2" s="776"/>
      <c r="D2" s="776"/>
      <c r="E2" s="776"/>
      <c r="F2" s="776"/>
      <c r="G2" s="776"/>
      <c r="H2" s="777"/>
      <c r="J2" s="778" t="s">
        <v>260</v>
      </c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79"/>
      <c r="AP2" s="779"/>
      <c r="AQ2" s="779"/>
      <c r="AR2" s="779"/>
    </row>
    <row r="3" spans="2:44" ht="16.2" thickBot="1">
      <c r="B3" s="780" t="s">
        <v>261</v>
      </c>
      <c r="C3" s="781"/>
      <c r="D3" s="781"/>
      <c r="E3" s="781"/>
      <c r="F3" s="781"/>
      <c r="G3" s="781"/>
      <c r="H3" s="782"/>
      <c r="J3" s="375"/>
      <c r="K3" s="375"/>
      <c r="L3" s="375"/>
      <c r="M3" s="416"/>
      <c r="N3" s="375"/>
      <c r="O3" s="375"/>
      <c r="P3" s="375"/>
      <c r="Q3" s="375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</row>
    <row r="4" spans="2:44">
      <c r="J4" s="375"/>
      <c r="K4" s="375"/>
      <c r="L4" s="375"/>
      <c r="M4" s="375"/>
      <c r="N4" s="375"/>
      <c r="O4" s="375"/>
      <c r="P4" s="375"/>
      <c r="Q4" s="375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</row>
    <row r="5" spans="2:44" ht="16.2" thickBot="1">
      <c r="B5" s="198" t="s">
        <v>262</v>
      </c>
      <c r="F5" s="783" t="s">
        <v>391</v>
      </c>
      <c r="G5" s="784"/>
      <c r="J5" s="375"/>
      <c r="K5" s="375"/>
      <c r="L5" s="375"/>
      <c r="M5" s="417"/>
      <c r="N5" s="375"/>
      <c r="O5" s="375"/>
      <c r="P5" s="375"/>
      <c r="Q5" s="375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</row>
    <row r="6" spans="2:44" ht="16.2" thickBot="1">
      <c r="B6" s="198"/>
      <c r="G6" s="199"/>
      <c r="J6" s="376" t="s">
        <v>264</v>
      </c>
      <c r="K6" s="389"/>
      <c r="L6" s="785"/>
      <c r="M6" s="785"/>
      <c r="N6" s="387"/>
      <c r="O6" s="387"/>
      <c r="P6" s="387"/>
      <c r="Q6" s="387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4"/>
      <c r="AE6" s="414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</row>
    <row r="7" spans="2:44" ht="16.2" thickBot="1">
      <c r="B7" s="198" t="s">
        <v>265</v>
      </c>
      <c r="J7" s="388"/>
      <c r="K7" s="387"/>
      <c r="L7" s="785"/>
      <c r="M7" s="785"/>
      <c r="N7" s="387"/>
      <c r="O7" s="387"/>
      <c r="P7" s="387"/>
      <c r="Q7" s="387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4"/>
      <c r="AE7" s="414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</row>
    <row r="8" spans="2:44" ht="16.2" thickBot="1">
      <c r="J8" s="786" t="s">
        <v>266</v>
      </c>
      <c r="K8" s="787"/>
      <c r="L8" s="374"/>
      <c r="M8" s="786" t="s">
        <v>267</v>
      </c>
      <c r="N8" s="787"/>
      <c r="O8" s="374"/>
      <c r="P8" s="374"/>
      <c r="Q8" s="374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</row>
    <row r="9" spans="2:44" ht="16.2" thickBot="1">
      <c r="B9" s="788" t="s">
        <v>392</v>
      </c>
      <c r="C9" s="789"/>
      <c r="D9" s="789"/>
      <c r="E9" s="789"/>
      <c r="F9" s="789"/>
      <c r="G9" s="789"/>
      <c r="H9" s="790"/>
      <c r="J9" s="262"/>
      <c r="K9" s="262"/>
      <c r="L9" s="262"/>
      <c r="M9" s="262"/>
      <c r="N9" s="262"/>
      <c r="O9" s="262"/>
      <c r="P9" s="262"/>
      <c r="Q9" s="262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</row>
    <row r="10" spans="2:44" ht="16.2" thickBot="1">
      <c r="J10" s="378" t="s">
        <v>268</v>
      </c>
      <c r="K10" s="376" t="s">
        <v>55</v>
      </c>
      <c r="L10" s="262"/>
      <c r="M10" s="386" t="s">
        <v>269</v>
      </c>
      <c r="N10" s="385" t="str">
        <f>M93</f>
        <v>PROJET NON RENTABLE</v>
      </c>
      <c r="O10" s="262"/>
      <c r="P10" s="262"/>
      <c r="Q10" s="262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</row>
    <row r="11" spans="2:44" ht="15.6">
      <c r="B11" s="198" t="s">
        <v>191</v>
      </c>
      <c r="J11" s="262"/>
      <c r="K11" s="621"/>
      <c r="L11" s="262"/>
      <c r="M11" s="622"/>
      <c r="N11" s="623"/>
      <c r="O11" s="262"/>
      <c r="P11" s="262"/>
      <c r="Q11" s="262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</row>
    <row r="12" spans="2:44" ht="15.6">
      <c r="B12" s="635" t="s">
        <v>270</v>
      </c>
      <c r="J12" s="262"/>
      <c r="K12" s="621"/>
      <c r="L12" s="262"/>
      <c r="M12" s="622"/>
      <c r="N12" s="623"/>
      <c r="O12" s="262"/>
      <c r="P12" s="262"/>
      <c r="Q12" s="262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2:44" ht="24.9" customHeight="1">
      <c r="B13" s="788" t="s">
        <v>108</v>
      </c>
      <c r="C13" s="790"/>
      <c r="J13" s="262"/>
      <c r="K13" s="621"/>
      <c r="L13" s="262"/>
      <c r="M13" s="622"/>
      <c r="N13" s="623"/>
      <c r="O13" s="262"/>
      <c r="P13" s="262"/>
      <c r="Q13" s="262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</row>
    <row r="14" spans="2:44" ht="15.6">
      <c r="B14" s="199"/>
      <c r="J14" s="262"/>
      <c r="K14" s="621"/>
      <c r="L14" s="262"/>
      <c r="M14" s="622"/>
      <c r="N14" s="623"/>
      <c r="O14" s="262"/>
      <c r="P14" s="262"/>
      <c r="Q14" s="262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</row>
    <row r="15" spans="2:44" ht="16.2" thickBot="1">
      <c r="B15" s="198" t="s">
        <v>271</v>
      </c>
      <c r="J15" s="262"/>
      <c r="K15" s="262"/>
      <c r="L15" s="262"/>
      <c r="M15" s="384" t="s">
        <v>272</v>
      </c>
      <c r="N15" s="383">
        <f>M94</f>
        <v>0</v>
      </c>
      <c r="O15" s="262"/>
      <c r="P15" s="262"/>
      <c r="Q15" s="262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</row>
    <row r="16" spans="2:44" ht="16.2" thickBot="1">
      <c r="J16" s="378" t="s">
        <v>51</v>
      </c>
      <c r="K16" s="381">
        <f>VLOOKUP(K10,Paramètres!A27:C29,3)</f>
        <v>15</v>
      </c>
      <c r="L16" s="375"/>
      <c r="M16" s="310"/>
      <c r="N16" s="310"/>
      <c r="O16" s="262"/>
      <c r="P16" s="262"/>
      <c r="Q16" s="262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</row>
    <row r="17" spans="2:44" ht="29.25" customHeight="1" thickBot="1">
      <c r="B17" s="769"/>
      <c r="C17" s="770"/>
      <c r="D17" s="770"/>
      <c r="E17" s="770"/>
      <c r="F17" s="770"/>
      <c r="G17" s="770"/>
      <c r="H17" s="771"/>
      <c r="J17" s="262"/>
      <c r="K17" s="262"/>
      <c r="L17" s="375"/>
      <c r="M17" s="300" t="s">
        <v>273</v>
      </c>
      <c r="N17" s="382" t="str">
        <f>M115</f>
        <v>PROJET NON RENTABLE</v>
      </c>
      <c r="O17" s="262"/>
      <c r="P17" s="262"/>
      <c r="Q17" s="262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</row>
    <row r="18" spans="2:44" ht="16.2" thickBot="1">
      <c r="J18" s="378" t="s">
        <v>274</v>
      </c>
      <c r="K18" s="381">
        <f>VLOOKUP(K10,Paramètres!A27:D29,4)</f>
        <v>8</v>
      </c>
      <c r="L18" s="262"/>
      <c r="M18" s="311" t="s">
        <v>275</v>
      </c>
      <c r="N18" s="380">
        <f>M116</f>
        <v>0</v>
      </c>
      <c r="O18" s="262"/>
      <c r="P18" s="262"/>
      <c r="Q18" s="262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</row>
    <row r="19" spans="2:44" ht="16.2" thickBot="1">
      <c r="B19" s="198" t="s">
        <v>276</v>
      </c>
      <c r="J19" s="262"/>
      <c r="K19" s="262"/>
      <c r="L19" s="262"/>
      <c r="M19" s="375"/>
      <c r="N19" s="375"/>
      <c r="O19" s="262"/>
      <c r="P19" s="262"/>
      <c r="Q19" s="262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</row>
    <row r="20" spans="2:44" ht="16.2" thickBot="1">
      <c r="J20" s="377" t="s">
        <v>277</v>
      </c>
      <c r="K20" s="379">
        <v>10</v>
      </c>
      <c r="L20" s="262"/>
      <c r="M20" s="262"/>
      <c r="N20" s="418"/>
      <c r="O20" s="262"/>
      <c r="P20" s="262"/>
      <c r="Q20" s="262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</row>
    <row r="21" spans="2:44" ht="16.2" thickBot="1">
      <c r="B21" s="769" t="s">
        <v>393</v>
      </c>
      <c r="C21" s="770"/>
      <c r="D21" s="770"/>
      <c r="E21" s="770"/>
      <c r="F21" s="770"/>
      <c r="G21" s="770"/>
      <c r="H21" s="771"/>
      <c r="J21" s="374"/>
      <c r="K21" s="262"/>
      <c r="L21" s="262"/>
      <c r="M21" s="262"/>
      <c r="N21" s="418"/>
      <c r="O21" s="262"/>
      <c r="P21" s="262"/>
      <c r="Q21" s="262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</row>
    <row r="22" spans="2:44" ht="16.2" thickBot="1">
      <c r="J22" s="378" t="s">
        <v>278</v>
      </c>
      <c r="K22" s="376" t="s">
        <v>279</v>
      </c>
      <c r="L22" s="262"/>
      <c r="M22" s="262"/>
      <c r="N22" s="262"/>
      <c r="O22" s="262"/>
      <c r="P22" s="262"/>
      <c r="Q22" s="262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</row>
    <row r="23" spans="2:44" ht="16.2" thickBot="1">
      <c r="B23" s="198" t="s">
        <v>280</v>
      </c>
      <c r="F23" s="421">
        <f>C50*Paramètres!C13+C51*Paramètres!D13</f>
        <v>0</v>
      </c>
      <c r="G23" s="145"/>
      <c r="J23" s="377" t="s">
        <v>281</v>
      </c>
      <c r="K23" s="376" t="s">
        <v>282</v>
      </c>
      <c r="L23" s="262"/>
      <c r="M23" s="262"/>
      <c r="N23" s="262"/>
      <c r="O23" s="262"/>
      <c r="P23" s="262"/>
      <c r="Q23" s="262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</row>
    <row r="24" spans="2:44" ht="15.6">
      <c r="J24" s="262"/>
      <c r="K24" s="262"/>
      <c r="L24" s="262"/>
      <c r="M24" s="262"/>
      <c r="N24" s="262"/>
      <c r="O24" s="262"/>
      <c r="P24" s="262"/>
      <c r="Q24" s="262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</row>
    <row r="25" spans="2:44" ht="16.2" thickBot="1">
      <c r="B25" s="198" t="s">
        <v>283</v>
      </c>
      <c r="F25" s="421">
        <f>+G61*1000</f>
        <v>0</v>
      </c>
      <c r="J25" s="374"/>
      <c r="K25" s="262"/>
      <c r="L25" s="262"/>
      <c r="M25" s="262"/>
      <c r="N25" s="262"/>
      <c r="O25" s="262"/>
      <c r="P25" s="302"/>
      <c r="Q25" s="302"/>
      <c r="R25" s="302"/>
      <c r="S25" s="302"/>
      <c r="T25" s="302"/>
      <c r="U25" s="302"/>
      <c r="V25" s="302"/>
      <c r="W25" s="302"/>
      <c r="X25" s="302"/>
      <c r="Y25" s="321"/>
      <c r="Z25" s="321"/>
      <c r="AA25" s="321"/>
      <c r="AB25" s="321"/>
      <c r="AC25" s="321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</row>
    <row r="26" spans="2:44" ht="16.2" thickBot="1">
      <c r="J26" s="786" t="s">
        <v>284</v>
      </c>
      <c r="K26" s="793"/>
      <c r="L26" s="793"/>
      <c r="M26" s="793"/>
      <c r="N26" s="793"/>
      <c r="O26" s="793"/>
      <c r="P26" s="793"/>
      <c r="Q26" s="787"/>
      <c r="R26" s="302"/>
      <c r="S26" s="302"/>
      <c r="T26" s="302"/>
      <c r="U26" s="302"/>
      <c r="V26" s="302"/>
      <c r="W26" s="302"/>
      <c r="X26" s="302"/>
      <c r="Y26" s="321"/>
      <c r="Z26" s="321"/>
      <c r="AA26" s="321"/>
      <c r="AB26" s="321"/>
      <c r="AC26" s="321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</row>
    <row r="27" spans="2:44" ht="15.6">
      <c r="B27" s="198" t="s">
        <v>78</v>
      </c>
      <c r="F27" s="628" t="s">
        <v>85</v>
      </c>
      <c r="G27" s="420"/>
      <c r="J27" s="374"/>
      <c r="K27" s="262"/>
      <c r="L27" s="262"/>
      <c r="M27" s="262"/>
      <c r="N27" s="262"/>
      <c r="O27" s="262"/>
      <c r="P27" s="302"/>
      <c r="Q27" s="302"/>
      <c r="R27" s="302"/>
      <c r="S27" s="302"/>
      <c r="T27" s="302"/>
      <c r="U27" s="302"/>
      <c r="V27" s="302"/>
      <c r="W27" s="302"/>
      <c r="X27" s="302"/>
      <c r="Y27" s="321"/>
      <c r="Z27" s="321"/>
      <c r="AA27" s="321"/>
      <c r="AB27" s="321"/>
      <c r="AC27" s="321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</row>
    <row r="28" spans="2:44" ht="15.6">
      <c r="B28" s="198"/>
      <c r="F28" s="199"/>
      <c r="G28" s="420"/>
      <c r="J28" s="374"/>
      <c r="K28" s="262"/>
      <c r="L28" s="262"/>
      <c r="M28" s="262"/>
      <c r="N28" s="262"/>
      <c r="O28" s="262"/>
      <c r="P28" s="302"/>
      <c r="Q28" s="302"/>
      <c r="R28" s="302"/>
      <c r="S28" s="302"/>
      <c r="T28" s="302"/>
      <c r="U28" s="302"/>
      <c r="V28" s="302"/>
      <c r="W28" s="302"/>
      <c r="X28" s="302"/>
      <c r="Y28" s="321"/>
      <c r="Z28" s="321"/>
      <c r="AA28" s="321"/>
      <c r="AB28" s="321"/>
      <c r="AC28" s="321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</row>
    <row r="29" spans="2:44" ht="15.6">
      <c r="C29" s="198" t="s">
        <v>285</v>
      </c>
      <c r="F29" s="199"/>
      <c r="G29" s="420"/>
      <c r="J29" s="374"/>
      <c r="K29" s="262"/>
      <c r="L29" s="262"/>
      <c r="M29" s="262"/>
      <c r="N29" s="262"/>
      <c r="O29" s="262"/>
      <c r="P29" s="302"/>
      <c r="Q29" s="302"/>
      <c r="R29" s="302"/>
      <c r="S29" s="302"/>
      <c r="T29" s="302"/>
      <c r="U29" s="302"/>
      <c r="V29" s="302"/>
      <c r="W29" s="302"/>
      <c r="X29" s="302"/>
      <c r="Y29" s="321"/>
      <c r="Z29" s="321"/>
      <c r="AA29" s="321"/>
      <c r="AB29" s="321"/>
      <c r="AC29" s="321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</row>
    <row r="30" spans="2:44" ht="16.2" thickBot="1">
      <c r="B30" s="198"/>
      <c r="C30" s="635" t="s">
        <v>270</v>
      </c>
      <c r="F30" s="199"/>
      <c r="G30" s="420"/>
      <c r="J30" s="374"/>
      <c r="K30" s="262"/>
      <c r="L30" s="262"/>
      <c r="M30" s="262"/>
      <c r="N30" s="262"/>
      <c r="O30" s="262"/>
      <c r="P30" s="302"/>
      <c r="Q30" s="302"/>
      <c r="R30" s="302"/>
      <c r="S30" s="302"/>
      <c r="T30" s="302"/>
      <c r="U30" s="302"/>
      <c r="V30" s="302"/>
      <c r="W30" s="302"/>
      <c r="X30" s="302"/>
      <c r="Y30" s="321"/>
      <c r="Z30" s="321"/>
      <c r="AA30" s="321"/>
      <c r="AB30" s="321"/>
      <c r="AC30" s="321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</row>
    <row r="31" spans="2:44" ht="12.9" customHeight="1">
      <c r="B31" t="s">
        <v>286</v>
      </c>
      <c r="C31" s="794" t="s">
        <v>103</v>
      </c>
      <c r="D31" s="795"/>
      <c r="E31" s="795"/>
      <c r="F31" s="796"/>
      <c r="G31" s="420"/>
      <c r="J31" s="373"/>
      <c r="K31" s="302"/>
      <c r="L31" s="302"/>
      <c r="M31" s="319"/>
      <c r="N31" s="797" t="s">
        <v>287</v>
      </c>
      <c r="O31" s="798"/>
      <c r="P31" s="302"/>
      <c r="Q31" s="302"/>
      <c r="R31" s="302"/>
      <c r="S31" s="302"/>
      <c r="T31" s="302"/>
      <c r="U31" s="302"/>
      <c r="V31" s="302"/>
      <c r="W31" s="321"/>
      <c r="X31" s="321"/>
      <c r="Y31" s="321"/>
      <c r="Z31" s="321"/>
      <c r="AA31" s="321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</row>
    <row r="32" spans="2:44" ht="16.2" thickBot="1">
      <c r="B32" s="198"/>
      <c r="C32" s="625"/>
      <c r="D32" s="625"/>
      <c r="E32" s="625"/>
      <c r="F32" s="626"/>
      <c r="G32" s="420"/>
      <c r="J32" s="374"/>
      <c r="K32" s="262"/>
      <c r="L32" s="262"/>
      <c r="M32" s="262"/>
      <c r="N32" s="262"/>
      <c r="O32" s="262"/>
      <c r="P32" s="302"/>
      <c r="Q32" s="302"/>
      <c r="R32" s="302"/>
      <c r="S32" s="302"/>
      <c r="T32" s="302"/>
      <c r="U32" s="302"/>
      <c r="V32" s="302"/>
      <c r="W32" s="302"/>
      <c r="X32" s="302"/>
      <c r="Y32" s="321"/>
      <c r="Z32" s="321"/>
      <c r="AA32" s="321"/>
      <c r="AB32" s="321"/>
      <c r="AC32" s="321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</row>
    <row r="33" spans="2:44" ht="13.8">
      <c r="B33" t="s">
        <v>288</v>
      </c>
      <c r="C33" s="794" t="s">
        <v>394</v>
      </c>
      <c r="D33" s="795"/>
      <c r="E33" s="795"/>
      <c r="F33" s="796"/>
      <c r="G33" s="420"/>
      <c r="J33" s="373"/>
      <c r="K33" s="302"/>
      <c r="L33" s="302"/>
      <c r="M33" s="319"/>
      <c r="N33" s="797" t="s">
        <v>287</v>
      </c>
      <c r="O33" s="798"/>
      <c r="P33" s="302"/>
      <c r="Q33" s="302"/>
      <c r="R33" s="302"/>
      <c r="S33" s="302"/>
      <c r="T33" s="302"/>
      <c r="U33" s="302"/>
      <c r="V33" s="302"/>
      <c r="W33" s="321"/>
      <c r="X33" s="321"/>
      <c r="Y33" s="321"/>
      <c r="Z33" s="321"/>
      <c r="AA33" s="321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</row>
    <row r="34" spans="2:44" ht="16.2" thickBot="1">
      <c r="B34" s="198"/>
      <c r="C34" s="625"/>
      <c r="D34" s="625"/>
      <c r="E34" s="625"/>
      <c r="F34" s="626"/>
      <c r="G34" s="420"/>
      <c r="J34" s="374"/>
      <c r="K34" s="262"/>
      <c r="L34" s="262"/>
      <c r="M34" s="262"/>
      <c r="N34" s="262"/>
      <c r="O34" s="262"/>
      <c r="P34" s="302"/>
      <c r="Q34" s="302"/>
      <c r="R34" s="302"/>
      <c r="S34" s="302"/>
      <c r="T34" s="302"/>
      <c r="U34" s="302"/>
      <c r="V34" s="302"/>
      <c r="W34" s="302"/>
      <c r="X34" s="302"/>
      <c r="Y34" s="321"/>
      <c r="Z34" s="321"/>
      <c r="AA34" s="321"/>
      <c r="AB34" s="321"/>
      <c r="AC34" s="321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</row>
    <row r="35" spans="2:44" ht="14.4" thickBot="1">
      <c r="B35" t="s">
        <v>289</v>
      </c>
      <c r="C35" s="794" t="s">
        <v>81</v>
      </c>
      <c r="D35" s="795"/>
      <c r="E35" s="795"/>
      <c r="F35" s="796"/>
      <c r="G35" s="420"/>
      <c r="J35" s="373"/>
      <c r="K35" s="302"/>
      <c r="L35" s="302"/>
      <c r="M35" s="319"/>
      <c r="N35" s="797" t="s">
        <v>287</v>
      </c>
      <c r="O35" s="798"/>
      <c r="P35" s="302"/>
      <c r="Q35" s="302"/>
      <c r="R35" s="302"/>
      <c r="S35" s="302"/>
      <c r="T35" s="302"/>
      <c r="U35" s="302"/>
      <c r="V35" s="302"/>
      <c r="W35" s="321"/>
      <c r="X35" s="321"/>
      <c r="Y35" s="321"/>
      <c r="Z35" s="321"/>
      <c r="AA35" s="321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</row>
    <row r="36" spans="2:44" ht="36.6" thickBot="1">
      <c r="C36" s="635" t="s">
        <v>270</v>
      </c>
      <c r="J36" s="370" t="s">
        <v>290</v>
      </c>
      <c r="K36" s="370" t="s">
        <v>291</v>
      </c>
      <c r="L36" s="372" t="s">
        <v>292</v>
      </c>
      <c r="M36" s="372" t="s">
        <v>293</v>
      </c>
      <c r="N36" s="371" t="s">
        <v>294</v>
      </c>
      <c r="O36" s="370" t="s">
        <v>295</v>
      </c>
      <c r="P36" s="302"/>
      <c r="Q36" s="302"/>
      <c r="R36" s="302"/>
      <c r="S36" s="302"/>
      <c r="T36" s="302"/>
      <c r="U36" s="302"/>
      <c r="V36" s="302"/>
      <c r="W36" s="321"/>
      <c r="X36" s="321"/>
      <c r="Y36" s="321"/>
      <c r="Z36" s="321"/>
      <c r="AA36" s="321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</row>
    <row r="37" spans="2:44" ht="15.6">
      <c r="B37" s="198" t="s">
        <v>79</v>
      </c>
      <c r="C37" s="629">
        <v>2040</v>
      </c>
      <c r="J37" s="369" t="s">
        <v>296</v>
      </c>
      <c r="K37" s="368">
        <f>Paramètres!C12</f>
        <v>0.216</v>
      </c>
      <c r="L37" s="367"/>
      <c r="M37" s="367"/>
      <c r="N37" s="366">
        <f>Paramètres!C13*1000</f>
        <v>0</v>
      </c>
      <c r="O37" s="799">
        <v>70</v>
      </c>
      <c r="P37" s="302"/>
      <c r="Q37" s="302"/>
      <c r="R37" s="302"/>
      <c r="S37" s="302"/>
      <c r="T37" s="302"/>
      <c r="U37" s="302"/>
      <c r="V37" s="302"/>
      <c r="W37" s="321"/>
      <c r="X37" s="321"/>
      <c r="Y37" s="321"/>
      <c r="Z37" s="321"/>
      <c r="AA37" s="321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</row>
    <row r="38" spans="2:44" ht="15.6">
      <c r="B38" s="198"/>
      <c r="J38" s="364" t="s">
        <v>12</v>
      </c>
      <c r="K38" s="365">
        <f>Paramètres!D12</f>
        <v>0.218</v>
      </c>
      <c r="L38" s="362"/>
      <c r="M38" s="362"/>
      <c r="N38" s="361">
        <f>Paramètres!D13*1000</f>
        <v>0</v>
      </c>
      <c r="O38" s="800"/>
      <c r="P38" s="302"/>
      <c r="Q38" s="302"/>
      <c r="R38" s="302"/>
      <c r="S38" s="302"/>
      <c r="T38" s="302"/>
      <c r="U38" s="302"/>
      <c r="V38" s="302"/>
      <c r="W38" s="321"/>
      <c r="X38" s="321"/>
      <c r="Y38" s="321"/>
      <c r="Z38" s="321"/>
      <c r="AA38" s="321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</row>
    <row r="39" spans="2:44">
      <c r="J39" s="364" t="s">
        <v>297</v>
      </c>
      <c r="K39" s="365">
        <f>Paramètres!E12/1000/(35.9/0.94/3600)</f>
        <v>0.30700138161559892</v>
      </c>
      <c r="L39" s="362"/>
      <c r="M39" s="362"/>
      <c r="N39" s="361">
        <f>Paramètres!E13/Paramètres!E10*1000</f>
        <v>0</v>
      </c>
      <c r="O39" s="800"/>
      <c r="P39" s="302"/>
      <c r="Q39" s="302"/>
      <c r="R39" s="302"/>
      <c r="S39" s="302"/>
      <c r="T39" s="302"/>
      <c r="U39" s="302"/>
      <c r="V39" s="302"/>
      <c r="W39" s="321"/>
      <c r="X39" s="321"/>
      <c r="Y39" s="321"/>
      <c r="Z39" s="321"/>
      <c r="AA39" s="321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</row>
    <row r="40" spans="2:44" ht="15.6">
      <c r="B40" s="198" t="s">
        <v>298</v>
      </c>
      <c r="J40" s="364" t="s">
        <v>299</v>
      </c>
      <c r="K40" s="365">
        <f>2.9209/1000/(43.77/0.94/3600)</f>
        <v>0.22582420836189168</v>
      </c>
      <c r="L40" s="362"/>
      <c r="M40" s="362"/>
      <c r="N40" s="361"/>
      <c r="O40" s="800"/>
      <c r="P40" s="302"/>
      <c r="Q40" s="302"/>
      <c r="R40" s="302"/>
      <c r="S40" s="302"/>
      <c r="T40" s="302"/>
      <c r="U40" s="302"/>
      <c r="V40" s="302"/>
      <c r="W40" s="321"/>
      <c r="X40" s="321"/>
      <c r="Y40" s="321"/>
      <c r="Z40" s="321"/>
      <c r="AA40" s="321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</row>
    <row r="41" spans="2:44">
      <c r="J41" s="364" t="s">
        <v>300</v>
      </c>
      <c r="K41" s="365">
        <f>3.3679/1000/(35.9/0.94/3600)</f>
        <v>0.31746444568245125</v>
      </c>
      <c r="L41" s="362"/>
      <c r="M41" s="362"/>
      <c r="N41" s="361"/>
      <c r="O41" s="800"/>
      <c r="P41" s="302"/>
      <c r="Q41" s="302"/>
      <c r="R41" s="302"/>
      <c r="S41" s="302"/>
      <c r="T41" s="302"/>
      <c r="U41" s="302"/>
      <c r="V41" s="302"/>
      <c r="W41" s="321"/>
      <c r="X41" s="321"/>
      <c r="Y41" s="321"/>
      <c r="Z41" s="321"/>
      <c r="AA41" s="321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</row>
    <row r="42" spans="2:44" ht="12.9" customHeight="1">
      <c r="B42" s="769"/>
      <c r="C42" s="770"/>
      <c r="D42" s="770"/>
      <c r="E42" s="770"/>
      <c r="F42" s="770"/>
      <c r="G42" s="770"/>
      <c r="H42" s="771"/>
      <c r="J42" s="364" t="s">
        <v>301</v>
      </c>
      <c r="K42" s="365">
        <f>3.0567/1000/(29.31/0.96/3600)</f>
        <v>0.36042153531218019</v>
      </c>
      <c r="L42" s="362"/>
      <c r="M42" s="362"/>
      <c r="N42" s="361"/>
      <c r="O42" s="800"/>
      <c r="P42" s="302"/>
      <c r="Q42" s="302"/>
      <c r="R42" s="302"/>
      <c r="S42" s="302"/>
      <c r="T42" s="302"/>
      <c r="U42" s="302"/>
      <c r="V42" s="302"/>
      <c r="W42" s="321"/>
      <c r="X42" s="321"/>
      <c r="Y42" s="321"/>
      <c r="Z42" s="321"/>
      <c r="AA42" s="321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</row>
    <row r="43" spans="2:44">
      <c r="J43" s="364" t="s">
        <v>302</v>
      </c>
      <c r="K43" s="411">
        <v>0</v>
      </c>
      <c r="L43" s="362"/>
      <c r="M43" s="362"/>
      <c r="N43" s="361"/>
      <c r="O43" s="800"/>
      <c r="P43" s="302"/>
      <c r="Q43" s="302"/>
      <c r="R43" s="302"/>
      <c r="S43" s="302"/>
      <c r="T43" s="302"/>
      <c r="U43" s="302"/>
      <c r="V43" s="302"/>
      <c r="W43" s="321"/>
      <c r="X43" s="321"/>
      <c r="Y43" s="321"/>
      <c r="Z43" s="321"/>
      <c r="AA43" s="321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</row>
    <row r="44" spans="2:44" ht="15.6">
      <c r="B44" s="198" t="s">
        <v>303</v>
      </c>
      <c r="J44" s="364" t="s">
        <v>304</v>
      </c>
      <c r="K44" s="363"/>
      <c r="L44" s="362"/>
      <c r="M44" s="362"/>
      <c r="N44" s="361"/>
      <c r="O44" s="800"/>
      <c r="P44" s="302"/>
      <c r="Q44" s="302"/>
      <c r="R44" s="302"/>
      <c r="S44" s="302"/>
      <c r="T44" s="302"/>
      <c r="U44" s="302"/>
      <c r="V44" s="302"/>
      <c r="W44" s="321"/>
      <c r="X44" s="321"/>
      <c r="Y44" s="321"/>
      <c r="Z44" s="321"/>
      <c r="AA44" s="321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</row>
    <row r="45" spans="2:44" ht="13.8" thickBot="1">
      <c r="J45" s="360" t="s">
        <v>304</v>
      </c>
      <c r="K45" s="359"/>
      <c r="L45" s="358"/>
      <c r="M45" s="358"/>
      <c r="N45" s="357"/>
      <c r="O45" s="801"/>
      <c r="P45" s="302"/>
      <c r="Q45" s="302"/>
      <c r="R45" s="302"/>
      <c r="S45" s="302"/>
      <c r="T45" s="302"/>
      <c r="U45" s="302"/>
      <c r="V45" s="302"/>
      <c r="W45" s="321"/>
      <c r="X45" s="321"/>
      <c r="Y45" s="321"/>
      <c r="Z45" s="321"/>
      <c r="AA45" s="321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</row>
    <row r="46" spans="2:44" ht="25.5" customHeight="1" thickBot="1">
      <c r="B46" s="788"/>
      <c r="C46" s="789"/>
      <c r="D46" s="789"/>
      <c r="E46" s="789"/>
      <c r="F46" s="789"/>
      <c r="G46" s="789"/>
      <c r="H46" s="790"/>
      <c r="J46" s="302"/>
      <c r="K46" s="302"/>
      <c r="L46" s="302"/>
      <c r="M46" s="319"/>
      <c r="N46" s="302"/>
      <c r="O46" s="302"/>
      <c r="P46" s="302"/>
      <c r="Q46" s="302"/>
      <c r="R46" s="302"/>
      <c r="S46" s="302"/>
      <c r="T46" s="302"/>
      <c r="U46" s="302"/>
      <c r="V46" s="302"/>
      <c r="W46" s="321"/>
      <c r="X46" s="321"/>
      <c r="Y46" s="321"/>
      <c r="Z46" s="321"/>
      <c r="AA46" s="321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</row>
    <row r="47" spans="2:44" ht="13.8" thickBot="1">
      <c r="B47" s="197"/>
      <c r="C47" s="197"/>
      <c r="D47" s="197"/>
      <c r="E47" s="197"/>
      <c r="F47" s="197"/>
      <c r="G47" s="197"/>
      <c r="H47" s="197"/>
      <c r="I47" s="1"/>
      <c r="J47" s="302"/>
      <c r="K47" s="302"/>
      <c r="L47" s="302"/>
      <c r="M47" s="356" t="s">
        <v>305</v>
      </c>
      <c r="N47" s="791">
        <f>(((L37-M37)*N37)+((L38-M38)*N38)+((L39-M39)*N39)+((L40-M40)*N40)+((L41-M41)*N41)+((L42-M42)*N42)+((L43-M43)*N43)+((L44-M44)*N44)+((L45-M45)*N45))</f>
        <v>0</v>
      </c>
      <c r="O47" s="792"/>
      <c r="P47" s="302"/>
      <c r="Q47" s="302"/>
      <c r="R47" s="302"/>
      <c r="S47" s="302"/>
      <c r="T47" s="302"/>
      <c r="U47" s="302"/>
      <c r="V47" s="302"/>
      <c r="W47" s="321"/>
      <c r="X47" s="321"/>
      <c r="Y47" s="321"/>
      <c r="Z47" s="321"/>
      <c r="AA47" s="321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</row>
    <row r="48" spans="2:44" ht="16.2" thickBot="1">
      <c r="B48" s="198" t="s">
        <v>306</v>
      </c>
      <c r="C48" s="423"/>
      <c r="D48" s="423"/>
      <c r="E48" s="423"/>
      <c r="F48" s="423"/>
      <c r="G48" s="423"/>
      <c r="H48" s="423"/>
      <c r="I48" s="1"/>
      <c r="J48" s="302"/>
      <c r="K48" s="302"/>
      <c r="L48" s="302"/>
      <c r="M48" s="355" t="s">
        <v>307</v>
      </c>
      <c r="N48" s="791">
        <f>IF(K22="OUI",((((L38-M38)*K38)+((L39-M39)*K39)+((L40-M40)*K40)+((L41-M41)*K41)+((L42-M42)*K42)+((L43-M43)*K43)+((L44-M44)*K44)+((L45-M45)*K45)))*O37,0)</f>
        <v>0</v>
      </c>
      <c r="O48" s="792"/>
      <c r="P48" s="302"/>
      <c r="Q48" s="302"/>
      <c r="R48" s="302"/>
      <c r="S48" s="302"/>
      <c r="T48" s="302"/>
      <c r="U48" s="302"/>
      <c r="V48" s="302"/>
      <c r="W48" s="321"/>
      <c r="X48" s="321"/>
      <c r="Y48" s="321"/>
      <c r="Z48" s="321"/>
      <c r="AA48" s="321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</row>
    <row r="49" spans="2:44">
      <c r="G49" s="196"/>
      <c r="I49" s="1"/>
      <c r="J49" s="302"/>
      <c r="K49" s="302"/>
      <c r="L49" s="302"/>
      <c r="M49" s="354"/>
      <c r="N49" s="353"/>
      <c r="O49" s="353"/>
      <c r="P49" s="302"/>
      <c r="Q49" s="302"/>
      <c r="R49" s="302"/>
      <c r="S49" s="302"/>
      <c r="T49" s="302"/>
      <c r="U49" s="302"/>
      <c r="V49" s="302"/>
      <c r="W49" s="321"/>
      <c r="X49" s="321"/>
      <c r="Y49" s="321"/>
      <c r="Z49" s="321"/>
      <c r="AA49" s="321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</row>
    <row r="50" spans="2:44" ht="17.100000000000001" customHeight="1" thickBot="1">
      <c r="B50" t="str">
        <f>Paramètres!C5</f>
        <v>Electricité 
achetée</v>
      </c>
      <c r="C50" s="448"/>
      <c r="D50" t="str">
        <f>Paramètres!C6</f>
        <v>kWh</v>
      </c>
      <c r="G50" s="196"/>
      <c r="J50" s="302"/>
      <c r="K50" s="302"/>
      <c r="L50" s="302"/>
      <c r="M50" s="354"/>
      <c r="N50" s="353"/>
      <c r="O50" s="353"/>
      <c r="P50" s="353"/>
      <c r="Q50" s="353"/>
      <c r="R50" s="302"/>
      <c r="S50" s="302"/>
      <c r="T50" s="302"/>
      <c r="U50" s="302"/>
      <c r="V50" s="302"/>
      <c r="W50" s="302"/>
      <c r="X50" s="302"/>
      <c r="Y50" s="321"/>
      <c r="Z50" s="321"/>
      <c r="AA50" s="321"/>
      <c r="AB50" s="321"/>
      <c r="AC50" s="321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</row>
    <row r="51" spans="2:44" ht="17.100000000000001" customHeight="1" thickBot="1">
      <c r="B51" t="str">
        <f>Paramètres!D5</f>
        <v>Gaz Naturel</v>
      </c>
      <c r="C51" s="448">
        <v>28000000</v>
      </c>
      <c r="D51" s="145" t="str">
        <f>Paramètres!D6</f>
        <v>kWhs</v>
      </c>
      <c r="G51" s="196"/>
      <c r="H51" s="145"/>
      <c r="J51" s="786" t="s">
        <v>308</v>
      </c>
      <c r="K51" s="793"/>
      <c r="L51" s="793"/>
      <c r="M51" s="793"/>
      <c r="N51" s="793"/>
      <c r="O51" s="793"/>
      <c r="P51" s="793"/>
      <c r="Q51" s="787"/>
      <c r="R51" s="302"/>
      <c r="S51" s="302"/>
      <c r="T51" s="302"/>
      <c r="U51" s="302"/>
      <c r="V51" s="302"/>
      <c r="W51" s="302"/>
      <c r="X51" s="302"/>
      <c r="Y51" s="321"/>
      <c r="Z51" s="321"/>
      <c r="AA51" s="321"/>
      <c r="AB51" s="321"/>
      <c r="AC51" s="321"/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</row>
    <row r="52" spans="2:44" ht="17.100000000000001" customHeight="1">
      <c r="B52" t="str">
        <f>Paramètres!F5</f>
        <v>Biogaz</v>
      </c>
      <c r="C52" s="448">
        <f>-C51</f>
        <v>-28000000</v>
      </c>
      <c r="D52" s="145" t="str">
        <f>Paramètres!F6</f>
        <v>kWhs</v>
      </c>
      <c r="G52" s="196"/>
      <c r="H52" s="145"/>
      <c r="J52" s="633"/>
      <c r="K52" s="633"/>
      <c r="L52" s="633"/>
      <c r="M52" s="633"/>
      <c r="N52" s="633"/>
      <c r="O52" s="633"/>
      <c r="P52" s="633"/>
      <c r="Q52" s="633"/>
      <c r="R52" s="302"/>
      <c r="S52" s="302"/>
      <c r="T52" s="302"/>
      <c r="U52" s="302"/>
      <c r="V52" s="302"/>
      <c r="W52" s="302"/>
      <c r="X52" s="302"/>
      <c r="Y52" s="321"/>
      <c r="Z52" s="321"/>
      <c r="AA52" s="321"/>
      <c r="AB52" s="321"/>
      <c r="AC52" s="321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</row>
    <row r="53" spans="2:44" ht="17.100000000000001" customHeight="1">
      <c r="B53" t="str">
        <f>Paramètres!G5</f>
        <v>Elec SER</v>
      </c>
      <c r="C53" s="448"/>
      <c r="D53" s="145" t="str">
        <f>Paramètres!G6</f>
        <v>kWh</v>
      </c>
      <c r="G53" s="196"/>
      <c r="H53" s="145"/>
      <c r="J53" s="633"/>
      <c r="K53" s="633"/>
      <c r="L53" s="633"/>
      <c r="M53" s="633"/>
      <c r="N53" s="633"/>
      <c r="O53" s="633"/>
      <c r="P53" s="633"/>
      <c r="Q53" s="633"/>
      <c r="R53" s="302"/>
      <c r="S53" s="302"/>
      <c r="T53" s="302"/>
      <c r="U53" s="302"/>
      <c r="V53" s="302"/>
      <c r="W53" s="302"/>
      <c r="X53" s="302"/>
      <c r="Y53" s="321"/>
      <c r="Z53" s="321"/>
      <c r="AA53" s="321"/>
      <c r="AB53" s="321"/>
      <c r="AC53" s="321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</row>
    <row r="54" spans="2:44" ht="17.100000000000001" customHeight="1" thickBot="1">
      <c r="B54" t="str">
        <f>Paramètres!H5</f>
        <v>Process</v>
      </c>
      <c r="C54" s="448"/>
      <c r="D54" s="145" t="str">
        <f>Paramètres!H6</f>
        <v>kgCO2</v>
      </c>
      <c r="G54" s="196"/>
      <c r="J54" s="802"/>
      <c r="K54" s="802"/>
      <c r="L54" s="802"/>
      <c r="M54" s="802"/>
      <c r="N54" s="8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21"/>
      <c r="AB54" s="321"/>
      <c r="AC54" s="321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</row>
    <row r="55" spans="2:44">
      <c r="C55" s="195"/>
      <c r="J55" s="803" t="s">
        <v>309</v>
      </c>
      <c r="K55" s="806" t="s">
        <v>310</v>
      </c>
      <c r="L55" s="330" t="s">
        <v>311</v>
      </c>
      <c r="M55" s="352"/>
      <c r="N55" s="333" t="s">
        <v>312</v>
      </c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21"/>
      <c r="AB55" s="321"/>
      <c r="AC55" s="321"/>
      <c r="AD55" s="321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</row>
    <row r="56" spans="2:44" ht="16.2" thickBot="1">
      <c r="B56" s="198" t="s">
        <v>313</v>
      </c>
      <c r="C56" s="423"/>
      <c r="D56" s="423"/>
      <c r="E56" s="423"/>
      <c r="F56" s="423"/>
      <c r="G56" s="423"/>
      <c r="H56" s="423"/>
      <c r="J56" s="804"/>
      <c r="K56" s="807"/>
      <c r="L56" s="326" t="s">
        <v>314</v>
      </c>
      <c r="M56" s="327"/>
      <c r="N56" s="326" t="s">
        <v>312</v>
      </c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21"/>
      <c r="AB56" s="321"/>
      <c r="AC56" s="321"/>
      <c r="AD56" s="321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</row>
    <row r="57" spans="2:44">
      <c r="H57" s="178"/>
      <c r="J57" s="804"/>
      <c r="K57" s="807" t="s">
        <v>315</v>
      </c>
      <c r="L57" s="341" t="s">
        <v>316</v>
      </c>
      <c r="M57" s="340"/>
      <c r="N57" s="333" t="s">
        <v>312</v>
      </c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21"/>
      <c r="AB57" s="321"/>
      <c r="AC57" s="321"/>
      <c r="AD57" s="321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</row>
    <row r="58" spans="2:44" ht="13.8" thickBot="1">
      <c r="B58" s="810"/>
      <c r="C58" s="811"/>
      <c r="D58" s="811"/>
      <c r="E58" s="812"/>
      <c r="G58" s="630">
        <v>0</v>
      </c>
      <c r="H58" s="476"/>
      <c r="J58" s="804"/>
      <c r="K58" s="807"/>
      <c r="L58" s="339" t="s">
        <v>317</v>
      </c>
      <c r="M58" s="351"/>
      <c r="N58" s="326" t="s">
        <v>312</v>
      </c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21"/>
      <c r="AB58" s="321"/>
      <c r="AC58" s="321"/>
      <c r="AD58" s="321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</row>
    <row r="59" spans="2:44" ht="13.8" thickBot="1">
      <c r="B59" s="808"/>
      <c r="C59" s="808"/>
      <c r="D59" s="808"/>
      <c r="E59" s="808"/>
      <c r="F59" s="808"/>
      <c r="G59" s="422"/>
      <c r="H59" s="178"/>
      <c r="J59" s="805"/>
      <c r="K59" s="350" t="s">
        <v>318</v>
      </c>
      <c r="L59" s="322" t="s">
        <v>319</v>
      </c>
      <c r="M59" s="349"/>
      <c r="N59" s="331" t="s">
        <v>312</v>
      </c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21"/>
      <c r="AB59" s="321"/>
      <c r="AC59" s="321"/>
      <c r="AD59" s="321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</row>
    <row r="60" spans="2:44" ht="13.8" thickBot="1">
      <c r="B60" s="808"/>
      <c r="C60" s="808"/>
      <c r="D60" s="808"/>
      <c r="E60" s="808"/>
      <c r="F60" s="808"/>
      <c r="G60" s="422"/>
      <c r="H60" s="178"/>
      <c r="J60" s="348"/>
      <c r="K60" s="346"/>
      <c r="L60" s="346"/>
      <c r="M60" s="347"/>
      <c r="N60" s="346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21"/>
      <c r="AB60" s="321"/>
      <c r="AC60" s="321"/>
      <c r="AD60" s="321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</row>
    <row r="61" spans="2:44" ht="13.8" thickBot="1">
      <c r="B61" s="813" t="s">
        <v>320</v>
      </c>
      <c r="C61" s="813"/>
      <c r="D61" s="813"/>
      <c r="E61" s="813"/>
      <c r="F61" s="813"/>
      <c r="G61" s="449">
        <f>SUM(G58:G60)/1000</f>
        <v>0</v>
      </c>
      <c r="H61" s="190"/>
      <c r="J61" s="814" t="s">
        <v>321</v>
      </c>
      <c r="K61" s="344" t="s">
        <v>322</v>
      </c>
      <c r="L61" s="343" t="s">
        <v>323</v>
      </c>
      <c r="M61" s="342"/>
      <c r="N61" s="333" t="s">
        <v>324</v>
      </c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21"/>
      <c r="AB61" s="321"/>
      <c r="AC61" s="321"/>
      <c r="AD61" s="321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</row>
    <row r="62" spans="2:44">
      <c r="B62" s="193"/>
      <c r="C62" s="194"/>
      <c r="D62" s="193"/>
      <c r="E62" s="193"/>
      <c r="F62" s="193"/>
      <c r="J62" s="815"/>
      <c r="K62" s="807" t="s">
        <v>325</v>
      </c>
      <c r="L62" s="341" t="s">
        <v>326</v>
      </c>
      <c r="M62" s="340"/>
      <c r="N62" s="333" t="s">
        <v>324</v>
      </c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21"/>
      <c r="AB62" s="321"/>
      <c r="AC62" s="321"/>
      <c r="AD62" s="321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</row>
    <row r="63" spans="2:44" ht="16.2" thickBot="1">
      <c r="B63" s="198" t="s">
        <v>327</v>
      </c>
      <c r="C63" s="423"/>
      <c r="D63" s="423"/>
      <c r="E63" s="423"/>
      <c r="F63" s="423"/>
      <c r="G63" s="423"/>
      <c r="H63" s="423"/>
      <c r="J63" s="815"/>
      <c r="K63" s="807"/>
      <c r="L63" s="339" t="s">
        <v>328</v>
      </c>
      <c r="M63" s="338"/>
      <c r="N63" s="322" t="s">
        <v>329</v>
      </c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21"/>
      <c r="AB63" s="321"/>
      <c r="AC63" s="321"/>
      <c r="AD63" s="321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</row>
    <row r="64" spans="2:44">
      <c r="B64" s="808"/>
      <c r="C64" s="808"/>
      <c r="D64" s="808"/>
      <c r="E64" s="808"/>
      <c r="F64" s="808"/>
      <c r="G64" s="192"/>
      <c r="H64" s="178" t="s">
        <v>330</v>
      </c>
      <c r="J64" s="815"/>
      <c r="K64" s="807" t="s">
        <v>331</v>
      </c>
      <c r="L64" s="337" t="s">
        <v>332</v>
      </c>
      <c r="M64" s="336">
        <f>N47/1000</f>
        <v>0</v>
      </c>
      <c r="N64" s="333" t="s">
        <v>324</v>
      </c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21"/>
      <c r="AB64" s="321"/>
      <c r="AC64" s="321"/>
      <c r="AD64" s="321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</row>
    <row r="65" spans="2:44" ht="13.8" thickBot="1">
      <c r="B65" s="808"/>
      <c r="C65" s="808"/>
      <c r="D65" s="808"/>
      <c r="E65" s="808"/>
      <c r="F65" s="808"/>
      <c r="G65" s="192"/>
      <c r="H65" s="178" t="s">
        <v>330</v>
      </c>
      <c r="J65" s="815"/>
      <c r="K65" s="809"/>
      <c r="L65" s="328" t="s">
        <v>333</v>
      </c>
      <c r="M65" s="335">
        <f>N48/1000</f>
        <v>0</v>
      </c>
      <c r="N65" s="326" t="s">
        <v>324</v>
      </c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21"/>
      <c r="AB65" s="321"/>
      <c r="AC65" s="321"/>
      <c r="AD65" s="321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</row>
    <row r="66" spans="2:44" ht="13.8" thickBot="1">
      <c r="B66" s="808"/>
      <c r="C66" s="808"/>
      <c r="D66" s="808"/>
      <c r="E66" s="808"/>
      <c r="F66" s="808"/>
      <c r="G66" s="192"/>
      <c r="H66" s="178" t="s">
        <v>330</v>
      </c>
      <c r="J66" s="815"/>
      <c r="K66" s="334" t="s">
        <v>334</v>
      </c>
      <c r="L66" s="333" t="s">
        <v>335</v>
      </c>
      <c r="M66" s="332">
        <v>0</v>
      </c>
      <c r="N66" s="331" t="s">
        <v>324</v>
      </c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21"/>
      <c r="AB66" s="321"/>
      <c r="AC66" s="321"/>
      <c r="AD66" s="321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</row>
    <row r="67" spans="2:44">
      <c r="B67" s="813" t="s">
        <v>336</v>
      </c>
      <c r="C67" s="813"/>
      <c r="D67" s="813"/>
      <c r="E67" s="813"/>
      <c r="F67" s="813"/>
      <c r="G67" s="191">
        <f>SUM(G64:G66)</f>
        <v>0</v>
      </c>
      <c r="H67" s="190" t="s">
        <v>330</v>
      </c>
      <c r="J67" s="815"/>
      <c r="K67" s="817" t="s">
        <v>337</v>
      </c>
      <c r="L67" s="330" t="s">
        <v>338</v>
      </c>
      <c r="M67" s="327"/>
      <c r="N67" s="326" t="s">
        <v>324</v>
      </c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21"/>
      <c r="AB67" s="321"/>
      <c r="AC67" s="321"/>
      <c r="AD67" s="321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</row>
    <row r="68" spans="2:44" ht="26.4">
      <c r="B68" s="423"/>
      <c r="C68" s="423"/>
      <c r="D68" s="423"/>
      <c r="E68" s="423"/>
      <c r="F68" s="423"/>
      <c r="G68" s="423"/>
      <c r="H68" s="423"/>
      <c r="J68" s="815"/>
      <c r="K68" s="807"/>
      <c r="L68" s="328" t="s">
        <v>339</v>
      </c>
      <c r="M68" s="327"/>
      <c r="N68" s="326" t="s">
        <v>324</v>
      </c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21"/>
      <c r="AB68" s="321"/>
      <c r="AC68" s="321"/>
      <c r="AD68" s="321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</row>
    <row r="69" spans="2:44">
      <c r="B69" s="145"/>
      <c r="J69" s="815"/>
      <c r="K69" s="807"/>
      <c r="L69" s="328" t="s">
        <v>340</v>
      </c>
      <c r="M69" s="327"/>
      <c r="N69" s="326" t="s">
        <v>324</v>
      </c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21"/>
      <c r="AB69" s="321"/>
      <c r="AC69" s="321"/>
      <c r="AD69" s="321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</row>
    <row r="70" spans="2:44" ht="18" customHeight="1">
      <c r="B70" s="819" t="s">
        <v>341</v>
      </c>
      <c r="C70" s="820"/>
      <c r="D70" s="820"/>
      <c r="E70" s="820"/>
      <c r="F70" s="820"/>
      <c r="G70" s="820"/>
      <c r="H70" s="821"/>
      <c r="J70" s="815"/>
      <c r="K70" s="807"/>
      <c r="L70" s="328" t="s">
        <v>342</v>
      </c>
      <c r="M70" s="327"/>
      <c r="N70" s="326" t="s">
        <v>324</v>
      </c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21"/>
      <c r="AB70" s="321"/>
      <c r="AC70" s="321"/>
      <c r="AD70" s="321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</row>
    <row r="71" spans="2:44" ht="34.5" customHeight="1">
      <c r="B71" s="186" t="s">
        <v>343</v>
      </c>
      <c r="C71" s="187" t="s">
        <v>344</v>
      </c>
      <c r="D71" s="187" t="s">
        <v>129</v>
      </c>
      <c r="E71" s="822" t="s">
        <v>345</v>
      </c>
      <c r="F71" s="823"/>
      <c r="G71" s="186" t="s">
        <v>346</v>
      </c>
      <c r="H71" s="185"/>
      <c r="J71" s="815"/>
      <c r="K71" s="807"/>
      <c r="L71" s="328" t="s">
        <v>347</v>
      </c>
      <c r="M71" s="327"/>
      <c r="N71" s="326" t="s">
        <v>324</v>
      </c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21"/>
      <c r="AB71" s="321"/>
      <c r="AC71" s="321"/>
      <c r="AD71" s="321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</row>
    <row r="72" spans="2:44" ht="13.8" thickBot="1">
      <c r="B72" s="184" t="str">
        <f t="shared" ref="B72:D76" si="0">+B50</f>
        <v>Electricité 
achetée</v>
      </c>
      <c r="C72" s="183">
        <f t="shared" si="0"/>
        <v>0</v>
      </c>
      <c r="D72" t="str">
        <f t="shared" si="0"/>
        <v>kWh</v>
      </c>
      <c r="E72" s="189">
        <f>Paramètres!C10</f>
        <v>1</v>
      </c>
      <c r="F72" s="145" t="str">
        <f>"kWhf/"&amp;D72</f>
        <v>kWhf/kWh</v>
      </c>
      <c r="G72" s="214">
        <f>+C72*E72/1000</f>
        <v>0</v>
      </c>
      <c r="H72" s="212" t="s">
        <v>233</v>
      </c>
      <c r="J72" s="816"/>
      <c r="K72" s="818"/>
      <c r="L72" s="324" t="s">
        <v>232</v>
      </c>
      <c r="M72" s="323"/>
      <c r="N72" s="322" t="s">
        <v>324</v>
      </c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21"/>
      <c r="AB72" s="321"/>
      <c r="AC72" s="321"/>
      <c r="AD72" s="321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</row>
    <row r="73" spans="2:44" ht="14.4">
      <c r="B73" s="184" t="str">
        <f t="shared" si="0"/>
        <v>Gaz Naturel</v>
      </c>
      <c r="C73" s="183">
        <f t="shared" si="0"/>
        <v>28000000</v>
      </c>
      <c r="D73" t="str">
        <f t="shared" si="0"/>
        <v>kWhs</v>
      </c>
      <c r="E73" s="189">
        <f>Paramètres!D10</f>
        <v>1</v>
      </c>
      <c r="F73" s="145" t="str">
        <f t="shared" ref="F73:F76" si="1">"kWhf/"&amp;D73</f>
        <v>kWhf/kWhs</v>
      </c>
      <c r="G73" s="214">
        <f>+C73*E73/1000</f>
        <v>28000</v>
      </c>
      <c r="H73" s="212" t="s">
        <v>233</v>
      </c>
      <c r="J73" s="320"/>
      <c r="K73" s="302"/>
      <c r="L73" s="302"/>
      <c r="M73" s="319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</row>
    <row r="74" spans="2:44" ht="14.4">
      <c r="B74" s="184" t="str">
        <f t="shared" si="0"/>
        <v>Biogaz</v>
      </c>
      <c r="C74" s="183">
        <f t="shared" si="0"/>
        <v>-28000000</v>
      </c>
      <c r="D74" t="str">
        <f t="shared" si="0"/>
        <v>kWhs</v>
      </c>
      <c r="E74" s="189">
        <f>Paramètres!F10</f>
        <v>1</v>
      </c>
      <c r="F74" s="145" t="str">
        <f t="shared" ref="F74" si="2">"kWhf/"&amp;D74</f>
        <v>kWhf/kWhs</v>
      </c>
      <c r="G74" s="214">
        <f>+C74*E74/1000</f>
        <v>-28000</v>
      </c>
      <c r="H74" s="212" t="s">
        <v>233</v>
      </c>
      <c r="J74" s="320"/>
      <c r="K74" s="302"/>
      <c r="L74" s="302"/>
      <c r="M74" s="319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</row>
    <row r="75" spans="2:44" ht="14.4">
      <c r="B75" s="184" t="str">
        <f t="shared" si="0"/>
        <v>Elec SER</v>
      </c>
      <c r="C75" s="183">
        <f t="shared" si="0"/>
        <v>0</v>
      </c>
      <c r="D75" t="str">
        <f t="shared" si="0"/>
        <v>kWh</v>
      </c>
      <c r="E75" s="189">
        <f>Paramètres!G10</f>
        <v>1</v>
      </c>
      <c r="F75" s="145" t="str">
        <f t="shared" si="1"/>
        <v>kWhf/kWh</v>
      </c>
      <c r="G75" s="214">
        <f>+C75*E75/1000</f>
        <v>0</v>
      </c>
      <c r="H75" s="212" t="s">
        <v>233</v>
      </c>
      <c r="J75" s="320"/>
      <c r="K75" s="302"/>
      <c r="L75" s="302"/>
      <c r="M75" s="319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</row>
    <row r="76" spans="2:44" ht="15" thickBot="1">
      <c r="B76" s="184" t="str">
        <f t="shared" si="0"/>
        <v>Process</v>
      </c>
      <c r="C76" s="183">
        <f t="shared" si="0"/>
        <v>0</v>
      </c>
      <c r="D76" t="str">
        <f t="shared" si="0"/>
        <v>kgCO2</v>
      </c>
      <c r="E76" s="189">
        <f>Paramètres!H10</f>
        <v>0</v>
      </c>
      <c r="F76" s="145" t="str">
        <f t="shared" si="1"/>
        <v>kWhf/kgCO2</v>
      </c>
      <c r="G76" s="214">
        <f>+C76*E76/1000</f>
        <v>0</v>
      </c>
      <c r="H76" s="212" t="s">
        <v>233</v>
      </c>
      <c r="J76" s="320"/>
      <c r="K76" s="302"/>
      <c r="L76" s="302"/>
      <c r="M76" s="319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</row>
    <row r="77" spans="2:44" ht="16.2" thickBot="1">
      <c r="B77" s="824" t="s">
        <v>348</v>
      </c>
      <c r="C77" s="825"/>
      <c r="D77" s="825"/>
      <c r="E77" s="825"/>
      <c r="F77" s="825"/>
      <c r="G77" s="215">
        <f>SUM(G72:G75)</f>
        <v>0</v>
      </c>
      <c r="H77" s="213" t="s">
        <v>233</v>
      </c>
      <c r="J77" s="826" t="s">
        <v>349</v>
      </c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7"/>
      <c r="V77" s="827"/>
      <c r="W77" s="827"/>
      <c r="X77" s="827"/>
      <c r="Y77" s="827"/>
      <c r="Z77" s="827"/>
      <c r="AA77" s="827"/>
      <c r="AB77" s="827"/>
      <c r="AC77" s="827"/>
      <c r="AD77" s="827"/>
      <c r="AE77" s="827"/>
      <c r="AF77" s="827"/>
      <c r="AG77" s="827"/>
      <c r="AH77" s="827"/>
      <c r="AI77" s="827"/>
      <c r="AJ77" s="827"/>
      <c r="AK77" s="827"/>
      <c r="AL77" s="827"/>
      <c r="AM77" s="827"/>
      <c r="AN77" s="827"/>
      <c r="AO77" s="827"/>
      <c r="AP77" s="827"/>
      <c r="AQ77" s="827"/>
      <c r="AR77" s="828"/>
    </row>
    <row r="78" spans="2:44" ht="13.8" thickBot="1">
      <c r="B78" s="86"/>
      <c r="C78" s="86"/>
      <c r="D78" s="86"/>
      <c r="E78" s="86"/>
      <c r="F78" s="86"/>
      <c r="G78" s="216">
        <f>G77/'2023'!H35</f>
        <v>0</v>
      </c>
      <c r="H78" s="228">
        <f>G77/'2023'!T17</f>
        <v>0</v>
      </c>
      <c r="J78" s="302"/>
      <c r="K78" s="302"/>
      <c r="L78" s="302"/>
      <c r="M78" s="301"/>
      <c r="N78" s="302"/>
      <c r="O78" s="308"/>
      <c r="P78" s="308"/>
      <c r="Q78" s="308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</row>
    <row r="79" spans="2:44" ht="14.4" thickBot="1">
      <c r="B79" s="188"/>
      <c r="C79" s="188"/>
      <c r="D79" s="188"/>
      <c r="E79" s="188"/>
      <c r="F79" s="188"/>
      <c r="G79" s="188"/>
      <c r="H79" s="188"/>
      <c r="J79" s="302"/>
      <c r="K79" s="302"/>
      <c r="L79" s="302"/>
      <c r="M79" s="301"/>
      <c r="N79" s="831" t="s">
        <v>350</v>
      </c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  <c r="AQ79" s="832"/>
      <c r="AR79" s="833"/>
    </row>
    <row r="80" spans="2:44" ht="19.5" customHeight="1" thickBot="1">
      <c r="B80" s="819" t="s">
        <v>351</v>
      </c>
      <c r="C80" s="820"/>
      <c r="D80" s="820"/>
      <c r="E80" s="820"/>
      <c r="F80" s="820"/>
      <c r="G80" s="820"/>
      <c r="H80" s="821"/>
      <c r="J80" s="302"/>
      <c r="K80" s="302"/>
      <c r="L80" s="310"/>
      <c r="M80" s="310"/>
      <c r="N80" s="300">
        <v>0</v>
      </c>
      <c r="O80" s="299">
        <v>1</v>
      </c>
      <c r="P80" s="299">
        <v>2</v>
      </c>
      <c r="Q80" s="299">
        <v>3</v>
      </c>
      <c r="R80" s="299">
        <v>4</v>
      </c>
      <c r="S80" s="299">
        <v>5</v>
      </c>
      <c r="T80" s="299">
        <v>6</v>
      </c>
      <c r="U80" s="299">
        <v>7</v>
      </c>
      <c r="V80" s="299">
        <v>8</v>
      </c>
      <c r="W80" s="299">
        <v>9</v>
      </c>
      <c r="X80" s="299">
        <v>10</v>
      </c>
      <c r="Y80" s="299">
        <v>11</v>
      </c>
      <c r="Z80" s="299">
        <v>12</v>
      </c>
      <c r="AA80" s="299">
        <v>13</v>
      </c>
      <c r="AB80" s="299">
        <v>14</v>
      </c>
      <c r="AC80" s="299">
        <v>15</v>
      </c>
      <c r="AD80" s="299">
        <v>16</v>
      </c>
      <c r="AE80" s="299">
        <v>17</v>
      </c>
      <c r="AF80" s="299">
        <v>18</v>
      </c>
      <c r="AG80" s="299">
        <v>19</v>
      </c>
      <c r="AH80" s="299">
        <v>20</v>
      </c>
      <c r="AI80" s="299">
        <v>21</v>
      </c>
      <c r="AJ80" s="299">
        <v>22</v>
      </c>
      <c r="AK80" s="299">
        <v>23</v>
      </c>
      <c r="AL80" s="299">
        <v>24</v>
      </c>
      <c r="AM80" s="299">
        <v>25</v>
      </c>
      <c r="AN80" s="299">
        <v>26</v>
      </c>
      <c r="AO80" s="299">
        <v>27</v>
      </c>
      <c r="AP80" s="299">
        <v>28</v>
      </c>
      <c r="AQ80" s="299">
        <v>29</v>
      </c>
      <c r="AR80" s="298">
        <v>30</v>
      </c>
    </row>
    <row r="81" spans="2:44" ht="30" customHeight="1">
      <c r="B81" s="186" t="str">
        <f>+B71</f>
        <v>Vecteurs énergétiques</v>
      </c>
      <c r="C81" s="186" t="str">
        <f>+C71</f>
        <v>Quantités</v>
      </c>
      <c r="D81" s="186" t="str">
        <f>+D71</f>
        <v>Unités</v>
      </c>
      <c r="E81" s="834" t="s">
        <v>352</v>
      </c>
      <c r="F81" s="834"/>
      <c r="G81" s="186" t="s">
        <v>353</v>
      </c>
      <c r="H81" s="185"/>
      <c r="J81" s="302"/>
      <c r="K81" s="302"/>
      <c r="L81" s="835" t="s">
        <v>354</v>
      </c>
      <c r="M81" s="297" t="s">
        <v>311</v>
      </c>
      <c r="N81" s="296">
        <f>(M55)</f>
        <v>0</v>
      </c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7"/>
    </row>
    <row r="82" spans="2:44" ht="16.2" thickBot="1">
      <c r="B82" s="184" t="str">
        <f>+B72</f>
        <v>Electricité 
achetée</v>
      </c>
      <c r="C82" s="183">
        <f t="shared" ref="C82:D86" si="3">C72</f>
        <v>0</v>
      </c>
      <c r="D82" s="183" t="str">
        <f t="shared" si="3"/>
        <v>kWh</v>
      </c>
      <c r="E82" s="211">
        <f>Paramètres!C$12</f>
        <v>0.216</v>
      </c>
      <c r="F82" s="145" t="str">
        <f>"kgCO2/"&amp;D82</f>
        <v>kgCO2/kWh</v>
      </c>
      <c r="G82" s="182">
        <f>+C82*E82</f>
        <v>0</v>
      </c>
      <c r="H82" s="181" t="s">
        <v>355</v>
      </c>
      <c r="J82" s="302"/>
      <c r="K82" s="302"/>
      <c r="L82" s="836"/>
      <c r="M82" s="310" t="s">
        <v>314</v>
      </c>
      <c r="N82" s="290">
        <f>M56</f>
        <v>0</v>
      </c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16"/>
    </row>
    <row r="83" spans="2:44" ht="15.6">
      <c r="B83" s="184" t="str">
        <f>+B73</f>
        <v>Gaz Naturel</v>
      </c>
      <c r="C83" s="183">
        <f t="shared" si="3"/>
        <v>28000000</v>
      </c>
      <c r="D83" s="183" t="str">
        <f t="shared" si="3"/>
        <v>kWhs</v>
      </c>
      <c r="E83" s="211">
        <f>Paramètres!D$12</f>
        <v>0.218</v>
      </c>
      <c r="F83" s="145" t="str">
        <f t="shared" ref="F83:F86" si="4">"kgCO2/"&amp;D83</f>
        <v>kgCO2/kWhs</v>
      </c>
      <c r="G83" s="182">
        <f>+C83*E83</f>
        <v>6104000</v>
      </c>
      <c r="H83" s="181" t="s">
        <v>355</v>
      </c>
      <c r="I83" s="81"/>
      <c r="J83" s="302"/>
      <c r="K83" s="302"/>
      <c r="L83" s="837" t="s">
        <v>356</v>
      </c>
      <c r="M83" s="297" t="s">
        <v>357</v>
      </c>
      <c r="N83" s="290">
        <f>M57+M58</f>
        <v>0</v>
      </c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16"/>
    </row>
    <row r="84" spans="2:44" ht="15.6">
      <c r="B84" s="184" t="str">
        <f>+B74</f>
        <v>Biogaz</v>
      </c>
      <c r="C84" s="183">
        <f t="shared" si="3"/>
        <v>-28000000</v>
      </c>
      <c r="D84" s="183" t="str">
        <f t="shared" si="3"/>
        <v>kWhs</v>
      </c>
      <c r="E84" s="211">
        <f>Paramètres!F$12</f>
        <v>0</v>
      </c>
      <c r="F84" s="145" t="str">
        <f t="shared" ref="F84" si="5">"kgCO2/"&amp;D84</f>
        <v>kgCO2/kWhs</v>
      </c>
      <c r="G84" s="182">
        <f>+C84*E84</f>
        <v>0</v>
      </c>
      <c r="H84" s="181" t="s">
        <v>355</v>
      </c>
      <c r="I84" s="81"/>
      <c r="J84" s="302"/>
      <c r="K84" s="302"/>
      <c r="L84" s="836"/>
      <c r="M84" s="310"/>
      <c r="N84" s="290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16"/>
    </row>
    <row r="85" spans="2:44" ht="16.2" thickBot="1">
      <c r="B85" s="184" t="str">
        <f>+B75</f>
        <v>Elec SER</v>
      </c>
      <c r="C85" s="183">
        <f t="shared" si="3"/>
        <v>0</v>
      </c>
      <c r="D85" s="183" t="str">
        <f t="shared" si="3"/>
        <v>kWh</v>
      </c>
      <c r="E85" s="211">
        <f>Paramètres!G$12</f>
        <v>0</v>
      </c>
      <c r="F85" s="145" t="str">
        <f t="shared" si="4"/>
        <v>kgCO2/kWh</v>
      </c>
      <c r="G85" s="182">
        <f>+C85*E85</f>
        <v>0</v>
      </c>
      <c r="H85" s="181" t="s">
        <v>355</v>
      </c>
      <c r="J85" s="302"/>
      <c r="K85" s="302"/>
      <c r="L85" s="838"/>
      <c r="M85" s="315" t="s">
        <v>358</v>
      </c>
      <c r="N85" s="278"/>
      <c r="O85" s="277" t="str">
        <f t="shared" ref="O85:Y85" si="6">IF(O80&lt;=$M$63,$M$62,"")</f>
        <v/>
      </c>
      <c r="P85" s="277" t="str">
        <f t="shared" si="6"/>
        <v/>
      </c>
      <c r="Q85" s="277" t="str">
        <f t="shared" si="6"/>
        <v/>
      </c>
      <c r="R85" s="277" t="str">
        <f t="shared" si="6"/>
        <v/>
      </c>
      <c r="S85" s="277" t="str">
        <f t="shared" si="6"/>
        <v/>
      </c>
      <c r="T85" s="277" t="str">
        <f t="shared" si="6"/>
        <v/>
      </c>
      <c r="U85" s="277" t="str">
        <f t="shared" si="6"/>
        <v/>
      </c>
      <c r="V85" s="277" t="str">
        <f t="shared" si="6"/>
        <v/>
      </c>
      <c r="W85" s="277" t="str">
        <f t="shared" si="6"/>
        <v/>
      </c>
      <c r="X85" s="277" t="str">
        <f t="shared" si="6"/>
        <v/>
      </c>
      <c r="Y85" s="277" t="str">
        <f t="shared" si="6"/>
        <v/>
      </c>
      <c r="Z85" s="277" t="str">
        <f t="shared" ref="Z85:AR85" si="7">IF(X80&lt;=$M$63,$M$62,"")</f>
        <v/>
      </c>
      <c r="AA85" s="277" t="str">
        <f t="shared" si="7"/>
        <v/>
      </c>
      <c r="AB85" s="277" t="str">
        <f t="shared" si="7"/>
        <v/>
      </c>
      <c r="AC85" s="277" t="str">
        <f t="shared" si="7"/>
        <v/>
      </c>
      <c r="AD85" s="277" t="str">
        <f t="shared" si="7"/>
        <v/>
      </c>
      <c r="AE85" s="277" t="str">
        <f t="shared" si="7"/>
        <v/>
      </c>
      <c r="AF85" s="277" t="str">
        <f t="shared" si="7"/>
        <v/>
      </c>
      <c r="AG85" s="277" t="str">
        <f t="shared" si="7"/>
        <v/>
      </c>
      <c r="AH85" s="277" t="str">
        <f t="shared" si="7"/>
        <v/>
      </c>
      <c r="AI85" s="277" t="str">
        <f t="shared" si="7"/>
        <v/>
      </c>
      <c r="AJ85" s="277" t="str">
        <f t="shared" si="7"/>
        <v/>
      </c>
      <c r="AK85" s="277" t="str">
        <f t="shared" si="7"/>
        <v/>
      </c>
      <c r="AL85" s="277" t="str">
        <f t="shared" si="7"/>
        <v/>
      </c>
      <c r="AM85" s="277" t="str">
        <f t="shared" si="7"/>
        <v/>
      </c>
      <c r="AN85" s="277" t="str">
        <f t="shared" si="7"/>
        <v/>
      </c>
      <c r="AO85" s="277" t="str">
        <f t="shared" si="7"/>
        <v/>
      </c>
      <c r="AP85" s="277" t="str">
        <f t="shared" si="7"/>
        <v/>
      </c>
      <c r="AQ85" s="277" t="str">
        <f t="shared" si="7"/>
        <v/>
      </c>
      <c r="AR85" s="276" t="str">
        <f t="shared" si="7"/>
        <v/>
      </c>
    </row>
    <row r="86" spans="2:44" ht="16.2" thickBot="1">
      <c r="B86" s="184" t="str">
        <f>+B76</f>
        <v>Process</v>
      </c>
      <c r="C86" s="183">
        <f t="shared" si="3"/>
        <v>0</v>
      </c>
      <c r="D86" s="183" t="str">
        <f t="shared" si="3"/>
        <v>kgCO2</v>
      </c>
      <c r="E86" s="211">
        <f>Paramètres!H$12</f>
        <v>1</v>
      </c>
      <c r="F86" s="145" t="str">
        <f t="shared" si="4"/>
        <v>kgCO2/kgCO2</v>
      </c>
      <c r="G86" s="182">
        <f>+C86*E86</f>
        <v>0</v>
      </c>
      <c r="H86" s="181" t="s">
        <v>355</v>
      </c>
      <c r="J86" s="302"/>
      <c r="K86" s="302"/>
      <c r="L86" s="312"/>
      <c r="M86" s="292"/>
      <c r="N86" s="278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6"/>
    </row>
    <row r="87" spans="2:44" ht="16.2" thickBot="1">
      <c r="B87" s="824" t="s">
        <v>359</v>
      </c>
      <c r="C87" s="825"/>
      <c r="D87" s="825"/>
      <c r="E87" s="825"/>
      <c r="F87" s="825"/>
      <c r="G87" s="180">
        <f>SUM(G82:G85)</f>
        <v>6104000</v>
      </c>
      <c r="H87" s="179" t="s">
        <v>355</v>
      </c>
      <c r="J87" s="302"/>
      <c r="K87" s="302"/>
      <c r="L87" s="314" t="s">
        <v>360</v>
      </c>
      <c r="M87" s="313" t="s">
        <v>360</v>
      </c>
      <c r="N87" s="278"/>
      <c r="O87" s="277">
        <f>IF(O80&lt;=$K$16,($M$61+$M$64+$M$65+$M$66+$M$67+$M$68+$M$69+$M$70+$M$71+$M$72),"")</f>
        <v>0</v>
      </c>
      <c r="P87" s="277">
        <f>IF(P80&lt;=$K$16,('AA8'!O87*(1+Paramètres!$B$20)),"")</f>
        <v>0</v>
      </c>
      <c r="Q87" s="277">
        <f>IF(Q80&lt;=$K$16,('AA8'!P87*(1+Paramètres!$B$20)),"")</f>
        <v>0</v>
      </c>
      <c r="R87" s="277">
        <f>IF(R80&lt;=$K$16,('AA8'!Q87*(1+Paramètres!$B$20)),"")</f>
        <v>0</v>
      </c>
      <c r="S87" s="277">
        <f>IF(S80&lt;=$K$16,('AA8'!R87*(1+Paramètres!$B$20)),"")</f>
        <v>0</v>
      </c>
      <c r="T87" s="277">
        <f>IF(T80&lt;=$K$16,('AA8'!S87*(1+Paramètres!$B$20)),"")</f>
        <v>0</v>
      </c>
      <c r="U87" s="277">
        <f>IF(U80&lt;=$K$16,('AA8'!T87*(1+Paramètres!$B$20)),"")</f>
        <v>0</v>
      </c>
      <c r="V87" s="277">
        <f>IF(V80&lt;=$K$16,('AA8'!U87*(1+Paramètres!$B$20)),"")</f>
        <v>0</v>
      </c>
      <c r="W87" s="277">
        <f>IF(W80&lt;=$K$16,('AA8'!V87*(1+Paramètres!$B$20)),"")</f>
        <v>0</v>
      </c>
      <c r="X87" s="277">
        <f>IF(X80&lt;=$K$16,('AA8'!W87*(1+Paramètres!$B$20)),"")</f>
        <v>0</v>
      </c>
      <c r="Y87" s="277">
        <f>IF(Y80&lt;=$K$16,('AA8'!X87*(1+Paramètres!$B$20)),"")</f>
        <v>0</v>
      </c>
      <c r="Z87" s="277">
        <f>IF(Z80&lt;=$K$16,('AA8'!Y87*(1+Paramètres!$B$20)),"")</f>
        <v>0</v>
      </c>
      <c r="AA87" s="277">
        <f>IF(AA80&lt;=$K$16,('AA8'!Z87*(1+Paramètres!$B$20)),"")</f>
        <v>0</v>
      </c>
      <c r="AB87" s="277">
        <f>IF(AB80&lt;=$K$16,('AA8'!AA87*(1+Paramètres!$B$20)),"")</f>
        <v>0</v>
      </c>
      <c r="AC87" s="277">
        <f>IF(AC80&lt;=$K$16,('AA8'!AB87*(1+Paramètres!$B$20)),"")</f>
        <v>0</v>
      </c>
      <c r="AD87" s="277" t="str">
        <f>IF(AD80&lt;=$K$16,('AA8'!AC87*(1+Paramètres!$B$20)),"")</f>
        <v/>
      </c>
      <c r="AE87" s="277" t="str">
        <f>IF(AE80&lt;=$K$16,('AA8'!AD87*(1+Paramètres!$B$20)),"")</f>
        <v/>
      </c>
      <c r="AF87" s="277" t="str">
        <f>IF(AF80&lt;=$K$16,('AA8'!AE87*(1+Paramètres!$B$20)),"")</f>
        <v/>
      </c>
      <c r="AG87" s="277" t="str">
        <f>IF(AG80&lt;=$K$16,('AA8'!AF87*(1+Paramètres!$B$20)),"")</f>
        <v/>
      </c>
      <c r="AH87" s="277" t="str">
        <f>IF(AH80&lt;=$K$16,('AA8'!AG87*(1+Paramètres!$B$20)),"")</f>
        <v/>
      </c>
      <c r="AI87" s="277" t="str">
        <f>IF(AI80&lt;=$K$16,('AA8'!AH87*(1+Paramètres!$B$20)),"")</f>
        <v/>
      </c>
      <c r="AJ87" s="277" t="str">
        <f>IF(AJ80&lt;=$K$16,('AA8'!AI87*(1+Paramètres!$B$20)),"")</f>
        <v/>
      </c>
      <c r="AK87" s="277" t="str">
        <f>IF(AK80&lt;=$K$16,('AA8'!AJ87*(1+Paramètres!$B$20)),"")</f>
        <v/>
      </c>
      <c r="AL87" s="277" t="str">
        <f>IF(AL80&lt;=$K$16,('AA8'!AK87*(1+Paramètres!$B$20)),"")</f>
        <v/>
      </c>
      <c r="AM87" s="277" t="str">
        <f>IF(AM80&lt;=$K$16,('AA8'!AL87*(1+Paramètres!$B$20)),"")</f>
        <v/>
      </c>
      <c r="AN87" s="277" t="str">
        <f>IF(AN80&lt;=$K$16,('AA8'!AM87*(1+Paramètres!$B$20)),"")</f>
        <v/>
      </c>
      <c r="AO87" s="277" t="str">
        <f>IF(AO80&lt;=$K$16,('AA8'!AN87*(1+Paramètres!$B$20)),"")</f>
        <v/>
      </c>
      <c r="AP87" s="277" t="str">
        <f>IF(AP80&lt;=$K$16,('AA8'!AO87*(1+Paramètres!$B$20)),"")</f>
        <v/>
      </c>
      <c r="AQ87" s="277" t="str">
        <f>IF(AQ80&lt;=$K$16,('AA8'!AP87*(1+Paramètres!$B$20)),"")</f>
        <v/>
      </c>
      <c r="AR87" s="276" t="str">
        <f>IF(AR80&lt;=$K$16,('AA8'!AQ87*(1+Paramètres!$B$20)),"")</f>
        <v/>
      </c>
    </row>
    <row r="88" spans="2:44" ht="13.8" thickBot="1">
      <c r="G88" s="217">
        <f>G87/'2023'!H36</f>
        <v>0.22269244801167457</v>
      </c>
      <c r="H88" s="144">
        <f>G87/'2023'!H36</f>
        <v>0.22269244801167457</v>
      </c>
      <c r="J88" s="302"/>
      <c r="K88" s="302"/>
      <c r="L88" s="312" t="s">
        <v>361</v>
      </c>
      <c r="M88" s="292" t="s">
        <v>319</v>
      </c>
      <c r="N88" s="265" t="str">
        <f t="shared" ref="N88:AR88" si="8">IF(N80=$K$16,$M$59,"")</f>
        <v/>
      </c>
      <c r="O88" s="264" t="str">
        <f t="shared" si="8"/>
        <v/>
      </c>
      <c r="P88" s="264" t="str">
        <f t="shared" si="8"/>
        <v/>
      </c>
      <c r="Q88" s="264" t="str">
        <f t="shared" si="8"/>
        <v/>
      </c>
      <c r="R88" s="264" t="str">
        <f t="shared" si="8"/>
        <v/>
      </c>
      <c r="S88" s="264" t="str">
        <f t="shared" si="8"/>
        <v/>
      </c>
      <c r="T88" s="264" t="str">
        <f t="shared" si="8"/>
        <v/>
      </c>
      <c r="U88" s="264" t="str">
        <f t="shared" si="8"/>
        <v/>
      </c>
      <c r="V88" s="264" t="str">
        <f t="shared" si="8"/>
        <v/>
      </c>
      <c r="W88" s="264" t="str">
        <f t="shared" si="8"/>
        <v/>
      </c>
      <c r="X88" s="264" t="str">
        <f t="shared" si="8"/>
        <v/>
      </c>
      <c r="Y88" s="264" t="str">
        <f t="shared" si="8"/>
        <v/>
      </c>
      <c r="Z88" s="264" t="str">
        <f t="shared" si="8"/>
        <v/>
      </c>
      <c r="AA88" s="264" t="str">
        <f t="shared" si="8"/>
        <v/>
      </c>
      <c r="AB88" s="264" t="str">
        <f t="shared" si="8"/>
        <v/>
      </c>
      <c r="AC88" s="264">
        <f t="shared" si="8"/>
        <v>0</v>
      </c>
      <c r="AD88" s="264" t="str">
        <f t="shared" si="8"/>
        <v/>
      </c>
      <c r="AE88" s="264" t="str">
        <f t="shared" si="8"/>
        <v/>
      </c>
      <c r="AF88" s="264" t="str">
        <f t="shared" si="8"/>
        <v/>
      </c>
      <c r="AG88" s="264" t="str">
        <f t="shared" si="8"/>
        <v/>
      </c>
      <c r="AH88" s="264" t="str">
        <f t="shared" si="8"/>
        <v/>
      </c>
      <c r="AI88" s="264" t="str">
        <f t="shared" si="8"/>
        <v/>
      </c>
      <c r="AJ88" s="264" t="str">
        <f t="shared" si="8"/>
        <v/>
      </c>
      <c r="AK88" s="264" t="str">
        <f t="shared" si="8"/>
        <v/>
      </c>
      <c r="AL88" s="264" t="str">
        <f t="shared" si="8"/>
        <v/>
      </c>
      <c r="AM88" s="264" t="str">
        <f t="shared" si="8"/>
        <v/>
      </c>
      <c r="AN88" s="264" t="str">
        <f t="shared" si="8"/>
        <v/>
      </c>
      <c r="AO88" s="264" t="str">
        <f t="shared" si="8"/>
        <v/>
      </c>
      <c r="AP88" s="264" t="str">
        <f t="shared" si="8"/>
        <v/>
      </c>
      <c r="AQ88" s="264" t="str">
        <f t="shared" si="8"/>
        <v/>
      </c>
      <c r="AR88" s="263" t="str">
        <f t="shared" si="8"/>
        <v/>
      </c>
    </row>
    <row r="89" spans="2:44" ht="13.8" thickBot="1">
      <c r="J89" s="302"/>
      <c r="K89" s="302"/>
      <c r="L89" s="839" t="s">
        <v>362</v>
      </c>
      <c r="M89" s="840"/>
      <c r="N89" s="260" t="str">
        <f t="shared" ref="N89:AR89" si="9">IF(SUM(N81:N88)=0,"",SUM(N81:N88))</f>
        <v/>
      </c>
      <c r="O89" s="259" t="str">
        <f t="shared" si="9"/>
        <v/>
      </c>
      <c r="P89" s="259" t="str">
        <f t="shared" si="9"/>
        <v/>
      </c>
      <c r="Q89" s="259" t="str">
        <f t="shared" si="9"/>
        <v/>
      </c>
      <c r="R89" s="259" t="str">
        <f t="shared" si="9"/>
        <v/>
      </c>
      <c r="S89" s="259" t="str">
        <f t="shared" si="9"/>
        <v/>
      </c>
      <c r="T89" s="259" t="str">
        <f t="shared" si="9"/>
        <v/>
      </c>
      <c r="U89" s="259" t="str">
        <f t="shared" si="9"/>
        <v/>
      </c>
      <c r="V89" s="259" t="str">
        <f t="shared" si="9"/>
        <v/>
      </c>
      <c r="W89" s="259" t="str">
        <f t="shared" si="9"/>
        <v/>
      </c>
      <c r="X89" s="259" t="str">
        <f t="shared" si="9"/>
        <v/>
      </c>
      <c r="Y89" s="259" t="str">
        <f t="shared" si="9"/>
        <v/>
      </c>
      <c r="Z89" s="259" t="str">
        <f t="shared" si="9"/>
        <v/>
      </c>
      <c r="AA89" s="259" t="str">
        <f t="shared" si="9"/>
        <v/>
      </c>
      <c r="AB89" s="259" t="str">
        <f t="shared" si="9"/>
        <v/>
      </c>
      <c r="AC89" s="259" t="str">
        <f t="shared" si="9"/>
        <v/>
      </c>
      <c r="AD89" s="259" t="str">
        <f t="shared" si="9"/>
        <v/>
      </c>
      <c r="AE89" s="259" t="str">
        <f t="shared" si="9"/>
        <v/>
      </c>
      <c r="AF89" s="259" t="str">
        <f t="shared" si="9"/>
        <v/>
      </c>
      <c r="AG89" s="259" t="str">
        <f t="shared" si="9"/>
        <v/>
      </c>
      <c r="AH89" s="259" t="str">
        <f t="shared" si="9"/>
        <v/>
      </c>
      <c r="AI89" s="259" t="str">
        <f t="shared" si="9"/>
        <v/>
      </c>
      <c r="AJ89" s="259" t="str">
        <f t="shared" si="9"/>
        <v/>
      </c>
      <c r="AK89" s="259" t="str">
        <f t="shared" si="9"/>
        <v/>
      </c>
      <c r="AL89" s="259" t="str">
        <f t="shared" si="9"/>
        <v/>
      </c>
      <c r="AM89" s="259" t="str">
        <f t="shared" si="9"/>
        <v/>
      </c>
      <c r="AN89" s="259" t="str">
        <f t="shared" si="9"/>
        <v/>
      </c>
      <c r="AO89" s="259" t="str">
        <f t="shared" si="9"/>
        <v/>
      </c>
      <c r="AP89" s="259" t="str">
        <f t="shared" si="9"/>
        <v/>
      </c>
      <c r="AQ89" s="259" t="str">
        <f t="shared" si="9"/>
        <v/>
      </c>
      <c r="AR89" s="258" t="str">
        <f t="shared" si="9"/>
        <v/>
      </c>
    </row>
    <row r="90" spans="2:44" ht="13.8" thickBot="1">
      <c r="J90" s="302"/>
      <c r="K90" s="302"/>
      <c r="L90" s="841" t="s">
        <v>363</v>
      </c>
      <c r="M90" s="842"/>
      <c r="N90" s="260" t="str">
        <f>IF(N89="","",((N89)/(1+Paramètres!$B$19)^N80))</f>
        <v/>
      </c>
      <c r="O90" s="259" t="str">
        <f>IF(O89="","",((O89)/(1+Paramètres!$B$19)^O80))</f>
        <v/>
      </c>
      <c r="P90" s="259" t="str">
        <f>IF(P89="","",((P89)/(1+Paramètres!$B$19)^P80))</f>
        <v/>
      </c>
      <c r="Q90" s="259" t="str">
        <f>IF(Q89="","",((Q89)/(1+Paramètres!$B$19)^Q80))</f>
        <v/>
      </c>
      <c r="R90" s="259" t="str">
        <f>IF(R89="","",((R89)/(1+Paramètres!$B$19)^R80))</f>
        <v/>
      </c>
      <c r="S90" s="259" t="str">
        <f>IF(S89="","",((S89)/(1+Paramètres!$B$19)^S80))</f>
        <v/>
      </c>
      <c r="T90" s="259" t="str">
        <f>IF(T89="","",((T89)/(1+Paramètres!$B$19)^T80))</f>
        <v/>
      </c>
      <c r="U90" s="259" t="str">
        <f>IF(U89="","",((U89)/(1+Paramètres!$B$19)^U80))</f>
        <v/>
      </c>
      <c r="V90" s="259" t="str">
        <f>IF(V89="","",((V89)/(1+Paramètres!$B$19)^V80))</f>
        <v/>
      </c>
      <c r="W90" s="259" t="str">
        <f>IF(W89="","",((W89)/(1+Paramètres!$B$19)^W80))</f>
        <v/>
      </c>
      <c r="X90" s="259" t="str">
        <f>IF(X89="","",((X89)/(1+Paramètres!$B$19)^X80))</f>
        <v/>
      </c>
      <c r="Y90" s="259" t="str">
        <f>IF(Y89="","",((Y89)/(1+Paramètres!$B$19)^Y80))</f>
        <v/>
      </c>
      <c r="Z90" s="259" t="str">
        <f>IF(Z89="","",((Z89)/(1+Paramètres!$B$19)^Z80))</f>
        <v/>
      </c>
      <c r="AA90" s="259" t="str">
        <f>IF(AA89="","",((AA89)/(1+Paramètres!$B$19)^AA80))</f>
        <v/>
      </c>
      <c r="AB90" s="259" t="str">
        <f>IF(AB89="","",((AB89)/(1+Paramètres!$B$19)^AB80))</f>
        <v/>
      </c>
      <c r="AC90" s="259" t="str">
        <f>IF(AC89="","",((AC89)/(1+Paramètres!$B$19)^AC80))</f>
        <v/>
      </c>
      <c r="AD90" s="259" t="str">
        <f>IF(AD89="","",((AD89)/(1+Paramètres!$B$19)^AD80))</f>
        <v/>
      </c>
      <c r="AE90" s="259" t="str">
        <f>IF(AE89="","",((AE89)/(1+Paramètres!$B$19)^AE80))</f>
        <v/>
      </c>
      <c r="AF90" s="259" t="str">
        <f>IF(AF89="","",((AF89)/(1+Paramètres!$B$19)^AF80))</f>
        <v/>
      </c>
      <c r="AG90" s="259" t="str">
        <f>IF(AG89="","",((AG89)/(1+Paramètres!$B$19)^AG80))</f>
        <v/>
      </c>
      <c r="AH90" s="259" t="str">
        <f>IF(AH89="","",((AH89)/(1+Paramètres!$B$19)^AH80))</f>
        <v/>
      </c>
      <c r="AI90" s="259" t="str">
        <f>IF(AI89="","",((AI89)/(1+Paramètres!$B$19)^AI80))</f>
        <v/>
      </c>
      <c r="AJ90" s="259" t="str">
        <f>IF(AJ89="","",((AJ89)/(1+Paramètres!$B$19)^AJ80))</f>
        <v/>
      </c>
      <c r="AK90" s="259" t="str">
        <f>IF(AK89="","",((AK89)/(1+Paramètres!$B$19)^AK80))</f>
        <v/>
      </c>
      <c r="AL90" s="259" t="str">
        <f>IF(AL89="","",((AL89)/(1+Paramètres!$B$19)^AL80))</f>
        <v/>
      </c>
      <c r="AM90" s="259" t="str">
        <f>IF(AM89="","",((AM89)/(1+Paramètres!$B$19)^AM80))</f>
        <v/>
      </c>
      <c r="AN90" s="259" t="str">
        <f>IF(AN89="","",((AN89)/(1+Paramètres!$B$19)^AN80))</f>
        <v/>
      </c>
      <c r="AO90" s="259" t="str">
        <f>IF(AO89="","",((AO89)/(1+Paramètres!$B$19)^AO80))</f>
        <v/>
      </c>
      <c r="AP90" s="259" t="str">
        <f>IF(AP89="","",((AP89)/(1+Paramètres!$B$19)^AP80))</f>
        <v/>
      </c>
      <c r="AQ90" s="259" t="str">
        <f>IF(AQ89="","",((AQ89)/(1+Paramètres!$B$19)^AQ80))</f>
        <v/>
      </c>
      <c r="AR90" s="258" t="str">
        <f>IF(AR89="","",((AR89)/(1+Paramètres!$B$19)^AR80))</f>
        <v/>
      </c>
    </row>
    <row r="91" spans="2:44" ht="13.8" thickBot="1">
      <c r="J91" s="302"/>
      <c r="K91" s="302"/>
      <c r="L91" s="841" t="s">
        <v>364</v>
      </c>
      <c r="M91" s="842"/>
      <c r="N91" s="257" t="str">
        <f>N90</f>
        <v/>
      </c>
      <c r="O91" s="256" t="str">
        <f t="shared" ref="O91:AR91" si="10">IF(O90="","",((N91+O90)))</f>
        <v/>
      </c>
      <c r="P91" s="256" t="str">
        <f t="shared" si="10"/>
        <v/>
      </c>
      <c r="Q91" s="256" t="str">
        <f t="shared" si="10"/>
        <v/>
      </c>
      <c r="R91" s="256" t="str">
        <f t="shared" si="10"/>
        <v/>
      </c>
      <c r="S91" s="256" t="str">
        <f t="shared" si="10"/>
        <v/>
      </c>
      <c r="T91" s="256" t="str">
        <f t="shared" si="10"/>
        <v/>
      </c>
      <c r="U91" s="256" t="str">
        <f t="shared" si="10"/>
        <v/>
      </c>
      <c r="V91" s="256" t="str">
        <f t="shared" si="10"/>
        <v/>
      </c>
      <c r="W91" s="256" t="str">
        <f t="shared" si="10"/>
        <v/>
      </c>
      <c r="X91" s="256" t="str">
        <f t="shared" si="10"/>
        <v/>
      </c>
      <c r="Y91" s="256" t="str">
        <f t="shared" si="10"/>
        <v/>
      </c>
      <c r="Z91" s="256" t="str">
        <f t="shared" si="10"/>
        <v/>
      </c>
      <c r="AA91" s="256" t="str">
        <f t="shared" si="10"/>
        <v/>
      </c>
      <c r="AB91" s="256" t="str">
        <f t="shared" si="10"/>
        <v/>
      </c>
      <c r="AC91" s="256" t="str">
        <f t="shared" si="10"/>
        <v/>
      </c>
      <c r="AD91" s="256" t="str">
        <f t="shared" si="10"/>
        <v/>
      </c>
      <c r="AE91" s="256" t="str">
        <f t="shared" si="10"/>
        <v/>
      </c>
      <c r="AF91" s="256" t="str">
        <f t="shared" si="10"/>
        <v/>
      </c>
      <c r="AG91" s="256" t="str">
        <f t="shared" si="10"/>
        <v/>
      </c>
      <c r="AH91" s="256" t="str">
        <f t="shared" si="10"/>
        <v/>
      </c>
      <c r="AI91" s="256" t="str">
        <f t="shared" si="10"/>
        <v/>
      </c>
      <c r="AJ91" s="256" t="str">
        <f t="shared" si="10"/>
        <v/>
      </c>
      <c r="AK91" s="256" t="str">
        <f t="shared" si="10"/>
        <v/>
      </c>
      <c r="AL91" s="256" t="str">
        <f t="shared" si="10"/>
        <v/>
      </c>
      <c r="AM91" s="256" t="str">
        <f t="shared" si="10"/>
        <v/>
      </c>
      <c r="AN91" s="256" t="str">
        <f t="shared" si="10"/>
        <v/>
      </c>
      <c r="AO91" s="256" t="str">
        <f t="shared" si="10"/>
        <v/>
      </c>
      <c r="AP91" s="256" t="str">
        <f t="shared" si="10"/>
        <v/>
      </c>
      <c r="AQ91" s="256" t="str">
        <f t="shared" si="10"/>
        <v/>
      </c>
      <c r="AR91" s="255" t="str">
        <f t="shared" si="10"/>
        <v/>
      </c>
    </row>
    <row r="92" spans="2:44" ht="13.8" thickBot="1">
      <c r="J92" s="302"/>
      <c r="K92" s="302"/>
      <c r="L92" s="302"/>
      <c r="M92" s="302"/>
      <c r="N92" s="302"/>
      <c r="O92" s="301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</row>
    <row r="93" spans="2:44">
      <c r="J93" s="308"/>
      <c r="K93" s="308"/>
      <c r="L93" s="254" t="s">
        <v>225</v>
      </c>
      <c r="M93" s="253" t="str">
        <f>IFERROR(IRR(N89:AR89), "PROJET NON RENTABLE")</f>
        <v>PROJET NON RENTABLE</v>
      </c>
      <c r="N93" s="309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</row>
    <row r="94" spans="2:44" ht="13.8" thickBot="1">
      <c r="J94" s="305"/>
      <c r="K94" s="305"/>
      <c r="L94" s="252" t="s">
        <v>224</v>
      </c>
      <c r="M94" s="412" cm="1">
        <f t="array" ref="M94">IFERROR(INDEX(N80:AR80,MATCH(TRUE,N91:AR91&gt;0,0)),"PROJET NON RENTABLE")</f>
        <v>0</v>
      </c>
      <c r="N94" s="307"/>
      <c r="O94" s="305"/>
      <c r="P94" s="305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</row>
    <row r="95" spans="2:44">
      <c r="J95" s="302"/>
      <c r="K95" s="302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</row>
    <row r="96" spans="2:44" ht="13.8" thickBot="1">
      <c r="J96" s="302"/>
      <c r="K96" s="302"/>
      <c r="L96" s="302"/>
      <c r="M96" s="303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</row>
    <row r="97" spans="10:44" ht="16.2" thickBot="1">
      <c r="J97" s="826" t="s">
        <v>365</v>
      </c>
      <c r="K97" s="827"/>
      <c r="L97" s="827"/>
      <c r="M97" s="827"/>
      <c r="N97" s="827"/>
      <c r="O97" s="827"/>
      <c r="P97" s="827"/>
      <c r="Q97" s="827"/>
      <c r="R97" s="827"/>
      <c r="S97" s="827"/>
      <c r="T97" s="827"/>
      <c r="U97" s="827"/>
      <c r="V97" s="827"/>
      <c r="W97" s="827"/>
      <c r="X97" s="827"/>
      <c r="Y97" s="827"/>
      <c r="Z97" s="827"/>
      <c r="AA97" s="827"/>
      <c r="AB97" s="827"/>
      <c r="AC97" s="827"/>
      <c r="AD97" s="827"/>
      <c r="AE97" s="827"/>
      <c r="AF97" s="827"/>
      <c r="AG97" s="827"/>
      <c r="AH97" s="827"/>
      <c r="AI97" s="827"/>
      <c r="AJ97" s="827"/>
      <c r="AK97" s="827"/>
      <c r="AL97" s="827"/>
      <c r="AM97" s="827"/>
      <c r="AN97" s="827"/>
      <c r="AO97" s="827"/>
      <c r="AP97" s="827"/>
      <c r="AQ97" s="827"/>
      <c r="AR97" s="828"/>
    </row>
    <row r="98" spans="10:44" ht="21" thickBot="1"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1"/>
      <c r="AE98" s="261"/>
      <c r="AF98" s="261"/>
      <c r="AG98" s="261"/>
      <c r="AH98" s="261"/>
      <c r="AI98" s="261"/>
      <c r="AJ98" s="261"/>
      <c r="AK98" s="261"/>
      <c r="AL98" s="261"/>
      <c r="AM98" s="261"/>
      <c r="AN98" s="261"/>
      <c r="AO98" s="261"/>
      <c r="AP98" s="261"/>
      <c r="AQ98" s="261"/>
      <c r="AR98" s="261"/>
    </row>
    <row r="99" spans="10:44" ht="16.2" thickBot="1">
      <c r="J99" s="262"/>
      <c r="K99" s="262"/>
      <c r="L99" s="302"/>
      <c r="M99" s="301"/>
      <c r="N99" s="831" t="s">
        <v>366</v>
      </c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3"/>
    </row>
    <row r="100" spans="10:44" ht="16.2" thickBot="1">
      <c r="J100" s="262"/>
      <c r="K100" s="262"/>
      <c r="L100" s="302"/>
      <c r="M100" s="301"/>
      <c r="N100" s="300">
        <v>0</v>
      </c>
      <c r="O100" s="299">
        <v>1</v>
      </c>
      <c r="P100" s="299">
        <v>2</v>
      </c>
      <c r="Q100" s="299">
        <v>3</v>
      </c>
      <c r="R100" s="299">
        <v>4</v>
      </c>
      <c r="S100" s="299">
        <v>5</v>
      </c>
      <c r="T100" s="299">
        <v>6</v>
      </c>
      <c r="U100" s="299">
        <v>7</v>
      </c>
      <c r="V100" s="299">
        <v>8</v>
      </c>
      <c r="W100" s="299">
        <v>9</v>
      </c>
      <c r="X100" s="299">
        <v>10</v>
      </c>
      <c r="Y100" s="299">
        <v>11</v>
      </c>
      <c r="Z100" s="299">
        <v>12</v>
      </c>
      <c r="AA100" s="299">
        <v>13</v>
      </c>
      <c r="AB100" s="299">
        <v>14</v>
      </c>
      <c r="AC100" s="299">
        <v>15</v>
      </c>
      <c r="AD100" s="299">
        <v>16</v>
      </c>
      <c r="AE100" s="299">
        <v>17</v>
      </c>
      <c r="AF100" s="299">
        <v>18</v>
      </c>
      <c r="AG100" s="299">
        <v>19</v>
      </c>
      <c r="AH100" s="299">
        <v>20</v>
      </c>
      <c r="AI100" s="299">
        <v>21</v>
      </c>
      <c r="AJ100" s="299">
        <v>22</v>
      </c>
      <c r="AK100" s="299">
        <v>23</v>
      </c>
      <c r="AL100" s="299">
        <v>24</v>
      </c>
      <c r="AM100" s="299">
        <v>25</v>
      </c>
      <c r="AN100" s="299">
        <v>26</v>
      </c>
      <c r="AO100" s="299">
        <v>27</v>
      </c>
      <c r="AP100" s="299">
        <v>28</v>
      </c>
      <c r="AQ100" s="299">
        <v>29</v>
      </c>
      <c r="AR100" s="298">
        <v>30</v>
      </c>
    </row>
    <row r="101" spans="10:44" ht="20.399999999999999">
      <c r="J101" s="262"/>
      <c r="K101" s="262"/>
      <c r="L101" s="829" t="s">
        <v>354</v>
      </c>
      <c r="M101" s="297" t="s">
        <v>311</v>
      </c>
      <c r="N101" s="296">
        <f>(M55)</f>
        <v>0</v>
      </c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3"/>
    </row>
    <row r="102" spans="10:44" ht="21" thickBot="1">
      <c r="J102" s="262"/>
      <c r="K102" s="262"/>
      <c r="L102" s="830"/>
      <c r="M102" s="292" t="s">
        <v>314</v>
      </c>
      <c r="N102" s="290">
        <f>M56</f>
        <v>0</v>
      </c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  <c r="AO102" s="261"/>
      <c r="AP102" s="261"/>
      <c r="AQ102" s="261"/>
      <c r="AR102" s="288"/>
    </row>
    <row r="103" spans="10:44" ht="20.399999999999999">
      <c r="J103" s="262"/>
      <c r="K103" s="262"/>
      <c r="L103" s="829" t="s">
        <v>356</v>
      </c>
      <c r="M103" s="291" t="s">
        <v>357</v>
      </c>
      <c r="N103" s="290">
        <f>M57+M58</f>
        <v>0</v>
      </c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  <c r="AO103" s="261"/>
      <c r="AP103" s="261"/>
      <c r="AQ103" s="261"/>
      <c r="AR103" s="288"/>
    </row>
    <row r="104" spans="10:44" ht="16.2" thickBot="1">
      <c r="J104" s="262"/>
      <c r="K104" s="262"/>
      <c r="L104" s="830"/>
      <c r="M104" s="287" t="s">
        <v>358</v>
      </c>
      <c r="N104" s="278"/>
      <c r="O104" s="277" t="str">
        <f t="shared" ref="O104:AR104" si="11">IF(O100&lt;=$M$63,$M$62,"")</f>
        <v/>
      </c>
      <c r="P104" s="277" t="str">
        <f t="shared" si="11"/>
        <v/>
      </c>
      <c r="Q104" s="277" t="str">
        <f t="shared" si="11"/>
        <v/>
      </c>
      <c r="R104" s="277" t="str">
        <f t="shared" si="11"/>
        <v/>
      </c>
      <c r="S104" s="277" t="str">
        <f t="shared" si="11"/>
        <v/>
      </c>
      <c r="T104" s="277" t="str">
        <f t="shared" si="11"/>
        <v/>
      </c>
      <c r="U104" s="277" t="str">
        <f t="shared" si="11"/>
        <v/>
      </c>
      <c r="V104" s="277" t="str">
        <f t="shared" si="11"/>
        <v/>
      </c>
      <c r="W104" s="277" t="str">
        <f t="shared" si="11"/>
        <v/>
      </c>
      <c r="X104" s="277" t="str">
        <f t="shared" si="11"/>
        <v/>
      </c>
      <c r="Y104" s="277" t="str">
        <f t="shared" si="11"/>
        <v/>
      </c>
      <c r="Z104" s="277" t="str">
        <f t="shared" si="11"/>
        <v/>
      </c>
      <c r="AA104" s="277" t="str">
        <f t="shared" si="11"/>
        <v/>
      </c>
      <c r="AB104" s="277" t="str">
        <f t="shared" si="11"/>
        <v/>
      </c>
      <c r="AC104" s="277" t="str">
        <f t="shared" si="11"/>
        <v/>
      </c>
      <c r="AD104" s="277" t="str">
        <f t="shared" si="11"/>
        <v/>
      </c>
      <c r="AE104" s="277" t="str">
        <f t="shared" si="11"/>
        <v/>
      </c>
      <c r="AF104" s="277" t="str">
        <f t="shared" si="11"/>
        <v/>
      </c>
      <c r="AG104" s="277" t="str">
        <f t="shared" si="11"/>
        <v/>
      </c>
      <c r="AH104" s="277" t="str">
        <f t="shared" si="11"/>
        <v/>
      </c>
      <c r="AI104" s="277" t="str">
        <f t="shared" si="11"/>
        <v/>
      </c>
      <c r="AJ104" s="277" t="str">
        <f t="shared" si="11"/>
        <v/>
      </c>
      <c r="AK104" s="277" t="str">
        <f t="shared" si="11"/>
        <v/>
      </c>
      <c r="AL104" s="277" t="str">
        <f t="shared" si="11"/>
        <v/>
      </c>
      <c r="AM104" s="277" t="str">
        <f t="shared" si="11"/>
        <v/>
      </c>
      <c r="AN104" s="277" t="str">
        <f t="shared" si="11"/>
        <v/>
      </c>
      <c r="AO104" s="277" t="str">
        <f t="shared" si="11"/>
        <v/>
      </c>
      <c r="AP104" s="277" t="str">
        <f t="shared" si="11"/>
        <v/>
      </c>
      <c r="AQ104" s="277" t="str">
        <f t="shared" si="11"/>
        <v/>
      </c>
      <c r="AR104" s="276" t="str">
        <f t="shared" si="11"/>
        <v/>
      </c>
    </row>
    <row r="105" spans="10:44" ht="16.2" thickBot="1">
      <c r="J105" s="262"/>
      <c r="K105" s="262"/>
      <c r="L105" s="286" t="s">
        <v>360</v>
      </c>
      <c r="M105" s="285" t="s">
        <v>360</v>
      </c>
      <c r="N105" s="274"/>
      <c r="O105" s="284">
        <f>IF(O100&lt;=$K$16,($M$61+$M$64+$M$65+$M$66+$M$67+$M$68+$M$69+$M$70+$M$71+$M$72),"")</f>
        <v>0</v>
      </c>
      <c r="P105" s="284">
        <f>IF(P100&lt;=$K$16,O105*(1+Paramètres!$B$20),"")</f>
        <v>0</v>
      </c>
      <c r="Q105" s="284">
        <f>IF(Q100&lt;=$K$16,P105*(1+Paramètres!$B$20),"")</f>
        <v>0</v>
      </c>
      <c r="R105" s="284">
        <f>IF(R100&lt;=$K$16,Q105*(1+Paramètres!$B$20),"")</f>
        <v>0</v>
      </c>
      <c r="S105" s="284">
        <f>IF(S100&lt;=$K$16,R105*(1+Paramètres!$B$20),"")</f>
        <v>0</v>
      </c>
      <c r="T105" s="284">
        <f>IF(T100&lt;=$K$16,S105*(1+Paramètres!$B$20),"")</f>
        <v>0</v>
      </c>
      <c r="U105" s="284">
        <f>IF(U100&lt;=$K$16,T105*(1+Paramètres!$B$20),"")</f>
        <v>0</v>
      </c>
      <c r="V105" s="284">
        <f>IF(V100&lt;=$K$16,U105*(1+Paramètres!$B$20),"")</f>
        <v>0</v>
      </c>
      <c r="W105" s="284">
        <f>IF(W100&lt;=$K$16,V105*(1+Paramètres!$B$20),"")</f>
        <v>0</v>
      </c>
      <c r="X105" s="284">
        <f>IF(X100&lt;=$K$16,W105*(1+Paramètres!$B$20),"")</f>
        <v>0</v>
      </c>
      <c r="Y105" s="284">
        <f>IF(Y100&lt;=$K$16,X105*(1+Paramètres!$B$20),"")</f>
        <v>0</v>
      </c>
      <c r="Z105" s="284">
        <f>IF(Z100&lt;=$K$16,Y105*(1+Paramètres!$B$20),"")</f>
        <v>0</v>
      </c>
      <c r="AA105" s="284">
        <f>IF(AA100&lt;=$K$16,Z105*(1+Paramètres!$B$20),"")</f>
        <v>0</v>
      </c>
      <c r="AB105" s="284">
        <f>IF(AB100&lt;=$K$16,AA105*(1+Paramètres!$B$20),"")</f>
        <v>0</v>
      </c>
      <c r="AC105" s="284">
        <f>IF(AC100&lt;=$K$16,AB105*(1+Paramètres!$B$20),"")</f>
        <v>0</v>
      </c>
      <c r="AD105" s="284" t="str">
        <f>IF(AD100&lt;=$K$16,AC105*(1+Paramètres!$B$20),"")</f>
        <v/>
      </c>
      <c r="AE105" s="284" t="str">
        <f>IF(AE100&lt;=$K$16,AD105*(1+Paramètres!$B$20),"")</f>
        <v/>
      </c>
      <c r="AF105" s="284" t="str">
        <f>IF(AF100&lt;=$K$16,AE105*(1+Paramètres!$B$20),"")</f>
        <v/>
      </c>
      <c r="AG105" s="284" t="str">
        <f>IF(AG100&lt;=$K$16,AF105*(1+Paramètres!$B$20),"")</f>
        <v/>
      </c>
      <c r="AH105" s="284" t="str">
        <f>IF(AH100&lt;=$K$16,AG105*(1+Paramètres!$B$20),"")</f>
        <v/>
      </c>
      <c r="AI105" s="284" t="str">
        <f>IF(AI100&lt;=$K$16,AH105*(1+Paramètres!$B$20),"")</f>
        <v/>
      </c>
      <c r="AJ105" s="284" t="str">
        <f>IF(AJ100&lt;=$K$16,AI105*(1+Paramètres!$B$20),"")</f>
        <v/>
      </c>
      <c r="AK105" s="284" t="str">
        <f>IF(AK100&lt;=$K$16,AJ105*(1+Paramètres!$B$20),"")</f>
        <v/>
      </c>
      <c r="AL105" s="284" t="str">
        <f>IF(AL100&lt;=$K$16,AK105*(1+Paramètres!$B$20),"")</f>
        <v/>
      </c>
      <c r="AM105" s="284" t="str">
        <f>IF(AM100&lt;=$K$16,AL105*(1+Paramètres!$B$20),"")</f>
        <v/>
      </c>
      <c r="AN105" s="284" t="str">
        <f>IF(AN100&lt;=$K$16,AM105*(1+Paramètres!$B$20),"")</f>
        <v/>
      </c>
      <c r="AO105" s="284" t="str">
        <f>IF(AO100&lt;=$K$16,AN105*(1+Paramètres!$B$20),"")</f>
        <v/>
      </c>
      <c r="AP105" s="284" t="str">
        <f>IF(AP100&lt;=$K$16,AO105*(1+Paramètres!$B$20),"")</f>
        <v/>
      </c>
      <c r="AQ105" s="284" t="str">
        <f>IF(AQ100&lt;=$K$16,AP105*(1+Paramètres!$B$20),"")</f>
        <v/>
      </c>
      <c r="AR105" s="283" t="str">
        <f>IF(AR100&lt;=$K$16,AQ105*(1+Paramètres!$B$20),"")</f>
        <v/>
      </c>
    </row>
    <row r="106" spans="10:44" ht="15.6">
      <c r="J106" s="262"/>
      <c r="K106" s="262"/>
      <c r="L106" s="829" t="s">
        <v>367</v>
      </c>
      <c r="M106" s="282" t="s">
        <v>46</v>
      </c>
      <c r="N106" s="281"/>
      <c r="O106" s="280">
        <f>IF(AND(O100=1,K23="OUI"),(Paramètres!$B$22*'AA8'!M55),"")</f>
        <v>0</v>
      </c>
      <c r="P106" s="280" t="str">
        <f>IF(P100=1,(Paramètres!$B$22*'AA8'!N55),"")</f>
        <v/>
      </c>
      <c r="Q106" s="280" t="str">
        <f>IF(Q100=1,(Paramètres!$B$22*'AA8'!O55),"")</f>
        <v/>
      </c>
      <c r="R106" s="280" t="str">
        <f>IF(R100=1,(Paramètres!$B$22*'AA8'!P55),"")</f>
        <v/>
      </c>
      <c r="S106" s="280" t="str">
        <f>IF(S100=1,(Paramètres!$B$22*'AA8'!Q55),"")</f>
        <v/>
      </c>
      <c r="T106" s="280" t="str">
        <f>IF(T100=1,(Paramètres!$B$22*'AA8'!R55),"")</f>
        <v/>
      </c>
      <c r="U106" s="280" t="str">
        <f>IF(U100=1,(Paramètres!$B$22*'AA8'!S55),"")</f>
        <v/>
      </c>
      <c r="V106" s="280" t="str">
        <f>IF(V100=1,(Paramètres!$B$22*'AA8'!T55),"")</f>
        <v/>
      </c>
      <c r="W106" s="280" t="str">
        <f>IF(W100=1,(Paramètres!$B$22*'AA8'!U55),"")</f>
        <v/>
      </c>
      <c r="X106" s="280" t="str">
        <f>IF(X100=1,(Paramètres!$B$22*'AA8'!V55),"")</f>
        <v/>
      </c>
      <c r="Y106" s="280" t="str">
        <f>IF(Y100=1,(Paramètres!$B$22*'AA8'!W55),"")</f>
        <v/>
      </c>
      <c r="Z106" s="280" t="str">
        <f>IF(Z100=1,(Paramètres!$B$22*'AA8'!X55),"")</f>
        <v/>
      </c>
      <c r="AA106" s="280" t="str">
        <f>IF(AA100=1,(Paramètres!$B$22*'AA8'!Y55),"")</f>
        <v/>
      </c>
      <c r="AB106" s="280" t="str">
        <f>IF(AB100=1,(Paramètres!$B$22*'AA8'!Z55),"")</f>
        <v/>
      </c>
      <c r="AC106" s="280" t="str">
        <f>IF(AC100=1,(Paramètres!$B$22*'AA8'!AA55),"")</f>
        <v/>
      </c>
      <c r="AD106" s="280" t="str">
        <f>IF(AD100=1,(Paramètres!$B$22*'AA8'!AB55),"")</f>
        <v/>
      </c>
      <c r="AE106" s="280" t="str">
        <f>IF(AE100=1,(Paramètres!$B$22*'AA8'!AC55),"")</f>
        <v/>
      </c>
      <c r="AF106" s="280" t="str">
        <f>IF(AF100=1,(Paramètres!$B$22*'AA8'!AD55),"")</f>
        <v/>
      </c>
      <c r="AG106" s="280" t="str">
        <f>IF(AG100=1,(Paramètres!$B$22*'AA8'!AE55),"")</f>
        <v/>
      </c>
      <c r="AH106" s="280" t="str">
        <f>IF(AH100=1,(Paramètres!$B$22*'AA8'!AF55),"")</f>
        <v/>
      </c>
      <c r="AI106" s="280" t="str">
        <f>IF(AI100=1,(Paramètres!$B$22*'AA8'!AG55),"")</f>
        <v/>
      </c>
      <c r="AJ106" s="280" t="str">
        <f>IF(AJ100=1,(Paramètres!$B$22*'AA8'!AH55),"")</f>
        <v/>
      </c>
      <c r="AK106" s="280" t="str">
        <f>IF(AK100=1,(Paramètres!$B$22*'AA8'!AI55),"")</f>
        <v/>
      </c>
      <c r="AL106" s="280" t="str">
        <f>IF(AL100=1,(Paramètres!$B$22*'AA8'!AJ55),"")</f>
        <v/>
      </c>
      <c r="AM106" s="280" t="str">
        <f>IF(AM100=1,(Paramètres!$B$22*'AA8'!AK55),"")</f>
        <v/>
      </c>
      <c r="AN106" s="280" t="str">
        <f>IF(AN100=1,(Paramètres!$B$22*'AA8'!AL55),"")</f>
        <v/>
      </c>
      <c r="AO106" s="280" t="str">
        <f>IF(AO100=1,(Paramètres!$B$22*'AA8'!AM55),"")</f>
        <v/>
      </c>
      <c r="AP106" s="280" t="str">
        <f>IF(AP100=1,(Paramètres!$B$22*'AA8'!AN55),"")</f>
        <v/>
      </c>
      <c r="AQ106" s="280" t="str">
        <f>IF(AQ100=1,(Paramètres!$B$22*'AA8'!AO55),"")</f>
        <v/>
      </c>
      <c r="AR106" s="279" t="str">
        <f>IF(AR100=1,(Paramètres!$B$22*'AA8'!AP55),"")</f>
        <v/>
      </c>
    </row>
    <row r="107" spans="10:44" ht="15.6">
      <c r="J107" s="262"/>
      <c r="K107" s="262"/>
      <c r="L107" s="843"/>
      <c r="M107" s="275" t="s">
        <v>368</v>
      </c>
      <c r="N107" s="278"/>
      <c r="O107" s="277">
        <f t="shared" ref="O107:AR107" si="12">IF(O100&lt;=$K$20,$M$55/$K$20,"")</f>
        <v>0</v>
      </c>
      <c r="P107" s="277">
        <f t="shared" si="12"/>
        <v>0</v>
      </c>
      <c r="Q107" s="277">
        <f t="shared" si="12"/>
        <v>0</v>
      </c>
      <c r="R107" s="277">
        <f t="shared" si="12"/>
        <v>0</v>
      </c>
      <c r="S107" s="277">
        <f t="shared" si="12"/>
        <v>0</v>
      </c>
      <c r="T107" s="277">
        <f t="shared" si="12"/>
        <v>0</v>
      </c>
      <c r="U107" s="277">
        <f t="shared" si="12"/>
        <v>0</v>
      </c>
      <c r="V107" s="277">
        <f t="shared" si="12"/>
        <v>0</v>
      </c>
      <c r="W107" s="277">
        <f t="shared" si="12"/>
        <v>0</v>
      </c>
      <c r="X107" s="277">
        <f t="shared" si="12"/>
        <v>0</v>
      </c>
      <c r="Y107" s="277" t="str">
        <f t="shared" si="12"/>
        <v/>
      </c>
      <c r="Z107" s="277" t="str">
        <f t="shared" si="12"/>
        <v/>
      </c>
      <c r="AA107" s="277" t="str">
        <f t="shared" si="12"/>
        <v/>
      </c>
      <c r="AB107" s="277" t="str">
        <f t="shared" si="12"/>
        <v/>
      </c>
      <c r="AC107" s="277" t="str">
        <f t="shared" si="12"/>
        <v/>
      </c>
      <c r="AD107" s="277" t="str">
        <f t="shared" si="12"/>
        <v/>
      </c>
      <c r="AE107" s="277" t="str">
        <f t="shared" si="12"/>
        <v/>
      </c>
      <c r="AF107" s="277" t="str">
        <f t="shared" si="12"/>
        <v/>
      </c>
      <c r="AG107" s="277" t="str">
        <f t="shared" si="12"/>
        <v/>
      </c>
      <c r="AH107" s="277" t="str">
        <f t="shared" si="12"/>
        <v/>
      </c>
      <c r="AI107" s="277" t="str">
        <f t="shared" si="12"/>
        <v/>
      </c>
      <c r="AJ107" s="277" t="str">
        <f t="shared" si="12"/>
        <v/>
      </c>
      <c r="AK107" s="277" t="str">
        <f t="shared" si="12"/>
        <v/>
      </c>
      <c r="AL107" s="277" t="str">
        <f t="shared" si="12"/>
        <v/>
      </c>
      <c r="AM107" s="277" t="str">
        <f t="shared" si="12"/>
        <v/>
      </c>
      <c r="AN107" s="277" t="str">
        <f t="shared" si="12"/>
        <v/>
      </c>
      <c r="AO107" s="277" t="str">
        <f t="shared" si="12"/>
        <v/>
      </c>
      <c r="AP107" s="277" t="str">
        <f t="shared" si="12"/>
        <v/>
      </c>
      <c r="AQ107" s="277" t="str">
        <f t="shared" si="12"/>
        <v/>
      </c>
      <c r="AR107" s="276" t="str">
        <f t="shared" si="12"/>
        <v/>
      </c>
    </row>
    <row r="108" spans="10:44" ht="16.2" thickBot="1">
      <c r="J108" s="262"/>
      <c r="K108" s="262"/>
      <c r="L108" s="843"/>
      <c r="M108" s="275" t="s">
        <v>369</v>
      </c>
      <c r="N108" s="274"/>
      <c r="O108" s="273" t="str">
        <f t="shared" ref="O108:AR108" si="13">IF(SUM(O104:O107)=0,"",SUM(O104:O107))</f>
        <v/>
      </c>
      <c r="P108" s="273" t="str">
        <f t="shared" si="13"/>
        <v/>
      </c>
      <c r="Q108" s="273" t="str">
        <f t="shared" si="13"/>
        <v/>
      </c>
      <c r="R108" s="273" t="str">
        <f t="shared" si="13"/>
        <v/>
      </c>
      <c r="S108" s="273" t="str">
        <f t="shared" si="13"/>
        <v/>
      </c>
      <c r="T108" s="273" t="str">
        <f t="shared" si="13"/>
        <v/>
      </c>
      <c r="U108" s="273" t="str">
        <f t="shared" si="13"/>
        <v/>
      </c>
      <c r="V108" s="273" t="str">
        <f t="shared" si="13"/>
        <v/>
      </c>
      <c r="W108" s="273" t="str">
        <f t="shared" si="13"/>
        <v/>
      </c>
      <c r="X108" s="273" t="str">
        <f t="shared" si="13"/>
        <v/>
      </c>
      <c r="Y108" s="273" t="str">
        <f t="shared" si="13"/>
        <v/>
      </c>
      <c r="Z108" s="273" t="str">
        <f t="shared" si="13"/>
        <v/>
      </c>
      <c r="AA108" s="273" t="str">
        <f t="shared" si="13"/>
        <v/>
      </c>
      <c r="AB108" s="273" t="str">
        <f t="shared" si="13"/>
        <v/>
      </c>
      <c r="AC108" s="273" t="str">
        <f t="shared" si="13"/>
        <v/>
      </c>
      <c r="AD108" s="273" t="str">
        <f t="shared" si="13"/>
        <v/>
      </c>
      <c r="AE108" s="273" t="str">
        <f t="shared" si="13"/>
        <v/>
      </c>
      <c r="AF108" s="273" t="str">
        <f t="shared" si="13"/>
        <v/>
      </c>
      <c r="AG108" s="273" t="str">
        <f t="shared" si="13"/>
        <v/>
      </c>
      <c r="AH108" s="273" t="str">
        <f t="shared" si="13"/>
        <v/>
      </c>
      <c r="AI108" s="273" t="str">
        <f t="shared" si="13"/>
        <v/>
      </c>
      <c r="AJ108" s="273" t="str">
        <f t="shared" si="13"/>
        <v/>
      </c>
      <c r="AK108" s="273" t="str">
        <f t="shared" si="13"/>
        <v/>
      </c>
      <c r="AL108" s="273" t="str">
        <f t="shared" si="13"/>
        <v/>
      </c>
      <c r="AM108" s="273" t="str">
        <f t="shared" si="13"/>
        <v/>
      </c>
      <c r="AN108" s="273" t="str">
        <f t="shared" si="13"/>
        <v/>
      </c>
      <c r="AO108" s="273" t="str">
        <f t="shared" si="13"/>
        <v/>
      </c>
      <c r="AP108" s="273" t="str">
        <f t="shared" si="13"/>
        <v/>
      </c>
      <c r="AQ108" s="273" t="str">
        <f t="shared" si="13"/>
        <v/>
      </c>
      <c r="AR108" s="272" t="str">
        <f t="shared" si="13"/>
        <v/>
      </c>
    </row>
    <row r="109" spans="10:44" ht="16.2" thickBot="1">
      <c r="J109" s="262"/>
      <c r="K109" s="262"/>
      <c r="L109" s="830"/>
      <c r="M109" s="271" t="s">
        <v>370</v>
      </c>
      <c r="N109" s="270">
        <f>N102*Paramètres!$B$21</f>
        <v>0</v>
      </c>
      <c r="O109" s="269" t="str">
        <f>IF(N(O108)&gt;0,O108*Paramètres!$B$21,"")</f>
        <v/>
      </c>
      <c r="P109" s="269" t="str">
        <f>IF(N(P108)&gt;0,P108*Paramètres!$B$21,"")</f>
        <v/>
      </c>
      <c r="Q109" s="269" t="str">
        <f>IF(N(Q108)&gt;0,Q108*Paramètres!$B$21,"")</f>
        <v/>
      </c>
      <c r="R109" s="269" t="str">
        <f>IF(N(R108)&gt;0,R108*Paramètres!$B$21,"")</f>
        <v/>
      </c>
      <c r="S109" s="269" t="str">
        <f>IF(N(S108)&gt;0,S108*Paramètres!$B$21,"")</f>
        <v/>
      </c>
      <c r="T109" s="269" t="str">
        <f>IF(N(T108)&gt;0,T108*Paramètres!$B$21,"")</f>
        <v/>
      </c>
      <c r="U109" s="269" t="str">
        <f>IF(N(U108)&gt;0,U108*Paramètres!$B$21,"")</f>
        <v/>
      </c>
      <c r="V109" s="269" t="str">
        <f>IF(N(V108)&gt;0,V108*Paramètres!$B$21,"")</f>
        <v/>
      </c>
      <c r="W109" s="269" t="str">
        <f>IF(N(W108)&gt;0,W108*Paramètres!$B$21,"")</f>
        <v/>
      </c>
      <c r="X109" s="269" t="str">
        <f>IF(N(X108)&gt;0,X108*Paramètres!$B$21,"")</f>
        <v/>
      </c>
      <c r="Y109" s="269" t="str">
        <f>IF(N(Y108)&gt;0,Y108*Paramètres!$B$21,"")</f>
        <v/>
      </c>
      <c r="Z109" s="269" t="str">
        <f>IF(N(Z108)&gt;0,Z108*Paramètres!$B$21,"")</f>
        <v/>
      </c>
      <c r="AA109" s="269" t="str">
        <f>IF(N(AA108)&gt;0,AA108*Paramètres!$B$21,"")</f>
        <v/>
      </c>
      <c r="AB109" s="269" t="str">
        <f>IF(N(AB108)&gt;0,AB108*Paramètres!$B$21,"")</f>
        <v/>
      </c>
      <c r="AC109" s="269" t="str">
        <f>IF(N(AC108)&gt;0,AC108*Paramètres!$B$21,"")</f>
        <v/>
      </c>
      <c r="AD109" s="269" t="str">
        <f>IF(N(AD108)&gt;0,AD108*Paramètres!$B$21,"")</f>
        <v/>
      </c>
      <c r="AE109" s="269" t="str">
        <f>IF(N(AE108)&gt;0,AE108*Paramètres!$B$21,"")</f>
        <v/>
      </c>
      <c r="AF109" s="269" t="str">
        <f>IF(N(AF108)&gt;0,AF108*Paramètres!$B$21,"")</f>
        <v/>
      </c>
      <c r="AG109" s="269" t="str">
        <f>IF(N(AG108)&gt;0,AG108*Paramètres!$B$21,"")</f>
        <v/>
      </c>
      <c r="AH109" s="269" t="str">
        <f>IF(N(AH108)&gt;0,AH108*Paramètres!$B$21,"")</f>
        <v/>
      </c>
      <c r="AI109" s="269" t="str">
        <f>IF(N(AI108)&gt;0,AI108*Paramètres!$B$21,"")</f>
        <v/>
      </c>
      <c r="AJ109" s="269" t="str">
        <f>IF(N(AJ108)&gt;0,AJ108*Paramètres!$B$21,"")</f>
        <v/>
      </c>
      <c r="AK109" s="269" t="str">
        <f>IF(N(AK108)&gt;0,AK108*Paramètres!$B$21,"")</f>
        <v/>
      </c>
      <c r="AL109" s="269" t="str">
        <f>IF(N(AL108)&gt;0,AL108*Paramètres!$B$21,"")</f>
        <v/>
      </c>
      <c r="AM109" s="269" t="str">
        <f>IF(N(AM108)&gt;0,AM108*Paramètres!$B$21,"")</f>
        <v/>
      </c>
      <c r="AN109" s="269" t="str">
        <f>IF(N(AN108)&gt;0,AN108*Paramètres!$B$21,"")</f>
        <v/>
      </c>
      <c r="AO109" s="269" t="str">
        <f>IF(N(AO108)&gt;0,AO108*Paramètres!$B$21,"")</f>
        <v/>
      </c>
      <c r="AP109" s="269" t="str">
        <f>IF(N(AP108)&gt;0,AP108*Paramètres!$B$21,"")</f>
        <v/>
      </c>
      <c r="AQ109" s="269" t="str">
        <f>IF(N(AQ108)&gt;0,AQ108*Paramètres!$B$21,"")</f>
        <v/>
      </c>
      <c r="AR109" s="268" t="str">
        <f>IF(N(AR108)&gt;0,AR108*Paramètres!$B$21,"")</f>
        <v/>
      </c>
    </row>
    <row r="110" spans="10:44" ht="16.2" thickBot="1">
      <c r="J110" s="262"/>
      <c r="K110" s="262"/>
      <c r="L110" s="267" t="s">
        <v>361</v>
      </c>
      <c r="M110" s="266" t="s">
        <v>319</v>
      </c>
      <c r="N110" s="265" t="str">
        <f t="shared" ref="N110:AR110" si="14">IF(N100=$K$16,$M$59,"")</f>
        <v/>
      </c>
      <c r="O110" s="264" t="str">
        <f t="shared" si="14"/>
        <v/>
      </c>
      <c r="P110" s="264" t="str">
        <f t="shared" si="14"/>
        <v/>
      </c>
      <c r="Q110" s="264" t="str">
        <f t="shared" si="14"/>
        <v/>
      </c>
      <c r="R110" s="264" t="str">
        <f t="shared" si="14"/>
        <v/>
      </c>
      <c r="S110" s="264" t="str">
        <f t="shared" si="14"/>
        <v/>
      </c>
      <c r="T110" s="264" t="str">
        <f t="shared" si="14"/>
        <v/>
      </c>
      <c r="U110" s="264" t="str">
        <f t="shared" si="14"/>
        <v/>
      </c>
      <c r="V110" s="264" t="str">
        <f t="shared" si="14"/>
        <v/>
      </c>
      <c r="W110" s="264" t="str">
        <f t="shared" si="14"/>
        <v/>
      </c>
      <c r="X110" s="264" t="str">
        <f t="shared" si="14"/>
        <v/>
      </c>
      <c r="Y110" s="264" t="str">
        <f t="shared" si="14"/>
        <v/>
      </c>
      <c r="Z110" s="264" t="str">
        <f t="shared" si="14"/>
        <v/>
      </c>
      <c r="AA110" s="264" t="str">
        <f t="shared" si="14"/>
        <v/>
      </c>
      <c r="AB110" s="264" t="str">
        <f t="shared" si="14"/>
        <v/>
      </c>
      <c r="AC110" s="264">
        <f t="shared" si="14"/>
        <v>0</v>
      </c>
      <c r="AD110" s="264" t="str">
        <f t="shared" si="14"/>
        <v/>
      </c>
      <c r="AE110" s="264" t="str">
        <f t="shared" si="14"/>
        <v/>
      </c>
      <c r="AF110" s="264" t="str">
        <f t="shared" si="14"/>
        <v/>
      </c>
      <c r="AG110" s="264" t="str">
        <f t="shared" si="14"/>
        <v/>
      </c>
      <c r="AH110" s="264" t="str">
        <f t="shared" si="14"/>
        <v/>
      </c>
      <c r="AI110" s="264" t="str">
        <f t="shared" si="14"/>
        <v/>
      </c>
      <c r="AJ110" s="264" t="str">
        <f t="shared" si="14"/>
        <v/>
      </c>
      <c r="AK110" s="264" t="str">
        <f t="shared" si="14"/>
        <v/>
      </c>
      <c r="AL110" s="264" t="str">
        <f t="shared" si="14"/>
        <v/>
      </c>
      <c r="AM110" s="264" t="str">
        <f t="shared" si="14"/>
        <v/>
      </c>
      <c r="AN110" s="264" t="str">
        <f t="shared" si="14"/>
        <v/>
      </c>
      <c r="AO110" s="264" t="str">
        <f t="shared" si="14"/>
        <v/>
      </c>
      <c r="AP110" s="264" t="str">
        <f t="shared" si="14"/>
        <v/>
      </c>
      <c r="AQ110" s="264" t="str">
        <f t="shared" si="14"/>
        <v/>
      </c>
      <c r="AR110" s="263" t="str">
        <f t="shared" si="14"/>
        <v/>
      </c>
    </row>
    <row r="111" spans="10:44" ht="16.2" thickBot="1">
      <c r="J111" s="262"/>
      <c r="K111" s="262"/>
      <c r="L111" s="841" t="s">
        <v>362</v>
      </c>
      <c r="M111" s="844"/>
      <c r="N111" s="260" t="str">
        <f>IF((SUM(N101:N103)-N109)=0,"",(SUM(N101:N103))-N109)</f>
        <v/>
      </c>
      <c r="O111" s="259" t="str">
        <f t="shared" ref="O111:AR111" si="15">IF(SUM(N(O104)+N(O105)-N(O109)+N(O110))=0,"",SUM(N(O104)+N(O105)-N(O109)+N(O110)))</f>
        <v/>
      </c>
      <c r="P111" s="259" t="str">
        <f t="shared" si="15"/>
        <v/>
      </c>
      <c r="Q111" s="259" t="str">
        <f t="shared" si="15"/>
        <v/>
      </c>
      <c r="R111" s="259" t="str">
        <f t="shared" si="15"/>
        <v/>
      </c>
      <c r="S111" s="259" t="str">
        <f t="shared" si="15"/>
        <v/>
      </c>
      <c r="T111" s="259" t="str">
        <f t="shared" si="15"/>
        <v/>
      </c>
      <c r="U111" s="259" t="str">
        <f t="shared" si="15"/>
        <v/>
      </c>
      <c r="V111" s="259" t="str">
        <f t="shared" si="15"/>
        <v/>
      </c>
      <c r="W111" s="259" t="str">
        <f t="shared" si="15"/>
        <v/>
      </c>
      <c r="X111" s="259" t="str">
        <f t="shared" si="15"/>
        <v/>
      </c>
      <c r="Y111" s="259" t="str">
        <f t="shared" si="15"/>
        <v/>
      </c>
      <c r="Z111" s="259" t="str">
        <f t="shared" si="15"/>
        <v/>
      </c>
      <c r="AA111" s="259" t="str">
        <f t="shared" si="15"/>
        <v/>
      </c>
      <c r="AB111" s="259" t="str">
        <f t="shared" si="15"/>
        <v/>
      </c>
      <c r="AC111" s="259" t="str">
        <f t="shared" si="15"/>
        <v/>
      </c>
      <c r="AD111" s="259" t="str">
        <f t="shared" si="15"/>
        <v/>
      </c>
      <c r="AE111" s="259" t="str">
        <f t="shared" si="15"/>
        <v/>
      </c>
      <c r="AF111" s="259" t="str">
        <f t="shared" si="15"/>
        <v/>
      </c>
      <c r="AG111" s="259" t="str">
        <f t="shared" si="15"/>
        <v/>
      </c>
      <c r="AH111" s="259" t="str">
        <f t="shared" si="15"/>
        <v/>
      </c>
      <c r="AI111" s="259" t="str">
        <f t="shared" si="15"/>
        <v/>
      </c>
      <c r="AJ111" s="259" t="str">
        <f t="shared" si="15"/>
        <v/>
      </c>
      <c r="AK111" s="259" t="str">
        <f t="shared" si="15"/>
        <v/>
      </c>
      <c r="AL111" s="259" t="str">
        <f t="shared" si="15"/>
        <v/>
      </c>
      <c r="AM111" s="259" t="str">
        <f t="shared" si="15"/>
        <v/>
      </c>
      <c r="AN111" s="259" t="str">
        <f t="shared" si="15"/>
        <v/>
      </c>
      <c r="AO111" s="259" t="str">
        <f t="shared" si="15"/>
        <v/>
      </c>
      <c r="AP111" s="259" t="str">
        <f t="shared" si="15"/>
        <v/>
      </c>
      <c r="AQ111" s="259" t="str">
        <f t="shared" si="15"/>
        <v/>
      </c>
      <c r="AR111" s="258" t="str">
        <f t="shared" si="15"/>
        <v/>
      </c>
    </row>
    <row r="112" spans="10:44" ht="13.8" thickBot="1">
      <c r="J112" s="250"/>
      <c r="K112" s="250"/>
      <c r="L112" s="841" t="s">
        <v>363</v>
      </c>
      <c r="M112" s="844"/>
      <c r="N112" s="260" t="str">
        <f>IF(N111="","",((N111)/(1+Paramètres!$B$19)^N100))</f>
        <v/>
      </c>
      <c r="O112" s="259" t="str">
        <f>IF(O111="","",((O111)/(1+Paramètres!$B$19)^O100))</f>
        <v/>
      </c>
      <c r="P112" s="259" t="str">
        <f>IF(P111="","",((P111)/(1+Paramètres!$B$19)^P100))</f>
        <v/>
      </c>
      <c r="Q112" s="259" t="str">
        <f>IF(Q111="","",((Q111)/(1+Paramètres!$B$19)^Q100))</f>
        <v/>
      </c>
      <c r="R112" s="259" t="str">
        <f>IF(R111="","",((R111)/(1+Paramètres!$B$19)^R100))</f>
        <v/>
      </c>
      <c r="S112" s="259" t="str">
        <f>IF(S111="","",((S111)/(1+Paramètres!$B$19)^S100))</f>
        <v/>
      </c>
      <c r="T112" s="259" t="str">
        <f>IF(T111="","",((T111)/(1+Paramètres!$B$19)^T100))</f>
        <v/>
      </c>
      <c r="U112" s="259" t="str">
        <f>IF(U111="","",((U111)/(1+Paramètres!$B$19)^U100))</f>
        <v/>
      </c>
      <c r="V112" s="259" t="str">
        <f>IF(V111="","",((V111)/(1+Paramètres!$B$19)^V100))</f>
        <v/>
      </c>
      <c r="W112" s="259" t="str">
        <f>IF(W111="","",((W111)/(1+Paramètres!$B$19)^W100))</f>
        <v/>
      </c>
      <c r="X112" s="259" t="str">
        <f>IF(X111="","",((X111)/(1+Paramètres!$B$19)^X100))</f>
        <v/>
      </c>
      <c r="Y112" s="259" t="str">
        <f>IF(Y111="","",((Y111)/(1+Paramètres!$B$19)^Y100))</f>
        <v/>
      </c>
      <c r="Z112" s="259" t="str">
        <f>IF(Z111="","",((Z111)/(1+Paramètres!$B$19)^Z100))</f>
        <v/>
      </c>
      <c r="AA112" s="259" t="str">
        <f>IF(AA111="","",((AA111)/(1+Paramètres!$B$19)^AA100))</f>
        <v/>
      </c>
      <c r="AB112" s="259" t="str">
        <f>IF(AB111="","",((AB111)/(1+Paramètres!$B$19)^AB100))</f>
        <v/>
      </c>
      <c r="AC112" s="259" t="str">
        <f>IF(AC111="","",((AC111)/(1+Paramètres!$B$19)^AC100))</f>
        <v/>
      </c>
      <c r="AD112" s="259" t="str">
        <f>IF(AD111="","",((AD111)/(1+Paramètres!$B$19)^AD100))</f>
        <v/>
      </c>
      <c r="AE112" s="259" t="str">
        <f>IF(AE111="","",((AE111)/(1+Paramètres!$B$19)^AE100))</f>
        <v/>
      </c>
      <c r="AF112" s="259" t="str">
        <f>IF(AF111="","",((AF111)/(1+Paramètres!$B$19)^AF100))</f>
        <v/>
      </c>
      <c r="AG112" s="259" t="str">
        <f>IF(AG111="","",((AG111)/(1+Paramètres!$B$19)^AG100))</f>
        <v/>
      </c>
      <c r="AH112" s="259" t="str">
        <f>IF(AH111="","",((AH111)/(1+Paramètres!$B$19)^AH100))</f>
        <v/>
      </c>
      <c r="AI112" s="259" t="str">
        <f>IF(AI111="","",((AI111)/(1+Paramètres!$B$19)^AI100))</f>
        <v/>
      </c>
      <c r="AJ112" s="259" t="str">
        <f>IF(AJ111="","",((AJ111)/(1+Paramètres!$B$19)^AJ100))</f>
        <v/>
      </c>
      <c r="AK112" s="259" t="str">
        <f>IF(AK111="","",((AK111)/(1+Paramètres!$B$19)^AK100))</f>
        <v/>
      </c>
      <c r="AL112" s="259" t="str">
        <f>IF(AL111="","",((AL111)/(1+Paramètres!$B$19)^AL100))</f>
        <v/>
      </c>
      <c r="AM112" s="259" t="str">
        <f>IF(AM111="","",((AM111)/(1+Paramètres!$B$19)^AM100))</f>
        <v/>
      </c>
      <c r="AN112" s="259" t="str">
        <f>IF(AN111="","",((AN111)/(1+Paramètres!$B$19)^AN100))</f>
        <v/>
      </c>
      <c r="AO112" s="259" t="str">
        <f>IF(AO111="","",((AO111)/(1+Paramètres!$B$19)^AO100))</f>
        <v/>
      </c>
      <c r="AP112" s="259" t="str">
        <f>IF(AP111="","",((AP111)/(1+Paramètres!$B$19)^AP100))</f>
        <v/>
      </c>
      <c r="AQ112" s="259" t="str">
        <f>IF(AQ111="","",((AQ111)/(1+Paramètres!$B$19)^AQ100))</f>
        <v/>
      </c>
      <c r="AR112" s="258" t="str">
        <f>IF(AR111="","",((AR111)/(1+Paramètres!$B$19)^AR100))</f>
        <v/>
      </c>
    </row>
    <row r="113" spans="10:44" ht="13.8" thickBot="1">
      <c r="J113" s="250"/>
      <c r="K113" s="250"/>
      <c r="L113" s="841" t="s">
        <v>364</v>
      </c>
      <c r="M113" s="844"/>
      <c r="N113" s="257" t="str">
        <f>N112</f>
        <v/>
      </c>
      <c r="O113" s="256" t="str">
        <f t="shared" ref="O113:AR113" si="16">IF(O112="","",((N113+O90)))</f>
        <v/>
      </c>
      <c r="P113" s="256" t="str">
        <f t="shared" si="16"/>
        <v/>
      </c>
      <c r="Q113" s="256" t="str">
        <f t="shared" si="16"/>
        <v/>
      </c>
      <c r="R113" s="256" t="str">
        <f t="shared" si="16"/>
        <v/>
      </c>
      <c r="S113" s="256" t="str">
        <f t="shared" si="16"/>
        <v/>
      </c>
      <c r="T113" s="256" t="str">
        <f t="shared" si="16"/>
        <v/>
      </c>
      <c r="U113" s="256" t="str">
        <f t="shared" si="16"/>
        <v/>
      </c>
      <c r="V113" s="256" t="str">
        <f t="shared" si="16"/>
        <v/>
      </c>
      <c r="W113" s="256" t="str">
        <f t="shared" si="16"/>
        <v/>
      </c>
      <c r="X113" s="256" t="str">
        <f t="shared" si="16"/>
        <v/>
      </c>
      <c r="Y113" s="256" t="str">
        <f t="shared" si="16"/>
        <v/>
      </c>
      <c r="Z113" s="256" t="str">
        <f t="shared" si="16"/>
        <v/>
      </c>
      <c r="AA113" s="256" t="str">
        <f t="shared" si="16"/>
        <v/>
      </c>
      <c r="AB113" s="256" t="str">
        <f t="shared" si="16"/>
        <v/>
      </c>
      <c r="AC113" s="256" t="str">
        <f t="shared" si="16"/>
        <v/>
      </c>
      <c r="AD113" s="256" t="str">
        <f t="shared" si="16"/>
        <v/>
      </c>
      <c r="AE113" s="256" t="str">
        <f t="shared" si="16"/>
        <v/>
      </c>
      <c r="AF113" s="256" t="str">
        <f t="shared" si="16"/>
        <v/>
      </c>
      <c r="AG113" s="256" t="str">
        <f t="shared" si="16"/>
        <v/>
      </c>
      <c r="AH113" s="256" t="str">
        <f t="shared" si="16"/>
        <v/>
      </c>
      <c r="AI113" s="256" t="str">
        <f t="shared" si="16"/>
        <v/>
      </c>
      <c r="AJ113" s="256" t="str">
        <f t="shared" si="16"/>
        <v/>
      </c>
      <c r="AK113" s="256" t="str">
        <f t="shared" si="16"/>
        <v/>
      </c>
      <c r="AL113" s="256" t="str">
        <f t="shared" si="16"/>
        <v/>
      </c>
      <c r="AM113" s="256" t="str">
        <f t="shared" si="16"/>
        <v/>
      </c>
      <c r="AN113" s="256" t="str">
        <f t="shared" si="16"/>
        <v/>
      </c>
      <c r="AO113" s="256" t="str">
        <f t="shared" si="16"/>
        <v/>
      </c>
      <c r="AP113" s="256" t="str">
        <f t="shared" si="16"/>
        <v/>
      </c>
      <c r="AQ113" s="256" t="str">
        <f t="shared" si="16"/>
        <v/>
      </c>
      <c r="AR113" s="255" t="str">
        <f t="shared" si="16"/>
        <v/>
      </c>
    </row>
    <row r="114" spans="10:44" ht="13.8" thickBot="1"/>
    <row r="115" spans="10:44">
      <c r="L115" s="254" t="s">
        <v>225</v>
      </c>
      <c r="M115" s="253" t="str">
        <f>IFERROR(IRR(N111:AR111), "PROJET NON RENTABLE")</f>
        <v>PROJET NON RENTABLE</v>
      </c>
    </row>
    <row r="116" spans="10:44" ht="13.8" thickBot="1">
      <c r="L116" s="252" t="s">
        <v>224</v>
      </c>
      <c r="M116" s="412" cm="1">
        <f t="array" ref="M116">IFERROR(INDEX(N100:AR100,MATCH(TRUE,N113:AR113&gt;0,0)),"PROJET NON RENTABLE")</f>
        <v>0</v>
      </c>
    </row>
  </sheetData>
  <mergeCells count="63">
    <mergeCell ref="L103:L104"/>
    <mergeCell ref="L106:L109"/>
    <mergeCell ref="L111:M111"/>
    <mergeCell ref="L112:M112"/>
    <mergeCell ref="L113:M113"/>
    <mergeCell ref="L101:L102"/>
    <mergeCell ref="N79:AR79"/>
    <mergeCell ref="B80:H80"/>
    <mergeCell ref="E81:F81"/>
    <mergeCell ref="L81:L82"/>
    <mergeCell ref="L83:L85"/>
    <mergeCell ref="B87:F87"/>
    <mergeCell ref="L89:M89"/>
    <mergeCell ref="L90:M90"/>
    <mergeCell ref="L91:M91"/>
    <mergeCell ref="J97:AR97"/>
    <mergeCell ref="N99:AR99"/>
    <mergeCell ref="K67:K72"/>
    <mergeCell ref="B70:H70"/>
    <mergeCell ref="E71:F71"/>
    <mergeCell ref="B77:F77"/>
    <mergeCell ref="J77:AR77"/>
    <mergeCell ref="B58:E58"/>
    <mergeCell ref="B59:F59"/>
    <mergeCell ref="B60:F60"/>
    <mergeCell ref="B61:F61"/>
    <mergeCell ref="J61:J72"/>
    <mergeCell ref="B67:F67"/>
    <mergeCell ref="K62:K63"/>
    <mergeCell ref="B64:F64"/>
    <mergeCell ref="K64:K65"/>
    <mergeCell ref="B65:F65"/>
    <mergeCell ref="B66:F66"/>
    <mergeCell ref="N48:O48"/>
    <mergeCell ref="J51:Q51"/>
    <mergeCell ref="J54:N54"/>
    <mergeCell ref="J55:J59"/>
    <mergeCell ref="K55:K56"/>
    <mergeCell ref="K57:K58"/>
    <mergeCell ref="N47:O47"/>
    <mergeCell ref="B21:H21"/>
    <mergeCell ref="J26:Q26"/>
    <mergeCell ref="C31:F31"/>
    <mergeCell ref="N31:O31"/>
    <mergeCell ref="C33:F33"/>
    <mergeCell ref="N33:O33"/>
    <mergeCell ref="C35:F35"/>
    <mergeCell ref="N35:O35"/>
    <mergeCell ref="O37:O45"/>
    <mergeCell ref="B42:H42"/>
    <mergeCell ref="B46:H46"/>
    <mergeCell ref="B17:H17"/>
    <mergeCell ref="B1:H1"/>
    <mergeCell ref="B2:H2"/>
    <mergeCell ref="J2:AR2"/>
    <mergeCell ref="B3:H3"/>
    <mergeCell ref="F5:G5"/>
    <mergeCell ref="L6:M6"/>
    <mergeCell ref="L7:M7"/>
    <mergeCell ref="J8:K8"/>
    <mergeCell ref="M8:N8"/>
    <mergeCell ref="B9:H9"/>
    <mergeCell ref="B13:C13"/>
  </mergeCells>
  <dataValidations count="5">
    <dataValidation type="list" allowBlank="1" showInputMessage="1" showErrorMessage="1" sqref="C37" xr:uid="{0F5707F2-F4AA-4009-BEC1-7911DB295700}">
      <formula1>"2030,2040,2050"</formula1>
    </dataValidation>
    <dataValidation type="list" allowBlank="1" showInputMessage="1" showErrorMessage="1" sqref="K22:K23" xr:uid="{D8E5B9F6-E049-4108-95DA-83381637F25D}">
      <formula1>"OUI,NON"</formula1>
    </dataValidation>
    <dataValidation type="list" allowBlank="1" showInputMessage="1" showErrorMessage="1" sqref="K24" xr:uid="{5B9C5140-6AE4-4727-9DEB-CA05D4198A83}">
      <formula1>"Oui,Non"</formula1>
    </dataValidation>
    <dataValidation type="list" showInputMessage="1" showErrorMessage="1" sqref="K10:K14" xr:uid="{142BCD56-BE74-454A-BB89-508A79B9C74E}">
      <formula1>Poste</formula1>
    </dataValidation>
    <dataValidation type="list" showInputMessage="1" showErrorMessage="1" sqref="K15" xr:uid="{BED677E1-9E7D-40A5-9B72-FD2CA12AF5C3}">
      <formula1>"Tertiaire Public,Tertiaire Privé,Industrie"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1200" r:id="rId1"/>
  <headerFooter alignWithMargins="0">
    <oddHeader>&amp;C&amp;"Arial,Gras"&amp;14ECONOTEC / 3J-CONSULT</oddHeader>
    <oddFooter>&amp;L&amp;F&amp;R&amp;A</oddFooter>
  </headerFooter>
  <rowBreaks count="1" manualBreakCount="1">
    <brk id="67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4694F64-4634-4EEA-8BC2-4E04B3E41343}">
          <x14:formula1>
            <xm:f>Paramètres!$C$57:$C$60</xm:f>
          </x14:formula1>
          <xm:sqref>F27</xm:sqref>
        </x14:dataValidation>
        <x14:dataValidation type="list" allowBlank="1" showInputMessage="1" showErrorMessage="1" xr:uid="{0E01E4F7-0C7B-4DB3-A541-ADDE78498D98}">
          <x14:formula1>
            <xm:f>Paramètres!$A$57:$A$83</xm:f>
          </x14:formula1>
          <xm:sqref>B13:B14</xm:sqref>
        </x14:dataValidation>
        <x14:dataValidation type="list" allowBlank="1" showInputMessage="1" showErrorMessage="1" xr:uid="{8364880C-864E-4957-A865-6E28B3EFED94}">
          <x14:formula1>
            <xm:f>Paramètres!$B$57:$B$82</xm:f>
          </x14:formula1>
          <xm:sqref>C31:F31 C35:F35 C33:F33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04390-9744-4FD5-A8EB-5DF4A4DD71B8}">
  <dimension ref="B1:AR116"/>
  <sheetViews>
    <sheetView zoomScaleNormal="100" workbookViewId="0">
      <selection activeCell="F7" sqref="F7"/>
    </sheetView>
  </sheetViews>
  <sheetFormatPr baseColWidth="10" defaultColWidth="11.44140625" defaultRowHeight="13.2"/>
  <cols>
    <col min="1" max="1" width="1.88671875" customWidth="1"/>
    <col min="2" max="2" width="16.88671875" customWidth="1"/>
    <col min="6" max="6" width="14" bestFit="1" customWidth="1"/>
    <col min="7" max="7" width="11.88671875" customWidth="1"/>
    <col min="8" max="8" width="12.6640625" bestFit="1" customWidth="1"/>
    <col min="10" max="10" width="49" bestFit="1" customWidth="1"/>
    <col min="11" max="11" width="31.109375" bestFit="1" customWidth="1"/>
    <col min="12" max="12" width="41.44140625" bestFit="1" customWidth="1"/>
    <col min="13" max="13" width="35.5546875" bestFit="1" customWidth="1"/>
    <col min="14" max="14" width="10.109375" bestFit="1" customWidth="1"/>
    <col min="15" max="15" width="9.6640625" bestFit="1" customWidth="1"/>
    <col min="16" max="18" width="5" bestFit="1" customWidth="1"/>
    <col min="19" max="29" width="5.33203125" bestFit="1" customWidth="1"/>
    <col min="30" max="44" width="2.88671875" bestFit="1" customWidth="1"/>
  </cols>
  <sheetData>
    <row r="1" spans="2:44" ht="21">
      <c r="B1" s="772" t="str">
        <f>Entête!C15</f>
        <v>NOM DE L'ENTITE</v>
      </c>
      <c r="C1" s="773"/>
      <c r="D1" s="773"/>
      <c r="E1" s="773"/>
      <c r="F1" s="773"/>
      <c r="G1" s="773"/>
      <c r="H1" s="774"/>
      <c r="J1" s="250"/>
      <c r="K1" s="250"/>
      <c r="L1" s="250"/>
      <c r="M1" s="251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</row>
    <row r="2" spans="2:44" ht="21">
      <c r="B2" s="775"/>
      <c r="C2" s="776"/>
      <c r="D2" s="776"/>
      <c r="E2" s="776"/>
      <c r="F2" s="776"/>
      <c r="G2" s="776"/>
      <c r="H2" s="777"/>
      <c r="J2" s="778" t="s">
        <v>260</v>
      </c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79"/>
      <c r="AP2" s="779"/>
      <c r="AQ2" s="779"/>
      <c r="AR2" s="779"/>
    </row>
    <row r="3" spans="2:44" ht="16.2" thickBot="1">
      <c r="B3" s="780" t="s">
        <v>261</v>
      </c>
      <c r="C3" s="781"/>
      <c r="D3" s="781"/>
      <c r="E3" s="781"/>
      <c r="F3" s="781"/>
      <c r="G3" s="781"/>
      <c r="H3" s="782"/>
      <c r="J3" s="375"/>
      <c r="K3" s="375"/>
      <c r="L3" s="375"/>
      <c r="M3" s="416"/>
      <c r="N3" s="375"/>
      <c r="O3" s="375"/>
      <c r="P3" s="375"/>
      <c r="Q3" s="375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</row>
    <row r="4" spans="2:44">
      <c r="J4" s="375"/>
      <c r="K4" s="375"/>
      <c r="L4" s="375"/>
      <c r="M4" s="375"/>
      <c r="N4" s="375"/>
      <c r="O4" s="375"/>
      <c r="P4" s="375"/>
      <c r="Q4" s="375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</row>
    <row r="5" spans="2:44" ht="16.2" thickBot="1">
      <c r="B5" s="198" t="s">
        <v>262</v>
      </c>
      <c r="F5" s="783" t="s">
        <v>395</v>
      </c>
      <c r="G5" s="784"/>
      <c r="J5" s="375"/>
      <c r="K5" s="375"/>
      <c r="L5" s="375"/>
      <c r="M5" s="417"/>
      <c r="N5" s="375"/>
      <c r="O5" s="375"/>
      <c r="P5" s="375"/>
      <c r="Q5" s="375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</row>
    <row r="6" spans="2:44" ht="16.2" thickBot="1">
      <c r="B6" s="198"/>
      <c r="G6" s="199"/>
      <c r="J6" s="376" t="s">
        <v>264</v>
      </c>
      <c r="K6" s="389"/>
      <c r="L6" s="785"/>
      <c r="M6" s="785"/>
      <c r="N6" s="387"/>
      <c r="O6" s="387"/>
      <c r="P6" s="387"/>
      <c r="Q6" s="387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4"/>
      <c r="AE6" s="414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</row>
    <row r="7" spans="2:44" ht="16.2" thickBot="1">
      <c r="B7" s="198" t="s">
        <v>265</v>
      </c>
      <c r="J7" s="388"/>
      <c r="K7" s="387"/>
      <c r="L7" s="785"/>
      <c r="M7" s="785"/>
      <c r="N7" s="387"/>
      <c r="O7" s="387"/>
      <c r="P7" s="387"/>
      <c r="Q7" s="387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4"/>
      <c r="AE7" s="414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</row>
    <row r="8" spans="2:44" ht="16.2" thickBot="1">
      <c r="J8" s="786" t="s">
        <v>266</v>
      </c>
      <c r="K8" s="787"/>
      <c r="L8" s="374"/>
      <c r="M8" s="786" t="s">
        <v>267</v>
      </c>
      <c r="N8" s="787"/>
      <c r="O8" s="374"/>
      <c r="P8" s="374"/>
      <c r="Q8" s="374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</row>
    <row r="9" spans="2:44" ht="16.2" thickBot="1">
      <c r="B9" s="788"/>
      <c r="C9" s="789"/>
      <c r="D9" s="789"/>
      <c r="E9" s="789"/>
      <c r="F9" s="789"/>
      <c r="G9" s="789"/>
      <c r="H9" s="790"/>
      <c r="J9" s="262"/>
      <c r="K9" s="262"/>
      <c r="L9" s="262"/>
      <c r="M9" s="262"/>
      <c r="N9" s="262"/>
      <c r="O9" s="262"/>
      <c r="P9" s="262"/>
      <c r="Q9" s="262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</row>
    <row r="10" spans="2:44" ht="16.2" thickBot="1">
      <c r="J10" s="378" t="s">
        <v>268</v>
      </c>
      <c r="K10" s="376" t="s">
        <v>55</v>
      </c>
      <c r="L10" s="262"/>
      <c r="M10" s="386" t="s">
        <v>269</v>
      </c>
      <c r="N10" s="385" t="str">
        <f>M93</f>
        <v>PROJET NON RENTABLE</v>
      </c>
      <c r="O10" s="262"/>
      <c r="P10" s="262"/>
      <c r="Q10" s="262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</row>
    <row r="11" spans="2:44" ht="15.6">
      <c r="B11" s="198" t="s">
        <v>191</v>
      </c>
      <c r="J11" s="262"/>
      <c r="K11" s="621"/>
      <c r="L11" s="262"/>
      <c r="M11" s="622"/>
      <c r="N11" s="623"/>
      <c r="O11" s="262"/>
      <c r="P11" s="262"/>
      <c r="Q11" s="262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</row>
    <row r="12" spans="2:44" ht="15.6">
      <c r="B12" s="635" t="s">
        <v>270</v>
      </c>
      <c r="J12" s="262"/>
      <c r="K12" s="621"/>
      <c r="L12" s="262"/>
      <c r="M12" s="622"/>
      <c r="N12" s="623"/>
      <c r="O12" s="262"/>
      <c r="P12" s="262"/>
      <c r="Q12" s="262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2:44" ht="24.9" customHeight="1">
      <c r="B13" s="788"/>
      <c r="C13" s="790"/>
      <c r="J13" s="262"/>
      <c r="K13" s="621"/>
      <c r="L13" s="262"/>
      <c r="M13" s="622"/>
      <c r="N13" s="623"/>
      <c r="O13" s="262"/>
      <c r="P13" s="262"/>
      <c r="Q13" s="262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</row>
    <row r="14" spans="2:44" ht="15.6">
      <c r="B14" s="199"/>
      <c r="J14" s="262"/>
      <c r="K14" s="621"/>
      <c r="L14" s="262"/>
      <c r="M14" s="622"/>
      <c r="N14" s="623"/>
      <c r="O14" s="262"/>
      <c r="P14" s="262"/>
      <c r="Q14" s="262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</row>
    <row r="15" spans="2:44" ht="16.2" thickBot="1">
      <c r="B15" s="198" t="s">
        <v>271</v>
      </c>
      <c r="J15" s="262"/>
      <c r="K15" s="262"/>
      <c r="L15" s="262"/>
      <c r="M15" s="384" t="s">
        <v>272</v>
      </c>
      <c r="N15" s="383">
        <f>M94</f>
        <v>0</v>
      </c>
      <c r="O15" s="262"/>
      <c r="P15" s="262"/>
      <c r="Q15" s="262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</row>
    <row r="16" spans="2:44" ht="16.2" thickBot="1">
      <c r="J16" s="378" t="s">
        <v>51</v>
      </c>
      <c r="K16" s="381">
        <f>VLOOKUP(K10,Paramètres!A27:C29,3)</f>
        <v>15</v>
      </c>
      <c r="L16" s="375"/>
      <c r="M16" s="310"/>
      <c r="N16" s="310"/>
      <c r="O16" s="262"/>
      <c r="P16" s="262"/>
      <c r="Q16" s="262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</row>
    <row r="17" spans="2:44" ht="29.25" customHeight="1" thickBot="1">
      <c r="B17" s="769"/>
      <c r="C17" s="770"/>
      <c r="D17" s="770"/>
      <c r="E17" s="770"/>
      <c r="F17" s="770"/>
      <c r="G17" s="770"/>
      <c r="H17" s="771"/>
      <c r="J17" s="262"/>
      <c r="K17" s="262"/>
      <c r="L17" s="375"/>
      <c r="M17" s="300" t="s">
        <v>273</v>
      </c>
      <c r="N17" s="382" t="str">
        <f>M115</f>
        <v>PROJET NON RENTABLE</v>
      </c>
      <c r="O17" s="262"/>
      <c r="P17" s="262"/>
      <c r="Q17" s="262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</row>
    <row r="18" spans="2:44" ht="16.2" thickBot="1">
      <c r="J18" s="378" t="s">
        <v>274</v>
      </c>
      <c r="K18" s="381">
        <f>VLOOKUP(K10,Paramètres!A27:D29,4)</f>
        <v>8</v>
      </c>
      <c r="L18" s="262"/>
      <c r="M18" s="311" t="s">
        <v>275</v>
      </c>
      <c r="N18" s="380">
        <f>M116</f>
        <v>0</v>
      </c>
      <c r="O18" s="262"/>
      <c r="P18" s="262"/>
      <c r="Q18" s="262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</row>
    <row r="19" spans="2:44" ht="16.2" thickBot="1">
      <c r="B19" s="198" t="s">
        <v>276</v>
      </c>
      <c r="J19" s="262"/>
      <c r="K19" s="262"/>
      <c r="L19" s="262"/>
      <c r="M19" s="375"/>
      <c r="N19" s="375"/>
      <c r="O19" s="262"/>
      <c r="P19" s="262"/>
      <c r="Q19" s="262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</row>
    <row r="20" spans="2:44" ht="16.2" thickBot="1">
      <c r="J20" s="377" t="s">
        <v>277</v>
      </c>
      <c r="K20" s="379">
        <v>10</v>
      </c>
      <c r="L20" s="262"/>
      <c r="M20" s="262"/>
      <c r="N20" s="418"/>
      <c r="O20" s="262"/>
      <c r="P20" s="262"/>
      <c r="Q20" s="262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</row>
    <row r="21" spans="2:44" ht="16.2" thickBot="1">
      <c r="B21" s="769"/>
      <c r="C21" s="770"/>
      <c r="D21" s="770"/>
      <c r="E21" s="770"/>
      <c r="F21" s="770"/>
      <c r="G21" s="770"/>
      <c r="H21" s="771"/>
      <c r="J21" s="374"/>
      <c r="K21" s="262"/>
      <c r="L21" s="262"/>
      <c r="M21" s="262"/>
      <c r="N21" s="418"/>
      <c r="O21" s="262"/>
      <c r="P21" s="262"/>
      <c r="Q21" s="262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</row>
    <row r="22" spans="2:44" ht="16.2" thickBot="1">
      <c r="J22" s="378" t="s">
        <v>278</v>
      </c>
      <c r="K22" s="376" t="s">
        <v>279</v>
      </c>
      <c r="L22" s="262"/>
      <c r="M22" s="262"/>
      <c r="N22" s="262"/>
      <c r="O22" s="262"/>
      <c r="P22" s="262"/>
      <c r="Q22" s="262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</row>
    <row r="23" spans="2:44" ht="16.2" thickBot="1">
      <c r="B23" s="198" t="s">
        <v>280</v>
      </c>
      <c r="F23" s="421">
        <f>C50*Paramètres!C13+C51*Paramètres!D13</f>
        <v>0</v>
      </c>
      <c r="G23" s="145"/>
      <c r="J23" s="377" t="s">
        <v>281</v>
      </c>
      <c r="K23" s="376" t="s">
        <v>282</v>
      </c>
      <c r="L23" s="262"/>
      <c r="M23" s="262"/>
      <c r="N23" s="262"/>
      <c r="O23" s="262"/>
      <c r="P23" s="262"/>
      <c r="Q23" s="262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</row>
    <row r="24" spans="2:44" ht="15.6">
      <c r="J24" s="262"/>
      <c r="K24" s="262"/>
      <c r="L24" s="262"/>
      <c r="M24" s="262"/>
      <c r="N24" s="262"/>
      <c r="O24" s="262"/>
      <c r="P24" s="262"/>
      <c r="Q24" s="262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</row>
    <row r="25" spans="2:44" ht="16.2" thickBot="1">
      <c r="B25" s="198" t="s">
        <v>283</v>
      </c>
      <c r="F25" s="421">
        <f>+G61*1000</f>
        <v>0</v>
      </c>
      <c r="J25" s="374"/>
      <c r="K25" s="262"/>
      <c r="L25" s="262"/>
      <c r="M25" s="262"/>
      <c r="N25" s="262"/>
      <c r="O25" s="262"/>
      <c r="P25" s="302"/>
      <c r="Q25" s="302"/>
      <c r="R25" s="302"/>
      <c r="S25" s="302"/>
      <c r="T25" s="302"/>
      <c r="U25" s="302"/>
      <c r="V25" s="302"/>
      <c r="W25" s="302"/>
      <c r="X25" s="302"/>
      <c r="Y25" s="321"/>
      <c r="Z25" s="321"/>
      <c r="AA25" s="321"/>
      <c r="AB25" s="321"/>
      <c r="AC25" s="321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</row>
    <row r="26" spans="2:44" ht="16.2" thickBot="1">
      <c r="J26" s="786" t="s">
        <v>284</v>
      </c>
      <c r="K26" s="793"/>
      <c r="L26" s="793"/>
      <c r="M26" s="793"/>
      <c r="N26" s="793"/>
      <c r="O26" s="793"/>
      <c r="P26" s="793"/>
      <c r="Q26" s="787"/>
      <c r="R26" s="302"/>
      <c r="S26" s="302"/>
      <c r="T26" s="302"/>
      <c r="U26" s="302"/>
      <c r="V26" s="302"/>
      <c r="W26" s="302"/>
      <c r="X26" s="302"/>
      <c r="Y26" s="321"/>
      <c r="Z26" s="321"/>
      <c r="AA26" s="321"/>
      <c r="AB26" s="321"/>
      <c r="AC26" s="321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</row>
    <row r="27" spans="2:44" ht="15.6">
      <c r="B27" s="198" t="s">
        <v>78</v>
      </c>
      <c r="F27" s="628" t="s">
        <v>85</v>
      </c>
      <c r="G27" s="420"/>
      <c r="J27" s="374"/>
      <c r="K27" s="262"/>
      <c r="L27" s="262"/>
      <c r="M27" s="262"/>
      <c r="N27" s="262"/>
      <c r="O27" s="262"/>
      <c r="P27" s="302"/>
      <c r="Q27" s="302"/>
      <c r="R27" s="302"/>
      <c r="S27" s="302"/>
      <c r="T27" s="302"/>
      <c r="U27" s="302"/>
      <c r="V27" s="302"/>
      <c r="W27" s="302"/>
      <c r="X27" s="302"/>
      <c r="Y27" s="321"/>
      <c r="Z27" s="321"/>
      <c r="AA27" s="321"/>
      <c r="AB27" s="321"/>
      <c r="AC27" s="321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</row>
    <row r="28" spans="2:44" ht="15.6">
      <c r="B28" s="198"/>
      <c r="F28" s="199"/>
      <c r="G28" s="420"/>
      <c r="J28" s="374"/>
      <c r="K28" s="262"/>
      <c r="L28" s="262"/>
      <c r="M28" s="262"/>
      <c r="N28" s="262"/>
      <c r="O28" s="262"/>
      <c r="P28" s="302"/>
      <c r="Q28" s="302"/>
      <c r="R28" s="302"/>
      <c r="S28" s="302"/>
      <c r="T28" s="302"/>
      <c r="U28" s="302"/>
      <c r="V28" s="302"/>
      <c r="W28" s="302"/>
      <c r="X28" s="302"/>
      <c r="Y28" s="321"/>
      <c r="Z28" s="321"/>
      <c r="AA28" s="321"/>
      <c r="AB28" s="321"/>
      <c r="AC28" s="321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</row>
    <row r="29" spans="2:44" ht="15.6">
      <c r="C29" s="198" t="s">
        <v>285</v>
      </c>
      <c r="F29" s="199"/>
      <c r="G29" s="420"/>
      <c r="J29" s="374"/>
      <c r="K29" s="262"/>
      <c r="L29" s="262"/>
      <c r="M29" s="262"/>
      <c r="N29" s="262"/>
      <c r="O29" s="262"/>
      <c r="P29" s="302"/>
      <c r="Q29" s="302"/>
      <c r="R29" s="302"/>
      <c r="S29" s="302"/>
      <c r="T29" s="302"/>
      <c r="U29" s="302"/>
      <c r="V29" s="302"/>
      <c r="W29" s="302"/>
      <c r="X29" s="302"/>
      <c r="Y29" s="321"/>
      <c r="Z29" s="321"/>
      <c r="AA29" s="321"/>
      <c r="AB29" s="321"/>
      <c r="AC29" s="321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</row>
    <row r="30" spans="2:44" ht="16.2" thickBot="1">
      <c r="B30" s="198"/>
      <c r="C30" s="635" t="s">
        <v>270</v>
      </c>
      <c r="F30" s="199"/>
      <c r="G30" s="420"/>
      <c r="J30" s="374"/>
      <c r="K30" s="262"/>
      <c r="L30" s="262"/>
      <c r="M30" s="262"/>
      <c r="N30" s="262"/>
      <c r="O30" s="262"/>
      <c r="P30" s="302"/>
      <c r="Q30" s="302"/>
      <c r="R30" s="302"/>
      <c r="S30" s="302"/>
      <c r="T30" s="302"/>
      <c r="U30" s="302"/>
      <c r="V30" s="302"/>
      <c r="W30" s="302"/>
      <c r="X30" s="302"/>
      <c r="Y30" s="321"/>
      <c r="Z30" s="321"/>
      <c r="AA30" s="321"/>
      <c r="AB30" s="321"/>
      <c r="AC30" s="321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</row>
    <row r="31" spans="2:44" ht="12.9" customHeight="1">
      <c r="B31" t="s">
        <v>286</v>
      </c>
      <c r="C31" s="794" t="s">
        <v>81</v>
      </c>
      <c r="D31" s="795"/>
      <c r="E31" s="795"/>
      <c r="F31" s="796"/>
      <c r="G31" s="420"/>
      <c r="J31" s="373"/>
      <c r="K31" s="302"/>
      <c r="L31" s="302"/>
      <c r="M31" s="319"/>
      <c r="N31" s="797" t="s">
        <v>287</v>
      </c>
      <c r="O31" s="798"/>
      <c r="P31" s="302"/>
      <c r="Q31" s="302"/>
      <c r="R31" s="302"/>
      <c r="S31" s="302"/>
      <c r="T31" s="302"/>
      <c r="U31" s="302"/>
      <c r="V31" s="302"/>
      <c r="W31" s="321"/>
      <c r="X31" s="321"/>
      <c r="Y31" s="321"/>
      <c r="Z31" s="321"/>
      <c r="AA31" s="321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</row>
    <row r="32" spans="2:44" ht="16.2" thickBot="1">
      <c r="B32" s="198"/>
      <c r="C32" s="625"/>
      <c r="D32" s="625"/>
      <c r="E32" s="625"/>
      <c r="F32" s="626"/>
      <c r="G32" s="420"/>
      <c r="J32" s="374"/>
      <c r="K32" s="262"/>
      <c r="L32" s="262"/>
      <c r="M32" s="262"/>
      <c r="N32" s="262"/>
      <c r="O32" s="262"/>
      <c r="P32" s="302"/>
      <c r="Q32" s="302"/>
      <c r="R32" s="302"/>
      <c r="S32" s="302"/>
      <c r="T32" s="302"/>
      <c r="U32" s="302"/>
      <c r="V32" s="302"/>
      <c r="W32" s="302"/>
      <c r="X32" s="302"/>
      <c r="Y32" s="321"/>
      <c r="Z32" s="321"/>
      <c r="AA32" s="321"/>
      <c r="AB32" s="321"/>
      <c r="AC32" s="321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</row>
    <row r="33" spans="2:44" ht="13.8">
      <c r="B33" t="s">
        <v>288</v>
      </c>
      <c r="C33" s="794" t="s">
        <v>81</v>
      </c>
      <c r="D33" s="795"/>
      <c r="E33" s="795"/>
      <c r="F33" s="796"/>
      <c r="G33" s="420"/>
      <c r="J33" s="373"/>
      <c r="K33" s="302"/>
      <c r="L33" s="302"/>
      <c r="M33" s="319"/>
      <c r="N33" s="797" t="s">
        <v>287</v>
      </c>
      <c r="O33" s="798"/>
      <c r="P33" s="302"/>
      <c r="Q33" s="302"/>
      <c r="R33" s="302"/>
      <c r="S33" s="302"/>
      <c r="T33" s="302"/>
      <c r="U33" s="302"/>
      <c r="V33" s="302"/>
      <c r="W33" s="321"/>
      <c r="X33" s="321"/>
      <c r="Y33" s="321"/>
      <c r="Z33" s="321"/>
      <c r="AA33" s="321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</row>
    <row r="34" spans="2:44" ht="16.2" thickBot="1">
      <c r="B34" s="198"/>
      <c r="C34" s="625"/>
      <c r="D34" s="625"/>
      <c r="E34" s="625"/>
      <c r="F34" s="626"/>
      <c r="G34" s="420"/>
      <c r="J34" s="374"/>
      <c r="K34" s="262"/>
      <c r="L34" s="262"/>
      <c r="M34" s="262"/>
      <c r="N34" s="262"/>
      <c r="O34" s="262"/>
      <c r="P34" s="302"/>
      <c r="Q34" s="302"/>
      <c r="R34" s="302"/>
      <c r="S34" s="302"/>
      <c r="T34" s="302"/>
      <c r="U34" s="302"/>
      <c r="V34" s="302"/>
      <c r="W34" s="302"/>
      <c r="X34" s="302"/>
      <c r="Y34" s="321"/>
      <c r="Z34" s="321"/>
      <c r="AA34" s="321"/>
      <c r="AB34" s="321"/>
      <c r="AC34" s="321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</row>
    <row r="35" spans="2:44" ht="14.4" thickBot="1">
      <c r="B35" t="s">
        <v>289</v>
      </c>
      <c r="C35" s="794" t="s">
        <v>81</v>
      </c>
      <c r="D35" s="795"/>
      <c r="E35" s="795"/>
      <c r="F35" s="796"/>
      <c r="G35" s="420"/>
      <c r="J35" s="373"/>
      <c r="K35" s="302"/>
      <c r="L35" s="302"/>
      <c r="M35" s="319"/>
      <c r="N35" s="797" t="s">
        <v>287</v>
      </c>
      <c r="O35" s="798"/>
      <c r="P35" s="302"/>
      <c r="Q35" s="302"/>
      <c r="R35" s="302"/>
      <c r="S35" s="302"/>
      <c r="T35" s="302"/>
      <c r="U35" s="302"/>
      <c r="V35" s="302"/>
      <c r="W35" s="321"/>
      <c r="X35" s="321"/>
      <c r="Y35" s="321"/>
      <c r="Z35" s="321"/>
      <c r="AA35" s="321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</row>
    <row r="36" spans="2:44" ht="36.6" thickBot="1">
      <c r="C36" s="635" t="s">
        <v>270</v>
      </c>
      <c r="J36" s="370" t="s">
        <v>290</v>
      </c>
      <c r="K36" s="370" t="s">
        <v>291</v>
      </c>
      <c r="L36" s="372" t="s">
        <v>292</v>
      </c>
      <c r="M36" s="372" t="s">
        <v>293</v>
      </c>
      <c r="N36" s="371" t="s">
        <v>294</v>
      </c>
      <c r="O36" s="370" t="s">
        <v>295</v>
      </c>
      <c r="P36" s="302"/>
      <c r="Q36" s="302"/>
      <c r="R36" s="302"/>
      <c r="S36" s="302"/>
      <c r="T36" s="302"/>
      <c r="U36" s="302"/>
      <c r="V36" s="302"/>
      <c r="W36" s="321"/>
      <c r="X36" s="321"/>
      <c r="Y36" s="321"/>
      <c r="Z36" s="321"/>
      <c r="AA36" s="321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</row>
    <row r="37" spans="2:44" ht="15.6">
      <c r="B37" s="198" t="s">
        <v>79</v>
      </c>
      <c r="C37" s="629">
        <v>2030</v>
      </c>
      <c r="J37" s="369" t="s">
        <v>296</v>
      </c>
      <c r="K37" s="368">
        <f>Paramètres!C12</f>
        <v>0.216</v>
      </c>
      <c r="L37" s="367"/>
      <c r="M37" s="367"/>
      <c r="N37" s="366">
        <f>Paramètres!C13*1000</f>
        <v>0</v>
      </c>
      <c r="O37" s="799">
        <v>70</v>
      </c>
      <c r="P37" s="302"/>
      <c r="Q37" s="302"/>
      <c r="R37" s="302"/>
      <c r="S37" s="302"/>
      <c r="T37" s="302"/>
      <c r="U37" s="302"/>
      <c r="V37" s="302"/>
      <c r="W37" s="321"/>
      <c r="X37" s="321"/>
      <c r="Y37" s="321"/>
      <c r="Z37" s="321"/>
      <c r="AA37" s="321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</row>
    <row r="38" spans="2:44" ht="15.6">
      <c r="B38" s="198"/>
      <c r="J38" s="364" t="s">
        <v>12</v>
      </c>
      <c r="K38" s="365">
        <f>Paramètres!D12</f>
        <v>0.218</v>
      </c>
      <c r="L38" s="362"/>
      <c r="M38" s="362"/>
      <c r="N38" s="361">
        <f>Paramètres!D13*1000</f>
        <v>0</v>
      </c>
      <c r="O38" s="800"/>
      <c r="P38" s="302"/>
      <c r="Q38" s="302"/>
      <c r="R38" s="302"/>
      <c r="S38" s="302"/>
      <c r="T38" s="302"/>
      <c r="U38" s="302"/>
      <c r="V38" s="302"/>
      <c r="W38" s="321"/>
      <c r="X38" s="321"/>
      <c r="Y38" s="321"/>
      <c r="Z38" s="321"/>
      <c r="AA38" s="321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</row>
    <row r="39" spans="2:44">
      <c r="J39" s="364" t="s">
        <v>297</v>
      </c>
      <c r="K39" s="365">
        <f>Paramètres!E12/1000/(35.9/0.94/3600)</f>
        <v>0.30700138161559892</v>
      </c>
      <c r="L39" s="362"/>
      <c r="M39" s="362"/>
      <c r="N39" s="361">
        <f>Paramètres!E13/Paramètres!E10*1000</f>
        <v>0</v>
      </c>
      <c r="O39" s="800"/>
      <c r="P39" s="302"/>
      <c r="Q39" s="302"/>
      <c r="R39" s="302"/>
      <c r="S39" s="302"/>
      <c r="T39" s="302"/>
      <c r="U39" s="302"/>
      <c r="V39" s="302"/>
      <c r="W39" s="321"/>
      <c r="X39" s="321"/>
      <c r="Y39" s="321"/>
      <c r="Z39" s="321"/>
      <c r="AA39" s="321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</row>
    <row r="40" spans="2:44" ht="15.6">
      <c r="B40" s="198" t="s">
        <v>298</v>
      </c>
      <c r="J40" s="364" t="s">
        <v>299</v>
      </c>
      <c r="K40" s="365">
        <f>2.9209/1000/(43.77/0.94/3600)</f>
        <v>0.22582420836189168</v>
      </c>
      <c r="L40" s="362"/>
      <c r="M40" s="362"/>
      <c r="N40" s="361"/>
      <c r="O40" s="800"/>
      <c r="P40" s="302"/>
      <c r="Q40" s="302"/>
      <c r="R40" s="302"/>
      <c r="S40" s="302"/>
      <c r="T40" s="302"/>
      <c r="U40" s="302"/>
      <c r="V40" s="302"/>
      <c r="W40" s="321"/>
      <c r="X40" s="321"/>
      <c r="Y40" s="321"/>
      <c r="Z40" s="321"/>
      <c r="AA40" s="321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</row>
    <row r="41" spans="2:44">
      <c r="J41" s="364" t="s">
        <v>300</v>
      </c>
      <c r="K41" s="365">
        <f>3.3679/1000/(35.9/0.94/3600)</f>
        <v>0.31746444568245125</v>
      </c>
      <c r="L41" s="362"/>
      <c r="M41" s="362"/>
      <c r="N41" s="361"/>
      <c r="O41" s="800"/>
      <c r="P41" s="302"/>
      <c r="Q41" s="302"/>
      <c r="R41" s="302"/>
      <c r="S41" s="302"/>
      <c r="T41" s="302"/>
      <c r="U41" s="302"/>
      <c r="V41" s="302"/>
      <c r="W41" s="321"/>
      <c r="X41" s="321"/>
      <c r="Y41" s="321"/>
      <c r="Z41" s="321"/>
      <c r="AA41" s="321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</row>
    <row r="42" spans="2:44" ht="12.9" customHeight="1">
      <c r="B42" s="769"/>
      <c r="C42" s="770"/>
      <c r="D42" s="770"/>
      <c r="E42" s="770"/>
      <c r="F42" s="770"/>
      <c r="G42" s="770"/>
      <c r="H42" s="771"/>
      <c r="J42" s="364" t="s">
        <v>301</v>
      </c>
      <c r="K42" s="365">
        <f>3.0567/1000/(29.31/0.96/3600)</f>
        <v>0.36042153531218019</v>
      </c>
      <c r="L42" s="362"/>
      <c r="M42" s="362"/>
      <c r="N42" s="361"/>
      <c r="O42" s="800"/>
      <c r="P42" s="302"/>
      <c r="Q42" s="302"/>
      <c r="R42" s="302"/>
      <c r="S42" s="302"/>
      <c r="T42" s="302"/>
      <c r="U42" s="302"/>
      <c r="V42" s="302"/>
      <c r="W42" s="321"/>
      <c r="X42" s="321"/>
      <c r="Y42" s="321"/>
      <c r="Z42" s="321"/>
      <c r="AA42" s="321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</row>
    <row r="43" spans="2:44">
      <c r="J43" s="364" t="s">
        <v>302</v>
      </c>
      <c r="K43" s="411">
        <v>0</v>
      </c>
      <c r="L43" s="362"/>
      <c r="M43" s="362"/>
      <c r="N43" s="361"/>
      <c r="O43" s="800"/>
      <c r="P43" s="302"/>
      <c r="Q43" s="302"/>
      <c r="R43" s="302"/>
      <c r="S43" s="302"/>
      <c r="T43" s="302"/>
      <c r="U43" s="302"/>
      <c r="V43" s="302"/>
      <c r="W43" s="321"/>
      <c r="X43" s="321"/>
      <c r="Y43" s="321"/>
      <c r="Z43" s="321"/>
      <c r="AA43" s="321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</row>
    <row r="44" spans="2:44" ht="15.6">
      <c r="B44" s="198" t="s">
        <v>303</v>
      </c>
      <c r="J44" s="364" t="s">
        <v>304</v>
      </c>
      <c r="K44" s="363"/>
      <c r="L44" s="362"/>
      <c r="M44" s="362"/>
      <c r="N44" s="361"/>
      <c r="O44" s="800"/>
      <c r="P44" s="302"/>
      <c r="Q44" s="302"/>
      <c r="R44" s="302"/>
      <c r="S44" s="302"/>
      <c r="T44" s="302"/>
      <c r="U44" s="302"/>
      <c r="V44" s="302"/>
      <c r="W44" s="321"/>
      <c r="X44" s="321"/>
      <c r="Y44" s="321"/>
      <c r="Z44" s="321"/>
      <c r="AA44" s="321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</row>
    <row r="45" spans="2:44" ht="13.8" thickBot="1">
      <c r="J45" s="360" t="s">
        <v>304</v>
      </c>
      <c r="K45" s="359"/>
      <c r="L45" s="358"/>
      <c r="M45" s="358"/>
      <c r="N45" s="357"/>
      <c r="O45" s="801"/>
      <c r="P45" s="302"/>
      <c r="Q45" s="302"/>
      <c r="R45" s="302"/>
      <c r="S45" s="302"/>
      <c r="T45" s="302"/>
      <c r="U45" s="302"/>
      <c r="V45" s="302"/>
      <c r="W45" s="321"/>
      <c r="X45" s="321"/>
      <c r="Y45" s="321"/>
      <c r="Z45" s="321"/>
      <c r="AA45" s="321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</row>
    <row r="46" spans="2:44" ht="25.5" customHeight="1" thickBot="1">
      <c r="B46" s="788"/>
      <c r="C46" s="789"/>
      <c r="D46" s="789"/>
      <c r="E46" s="789"/>
      <c r="F46" s="789"/>
      <c r="G46" s="789"/>
      <c r="H46" s="790"/>
      <c r="J46" s="302"/>
      <c r="K46" s="302"/>
      <c r="L46" s="302"/>
      <c r="M46" s="319"/>
      <c r="N46" s="302"/>
      <c r="O46" s="302"/>
      <c r="P46" s="302"/>
      <c r="Q46" s="302"/>
      <c r="R46" s="302"/>
      <c r="S46" s="302"/>
      <c r="T46" s="302"/>
      <c r="U46" s="302"/>
      <c r="V46" s="302"/>
      <c r="W46" s="321"/>
      <c r="X46" s="321"/>
      <c r="Y46" s="321"/>
      <c r="Z46" s="321"/>
      <c r="AA46" s="321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</row>
    <row r="47" spans="2:44" ht="13.8" thickBot="1">
      <c r="B47" s="197"/>
      <c r="C47" s="197"/>
      <c r="D47" s="197"/>
      <c r="E47" s="197"/>
      <c r="F47" s="197"/>
      <c r="G47" s="197"/>
      <c r="H47" s="197"/>
      <c r="I47" s="1"/>
      <c r="J47" s="302"/>
      <c r="K47" s="302"/>
      <c r="L47" s="302"/>
      <c r="M47" s="356" t="s">
        <v>305</v>
      </c>
      <c r="N47" s="791">
        <f>(((L37-M37)*N37)+((L38-M38)*N38)+((L39-M39)*N39)+((L40-M40)*N40)+((L41-M41)*N41)+((L42-M42)*N42)+((L43-M43)*N43)+((L44-M44)*N44)+((L45-M45)*N45))</f>
        <v>0</v>
      </c>
      <c r="O47" s="792"/>
      <c r="P47" s="302"/>
      <c r="Q47" s="302"/>
      <c r="R47" s="302"/>
      <c r="S47" s="302"/>
      <c r="T47" s="302"/>
      <c r="U47" s="302"/>
      <c r="V47" s="302"/>
      <c r="W47" s="321"/>
      <c r="X47" s="321"/>
      <c r="Y47" s="321"/>
      <c r="Z47" s="321"/>
      <c r="AA47" s="321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</row>
    <row r="48" spans="2:44" ht="16.2" thickBot="1">
      <c r="B48" s="198" t="s">
        <v>306</v>
      </c>
      <c r="C48" s="423"/>
      <c r="D48" s="423"/>
      <c r="E48" s="423"/>
      <c r="F48" s="423"/>
      <c r="G48" s="423"/>
      <c r="H48" s="423"/>
      <c r="I48" s="1"/>
      <c r="J48" s="302"/>
      <c r="K48" s="302"/>
      <c r="L48" s="302"/>
      <c r="M48" s="355" t="s">
        <v>307</v>
      </c>
      <c r="N48" s="791">
        <f>IF(K22="OUI",((((L38-M38)*K38)+((L39-M39)*K39)+((L40-M40)*K40)+((L41-M41)*K41)+((L42-M42)*K42)+((L43-M43)*K43)+((L44-M44)*K44)+((L45-M45)*K45)))*O37,0)</f>
        <v>0</v>
      </c>
      <c r="O48" s="792"/>
      <c r="P48" s="302"/>
      <c r="Q48" s="302"/>
      <c r="R48" s="302"/>
      <c r="S48" s="302"/>
      <c r="T48" s="302"/>
      <c r="U48" s="302"/>
      <c r="V48" s="302"/>
      <c r="W48" s="321"/>
      <c r="X48" s="321"/>
      <c r="Y48" s="321"/>
      <c r="Z48" s="321"/>
      <c r="AA48" s="321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</row>
    <row r="49" spans="2:44">
      <c r="G49" s="196"/>
      <c r="I49" s="1"/>
      <c r="J49" s="302"/>
      <c r="K49" s="302"/>
      <c r="L49" s="302"/>
      <c r="M49" s="354"/>
      <c r="N49" s="353"/>
      <c r="O49" s="353"/>
      <c r="P49" s="302"/>
      <c r="Q49" s="302"/>
      <c r="R49" s="302"/>
      <c r="S49" s="302"/>
      <c r="T49" s="302"/>
      <c r="U49" s="302"/>
      <c r="V49" s="302"/>
      <c r="W49" s="321"/>
      <c r="X49" s="321"/>
      <c r="Y49" s="321"/>
      <c r="Z49" s="321"/>
      <c r="AA49" s="321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</row>
    <row r="50" spans="2:44" ht="17.100000000000001" customHeight="1" thickBot="1">
      <c r="B50" t="str">
        <f>Paramètres!C5</f>
        <v>Electricité 
achetée</v>
      </c>
      <c r="C50" s="448"/>
      <c r="D50" t="str">
        <f>Paramètres!C6</f>
        <v>kWh</v>
      </c>
      <c r="G50" s="196"/>
      <c r="J50" s="302"/>
      <c r="K50" s="302"/>
      <c r="L50" s="302"/>
      <c r="M50" s="354"/>
      <c r="N50" s="353"/>
      <c r="O50" s="353"/>
      <c r="P50" s="353"/>
      <c r="Q50" s="353"/>
      <c r="R50" s="302"/>
      <c r="S50" s="302"/>
      <c r="T50" s="302"/>
      <c r="U50" s="302"/>
      <c r="V50" s="302"/>
      <c r="W50" s="302"/>
      <c r="X50" s="302"/>
      <c r="Y50" s="321"/>
      <c r="Z50" s="321"/>
      <c r="AA50" s="321"/>
      <c r="AB50" s="321"/>
      <c r="AC50" s="321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</row>
    <row r="51" spans="2:44" ht="17.100000000000001" customHeight="1" thickBot="1">
      <c r="B51" t="str">
        <f>Paramètres!D5</f>
        <v>Gaz Naturel</v>
      </c>
      <c r="C51" s="448"/>
      <c r="D51" s="145" t="str">
        <f>Paramètres!D6</f>
        <v>kWhs</v>
      </c>
      <c r="G51" s="196"/>
      <c r="H51" s="145"/>
      <c r="J51" s="786" t="s">
        <v>308</v>
      </c>
      <c r="K51" s="793"/>
      <c r="L51" s="793"/>
      <c r="M51" s="793"/>
      <c r="N51" s="793"/>
      <c r="O51" s="793"/>
      <c r="P51" s="793"/>
      <c r="Q51" s="787"/>
      <c r="R51" s="302"/>
      <c r="S51" s="302"/>
      <c r="T51" s="302"/>
      <c r="U51" s="302"/>
      <c r="V51" s="302"/>
      <c r="W51" s="302"/>
      <c r="X51" s="302"/>
      <c r="Y51" s="321"/>
      <c r="Z51" s="321"/>
      <c r="AA51" s="321"/>
      <c r="AB51" s="321"/>
      <c r="AC51" s="321"/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</row>
    <row r="52" spans="2:44" ht="17.100000000000001" customHeight="1">
      <c r="B52" t="str">
        <f>Paramètres!F5</f>
        <v>Biogaz</v>
      </c>
      <c r="C52" s="448"/>
      <c r="D52" s="145" t="str">
        <f>Paramètres!F6</f>
        <v>kWhs</v>
      </c>
      <c r="G52" s="196"/>
      <c r="H52" s="145"/>
      <c r="J52" s="633"/>
      <c r="K52" s="633"/>
      <c r="L52" s="633"/>
      <c r="M52" s="633"/>
      <c r="N52" s="633"/>
      <c r="O52" s="633"/>
      <c r="P52" s="633"/>
      <c r="Q52" s="633"/>
      <c r="R52" s="302"/>
      <c r="S52" s="302"/>
      <c r="T52" s="302"/>
      <c r="U52" s="302"/>
      <c r="V52" s="302"/>
      <c r="W52" s="302"/>
      <c r="X52" s="302"/>
      <c r="Y52" s="321"/>
      <c r="Z52" s="321"/>
      <c r="AA52" s="321"/>
      <c r="AB52" s="321"/>
      <c r="AC52" s="321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</row>
    <row r="53" spans="2:44" ht="17.100000000000001" customHeight="1">
      <c r="B53" t="str">
        <f>Paramètres!G5</f>
        <v>Elec SER</v>
      </c>
      <c r="C53" s="448"/>
      <c r="D53" s="145" t="str">
        <f>Paramètres!G6</f>
        <v>kWh</v>
      </c>
      <c r="G53" s="196"/>
      <c r="H53" s="145"/>
      <c r="J53" s="633"/>
      <c r="K53" s="633"/>
      <c r="L53" s="633"/>
      <c r="M53" s="633"/>
      <c r="N53" s="633"/>
      <c r="O53" s="633"/>
      <c r="P53" s="633"/>
      <c r="Q53" s="633"/>
      <c r="R53" s="302"/>
      <c r="S53" s="302"/>
      <c r="T53" s="302"/>
      <c r="U53" s="302"/>
      <c r="V53" s="302"/>
      <c r="W53" s="302"/>
      <c r="X53" s="302"/>
      <c r="Y53" s="321"/>
      <c r="Z53" s="321"/>
      <c r="AA53" s="321"/>
      <c r="AB53" s="321"/>
      <c r="AC53" s="321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</row>
    <row r="54" spans="2:44" ht="17.100000000000001" customHeight="1" thickBot="1">
      <c r="B54" t="str">
        <f>Paramètres!H5</f>
        <v>Process</v>
      </c>
      <c r="C54" s="448"/>
      <c r="D54" s="145" t="str">
        <f>Paramètres!H6</f>
        <v>kgCO2</v>
      </c>
      <c r="G54" s="196"/>
      <c r="J54" s="802"/>
      <c r="K54" s="802"/>
      <c r="L54" s="802"/>
      <c r="M54" s="802"/>
      <c r="N54" s="8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21"/>
      <c r="AB54" s="321"/>
      <c r="AC54" s="321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</row>
    <row r="55" spans="2:44">
      <c r="C55" s="195"/>
      <c r="J55" s="803" t="s">
        <v>309</v>
      </c>
      <c r="K55" s="806" t="s">
        <v>310</v>
      </c>
      <c r="L55" s="330" t="s">
        <v>311</v>
      </c>
      <c r="M55" s="352"/>
      <c r="N55" s="333" t="s">
        <v>312</v>
      </c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21"/>
      <c r="AB55" s="321"/>
      <c r="AC55" s="321"/>
      <c r="AD55" s="321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</row>
    <row r="56" spans="2:44" ht="16.2" thickBot="1">
      <c r="B56" s="198" t="s">
        <v>313</v>
      </c>
      <c r="C56" s="423"/>
      <c r="D56" s="423"/>
      <c r="E56" s="423"/>
      <c r="F56" s="423"/>
      <c r="G56" s="423"/>
      <c r="H56" s="423"/>
      <c r="J56" s="804"/>
      <c r="K56" s="807"/>
      <c r="L56" s="326" t="s">
        <v>314</v>
      </c>
      <c r="M56" s="327"/>
      <c r="N56" s="326" t="s">
        <v>312</v>
      </c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21"/>
      <c r="AB56" s="321"/>
      <c r="AC56" s="321"/>
      <c r="AD56" s="321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</row>
    <row r="57" spans="2:44">
      <c r="H57" s="178"/>
      <c r="J57" s="804"/>
      <c r="K57" s="807" t="s">
        <v>315</v>
      </c>
      <c r="L57" s="341" t="s">
        <v>316</v>
      </c>
      <c r="M57" s="340"/>
      <c r="N57" s="333" t="s">
        <v>312</v>
      </c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21"/>
      <c r="AB57" s="321"/>
      <c r="AC57" s="321"/>
      <c r="AD57" s="321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</row>
    <row r="58" spans="2:44" ht="13.8" thickBot="1">
      <c r="B58" s="810"/>
      <c r="C58" s="811"/>
      <c r="D58" s="811"/>
      <c r="E58" s="812"/>
      <c r="G58" s="630">
        <v>0</v>
      </c>
      <c r="H58" s="476"/>
      <c r="J58" s="804"/>
      <c r="K58" s="807"/>
      <c r="L58" s="339" t="s">
        <v>317</v>
      </c>
      <c r="M58" s="351"/>
      <c r="N58" s="326" t="s">
        <v>312</v>
      </c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21"/>
      <c r="AB58" s="321"/>
      <c r="AC58" s="321"/>
      <c r="AD58" s="321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</row>
    <row r="59" spans="2:44" ht="13.8" thickBot="1">
      <c r="B59" s="808"/>
      <c r="C59" s="808"/>
      <c r="D59" s="808"/>
      <c r="E59" s="808"/>
      <c r="F59" s="808"/>
      <c r="G59" s="422"/>
      <c r="H59" s="178"/>
      <c r="J59" s="805"/>
      <c r="K59" s="350" t="s">
        <v>318</v>
      </c>
      <c r="L59" s="322" t="s">
        <v>319</v>
      </c>
      <c r="M59" s="349"/>
      <c r="N59" s="331" t="s">
        <v>312</v>
      </c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21"/>
      <c r="AB59" s="321"/>
      <c r="AC59" s="321"/>
      <c r="AD59" s="321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</row>
    <row r="60" spans="2:44" ht="13.8" thickBot="1">
      <c r="B60" s="808"/>
      <c r="C60" s="808"/>
      <c r="D60" s="808"/>
      <c r="E60" s="808"/>
      <c r="F60" s="808"/>
      <c r="G60" s="422"/>
      <c r="H60" s="178"/>
      <c r="J60" s="348"/>
      <c r="K60" s="346"/>
      <c r="L60" s="346"/>
      <c r="M60" s="347"/>
      <c r="N60" s="346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21"/>
      <c r="AB60" s="321"/>
      <c r="AC60" s="321"/>
      <c r="AD60" s="321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</row>
    <row r="61" spans="2:44" ht="13.8" thickBot="1">
      <c r="B61" s="813" t="s">
        <v>320</v>
      </c>
      <c r="C61" s="813"/>
      <c r="D61" s="813"/>
      <c r="E61" s="813"/>
      <c r="F61" s="813"/>
      <c r="G61" s="449">
        <f>SUM(G58:G60)/1000</f>
        <v>0</v>
      </c>
      <c r="H61" s="190"/>
      <c r="J61" s="814" t="s">
        <v>321</v>
      </c>
      <c r="K61" s="344" t="s">
        <v>322</v>
      </c>
      <c r="L61" s="343" t="s">
        <v>323</v>
      </c>
      <c r="M61" s="342"/>
      <c r="N61" s="333" t="s">
        <v>324</v>
      </c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21"/>
      <c r="AB61" s="321"/>
      <c r="AC61" s="321"/>
      <c r="AD61" s="321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</row>
    <row r="62" spans="2:44">
      <c r="B62" s="193"/>
      <c r="C62" s="194"/>
      <c r="D62" s="193"/>
      <c r="E62" s="193"/>
      <c r="F62" s="193"/>
      <c r="J62" s="815"/>
      <c r="K62" s="807" t="s">
        <v>325</v>
      </c>
      <c r="L62" s="341" t="s">
        <v>326</v>
      </c>
      <c r="M62" s="340"/>
      <c r="N62" s="333" t="s">
        <v>324</v>
      </c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21"/>
      <c r="AB62" s="321"/>
      <c r="AC62" s="321"/>
      <c r="AD62" s="321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</row>
    <row r="63" spans="2:44" ht="16.2" thickBot="1">
      <c r="B63" s="198" t="s">
        <v>327</v>
      </c>
      <c r="C63" s="423"/>
      <c r="D63" s="423"/>
      <c r="E63" s="423"/>
      <c r="F63" s="423"/>
      <c r="G63" s="423"/>
      <c r="H63" s="423"/>
      <c r="J63" s="815"/>
      <c r="K63" s="807"/>
      <c r="L63" s="339" t="s">
        <v>328</v>
      </c>
      <c r="M63" s="338"/>
      <c r="N63" s="322" t="s">
        <v>329</v>
      </c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21"/>
      <c r="AB63" s="321"/>
      <c r="AC63" s="321"/>
      <c r="AD63" s="321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</row>
    <row r="64" spans="2:44">
      <c r="B64" s="808"/>
      <c r="C64" s="808"/>
      <c r="D64" s="808"/>
      <c r="E64" s="808"/>
      <c r="F64" s="808"/>
      <c r="G64" s="192"/>
      <c r="H64" s="178" t="s">
        <v>330</v>
      </c>
      <c r="J64" s="815"/>
      <c r="K64" s="807" t="s">
        <v>331</v>
      </c>
      <c r="L64" s="337" t="s">
        <v>332</v>
      </c>
      <c r="M64" s="336">
        <f>N47/1000</f>
        <v>0</v>
      </c>
      <c r="N64" s="333" t="s">
        <v>324</v>
      </c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21"/>
      <c r="AB64" s="321"/>
      <c r="AC64" s="321"/>
      <c r="AD64" s="321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</row>
    <row r="65" spans="2:44" ht="13.8" thickBot="1">
      <c r="B65" s="808"/>
      <c r="C65" s="808"/>
      <c r="D65" s="808"/>
      <c r="E65" s="808"/>
      <c r="F65" s="808"/>
      <c r="G65" s="192"/>
      <c r="H65" s="178" t="s">
        <v>330</v>
      </c>
      <c r="J65" s="815"/>
      <c r="K65" s="809"/>
      <c r="L65" s="328" t="s">
        <v>333</v>
      </c>
      <c r="M65" s="335">
        <f>N48/1000</f>
        <v>0</v>
      </c>
      <c r="N65" s="326" t="s">
        <v>324</v>
      </c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21"/>
      <c r="AB65" s="321"/>
      <c r="AC65" s="321"/>
      <c r="AD65" s="321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</row>
    <row r="66" spans="2:44" ht="13.8" thickBot="1">
      <c r="B66" s="808"/>
      <c r="C66" s="808"/>
      <c r="D66" s="808"/>
      <c r="E66" s="808"/>
      <c r="F66" s="808"/>
      <c r="G66" s="192"/>
      <c r="H66" s="178" t="s">
        <v>330</v>
      </c>
      <c r="J66" s="815"/>
      <c r="K66" s="334" t="s">
        <v>334</v>
      </c>
      <c r="L66" s="333" t="s">
        <v>335</v>
      </c>
      <c r="M66" s="332">
        <v>0</v>
      </c>
      <c r="N66" s="331" t="s">
        <v>324</v>
      </c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21"/>
      <c r="AB66" s="321"/>
      <c r="AC66" s="321"/>
      <c r="AD66" s="321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</row>
    <row r="67" spans="2:44">
      <c r="B67" s="813" t="s">
        <v>336</v>
      </c>
      <c r="C67" s="813"/>
      <c r="D67" s="813"/>
      <c r="E67" s="813"/>
      <c r="F67" s="813"/>
      <c r="G67" s="191">
        <f>SUM(G64:G66)</f>
        <v>0</v>
      </c>
      <c r="H67" s="190" t="s">
        <v>330</v>
      </c>
      <c r="J67" s="815"/>
      <c r="K67" s="817" t="s">
        <v>337</v>
      </c>
      <c r="L67" s="330" t="s">
        <v>338</v>
      </c>
      <c r="M67" s="327"/>
      <c r="N67" s="326" t="s">
        <v>324</v>
      </c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21"/>
      <c r="AB67" s="321"/>
      <c r="AC67" s="321"/>
      <c r="AD67" s="321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</row>
    <row r="68" spans="2:44" ht="26.4">
      <c r="B68" s="423"/>
      <c r="C68" s="423"/>
      <c r="D68" s="423"/>
      <c r="E68" s="423"/>
      <c r="F68" s="423"/>
      <c r="G68" s="423"/>
      <c r="H68" s="423"/>
      <c r="J68" s="815"/>
      <c r="K68" s="807"/>
      <c r="L68" s="328" t="s">
        <v>339</v>
      </c>
      <c r="M68" s="327"/>
      <c r="N68" s="326" t="s">
        <v>324</v>
      </c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21"/>
      <c r="AB68" s="321"/>
      <c r="AC68" s="321"/>
      <c r="AD68" s="321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</row>
    <row r="69" spans="2:44">
      <c r="B69" s="145"/>
      <c r="J69" s="815"/>
      <c r="K69" s="807"/>
      <c r="L69" s="328" t="s">
        <v>340</v>
      </c>
      <c r="M69" s="327"/>
      <c r="N69" s="326" t="s">
        <v>324</v>
      </c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21"/>
      <c r="AB69" s="321"/>
      <c r="AC69" s="321"/>
      <c r="AD69" s="321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</row>
    <row r="70" spans="2:44" ht="18" customHeight="1">
      <c r="B70" s="819" t="s">
        <v>341</v>
      </c>
      <c r="C70" s="820"/>
      <c r="D70" s="820"/>
      <c r="E70" s="820"/>
      <c r="F70" s="820"/>
      <c r="G70" s="820"/>
      <c r="H70" s="821"/>
      <c r="J70" s="815"/>
      <c r="K70" s="807"/>
      <c r="L70" s="328" t="s">
        <v>342</v>
      </c>
      <c r="M70" s="327"/>
      <c r="N70" s="326" t="s">
        <v>324</v>
      </c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21"/>
      <c r="AB70" s="321"/>
      <c r="AC70" s="321"/>
      <c r="AD70" s="321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</row>
    <row r="71" spans="2:44" ht="34.5" customHeight="1">
      <c r="B71" s="186" t="s">
        <v>343</v>
      </c>
      <c r="C71" s="187" t="s">
        <v>344</v>
      </c>
      <c r="D71" s="187" t="s">
        <v>129</v>
      </c>
      <c r="E71" s="822" t="s">
        <v>345</v>
      </c>
      <c r="F71" s="823"/>
      <c r="G71" s="186" t="s">
        <v>346</v>
      </c>
      <c r="H71" s="185"/>
      <c r="J71" s="815"/>
      <c r="K71" s="807"/>
      <c r="L71" s="328" t="s">
        <v>347</v>
      </c>
      <c r="M71" s="327"/>
      <c r="N71" s="326" t="s">
        <v>324</v>
      </c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21"/>
      <c r="AB71" s="321"/>
      <c r="AC71" s="321"/>
      <c r="AD71" s="321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</row>
    <row r="72" spans="2:44" ht="13.8" thickBot="1">
      <c r="B72" s="184" t="str">
        <f t="shared" ref="B72:D76" si="0">+B50</f>
        <v>Electricité 
achetée</v>
      </c>
      <c r="C72" s="183">
        <f t="shared" si="0"/>
        <v>0</v>
      </c>
      <c r="D72" t="str">
        <f t="shared" si="0"/>
        <v>kWh</v>
      </c>
      <c r="E72" s="189">
        <f>Paramètres!C10</f>
        <v>1</v>
      </c>
      <c r="F72" s="145" t="str">
        <f>"kWhf/"&amp;D72</f>
        <v>kWhf/kWh</v>
      </c>
      <c r="G72" s="214">
        <f>+C72*E72/1000</f>
        <v>0</v>
      </c>
      <c r="H72" s="212" t="s">
        <v>233</v>
      </c>
      <c r="J72" s="816"/>
      <c r="K72" s="818"/>
      <c r="L72" s="324" t="s">
        <v>232</v>
      </c>
      <c r="M72" s="323"/>
      <c r="N72" s="322" t="s">
        <v>324</v>
      </c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21"/>
      <c r="AB72" s="321"/>
      <c r="AC72" s="321"/>
      <c r="AD72" s="321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</row>
    <row r="73" spans="2:44" ht="14.4">
      <c r="B73" s="184" t="str">
        <f t="shared" si="0"/>
        <v>Gaz Naturel</v>
      </c>
      <c r="C73" s="183">
        <f t="shared" si="0"/>
        <v>0</v>
      </c>
      <c r="D73" t="str">
        <f t="shared" si="0"/>
        <v>kWhs</v>
      </c>
      <c r="E73" s="189">
        <f>Paramètres!D10</f>
        <v>1</v>
      </c>
      <c r="F73" s="145" t="str">
        <f t="shared" ref="F73:F76" si="1">"kWhf/"&amp;D73</f>
        <v>kWhf/kWhs</v>
      </c>
      <c r="G73" s="214">
        <f>+C73*E73/1000</f>
        <v>0</v>
      </c>
      <c r="H73" s="212" t="s">
        <v>233</v>
      </c>
      <c r="J73" s="320"/>
      <c r="K73" s="302"/>
      <c r="L73" s="302"/>
      <c r="M73" s="319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</row>
    <row r="74" spans="2:44" ht="14.4">
      <c r="B74" s="184" t="str">
        <f t="shared" si="0"/>
        <v>Biogaz</v>
      </c>
      <c r="C74" s="183">
        <f t="shared" si="0"/>
        <v>0</v>
      </c>
      <c r="D74" t="str">
        <f t="shared" si="0"/>
        <v>kWhs</v>
      </c>
      <c r="E74" s="189">
        <f>Paramètres!F10</f>
        <v>1</v>
      </c>
      <c r="F74" s="145" t="str">
        <f t="shared" si="1"/>
        <v>kWhf/kWhs</v>
      </c>
      <c r="G74" s="214">
        <f>+C74*E74/1000</f>
        <v>0</v>
      </c>
      <c r="H74" s="212" t="s">
        <v>233</v>
      </c>
      <c r="J74" s="320"/>
      <c r="K74" s="302"/>
      <c r="L74" s="302"/>
      <c r="M74" s="319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</row>
    <row r="75" spans="2:44" ht="14.4">
      <c r="B75" s="184" t="str">
        <f t="shared" si="0"/>
        <v>Elec SER</v>
      </c>
      <c r="C75" s="183">
        <f t="shared" si="0"/>
        <v>0</v>
      </c>
      <c r="D75" t="str">
        <f t="shared" si="0"/>
        <v>kWh</v>
      </c>
      <c r="E75" s="189">
        <f>Paramètres!G10</f>
        <v>1</v>
      </c>
      <c r="F75" s="145" t="str">
        <f t="shared" si="1"/>
        <v>kWhf/kWh</v>
      </c>
      <c r="G75" s="214">
        <f>+C75*E75/1000</f>
        <v>0</v>
      </c>
      <c r="H75" s="212" t="s">
        <v>233</v>
      </c>
      <c r="J75" s="320"/>
      <c r="K75" s="302"/>
      <c r="L75" s="302"/>
      <c r="M75" s="319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</row>
    <row r="76" spans="2:44" ht="15" thickBot="1">
      <c r="B76" s="184" t="str">
        <f t="shared" si="0"/>
        <v>Process</v>
      </c>
      <c r="C76" s="183">
        <f t="shared" si="0"/>
        <v>0</v>
      </c>
      <c r="D76" t="str">
        <f t="shared" si="0"/>
        <v>kgCO2</v>
      </c>
      <c r="E76" s="189">
        <f>Paramètres!H10</f>
        <v>0</v>
      </c>
      <c r="F76" s="145" t="str">
        <f t="shared" si="1"/>
        <v>kWhf/kgCO2</v>
      </c>
      <c r="G76" s="214">
        <f>+C76*E76/1000</f>
        <v>0</v>
      </c>
      <c r="H76" s="212" t="s">
        <v>233</v>
      </c>
      <c r="J76" s="320"/>
      <c r="K76" s="302"/>
      <c r="L76" s="302"/>
      <c r="M76" s="319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</row>
    <row r="77" spans="2:44" ht="16.2" thickBot="1">
      <c r="B77" s="824" t="s">
        <v>348</v>
      </c>
      <c r="C77" s="825"/>
      <c r="D77" s="825"/>
      <c r="E77" s="825"/>
      <c r="F77" s="825"/>
      <c r="G77" s="215">
        <f>SUM(G72:G75)</f>
        <v>0</v>
      </c>
      <c r="H77" s="213" t="s">
        <v>233</v>
      </c>
      <c r="J77" s="826" t="s">
        <v>349</v>
      </c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7"/>
      <c r="V77" s="827"/>
      <c r="W77" s="827"/>
      <c r="X77" s="827"/>
      <c r="Y77" s="827"/>
      <c r="Z77" s="827"/>
      <c r="AA77" s="827"/>
      <c r="AB77" s="827"/>
      <c r="AC77" s="827"/>
      <c r="AD77" s="827"/>
      <c r="AE77" s="827"/>
      <c r="AF77" s="827"/>
      <c r="AG77" s="827"/>
      <c r="AH77" s="827"/>
      <c r="AI77" s="827"/>
      <c r="AJ77" s="827"/>
      <c r="AK77" s="827"/>
      <c r="AL77" s="827"/>
      <c r="AM77" s="827"/>
      <c r="AN77" s="827"/>
      <c r="AO77" s="827"/>
      <c r="AP77" s="827"/>
      <c r="AQ77" s="827"/>
      <c r="AR77" s="828"/>
    </row>
    <row r="78" spans="2:44" ht="13.8" thickBot="1">
      <c r="B78" s="86"/>
      <c r="C78" s="86"/>
      <c r="D78" s="86"/>
      <c r="E78" s="86"/>
      <c r="F78" s="86"/>
      <c r="G78" s="216">
        <f>G77/'2023'!H35</f>
        <v>0</v>
      </c>
      <c r="H78" s="228">
        <f>G77/'2023'!T17</f>
        <v>0</v>
      </c>
      <c r="J78" s="302"/>
      <c r="K78" s="302"/>
      <c r="L78" s="302"/>
      <c r="M78" s="301"/>
      <c r="N78" s="302"/>
      <c r="O78" s="308"/>
      <c r="P78" s="308"/>
      <c r="Q78" s="308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</row>
    <row r="79" spans="2:44" ht="14.4" thickBot="1">
      <c r="B79" s="188"/>
      <c r="C79" s="188"/>
      <c r="D79" s="188"/>
      <c r="E79" s="188"/>
      <c r="F79" s="188"/>
      <c r="G79" s="188"/>
      <c r="H79" s="188"/>
      <c r="J79" s="302"/>
      <c r="K79" s="302"/>
      <c r="L79" s="302"/>
      <c r="M79" s="301"/>
      <c r="N79" s="831" t="s">
        <v>350</v>
      </c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  <c r="AQ79" s="832"/>
      <c r="AR79" s="833"/>
    </row>
    <row r="80" spans="2:44" ht="19.5" customHeight="1" thickBot="1">
      <c r="B80" s="819" t="s">
        <v>351</v>
      </c>
      <c r="C80" s="820"/>
      <c r="D80" s="820"/>
      <c r="E80" s="820"/>
      <c r="F80" s="820"/>
      <c r="G80" s="820"/>
      <c r="H80" s="821"/>
      <c r="J80" s="302"/>
      <c r="K80" s="302"/>
      <c r="L80" s="310"/>
      <c r="M80" s="310"/>
      <c r="N80" s="300">
        <v>0</v>
      </c>
      <c r="O80" s="299">
        <v>1</v>
      </c>
      <c r="P80" s="299">
        <v>2</v>
      </c>
      <c r="Q80" s="299">
        <v>3</v>
      </c>
      <c r="R80" s="299">
        <v>4</v>
      </c>
      <c r="S80" s="299">
        <v>5</v>
      </c>
      <c r="T80" s="299">
        <v>6</v>
      </c>
      <c r="U80" s="299">
        <v>7</v>
      </c>
      <c r="V80" s="299">
        <v>8</v>
      </c>
      <c r="W80" s="299">
        <v>9</v>
      </c>
      <c r="X80" s="299">
        <v>10</v>
      </c>
      <c r="Y80" s="299">
        <v>11</v>
      </c>
      <c r="Z80" s="299">
        <v>12</v>
      </c>
      <c r="AA80" s="299">
        <v>13</v>
      </c>
      <c r="AB80" s="299">
        <v>14</v>
      </c>
      <c r="AC80" s="299">
        <v>15</v>
      </c>
      <c r="AD80" s="299">
        <v>16</v>
      </c>
      <c r="AE80" s="299">
        <v>17</v>
      </c>
      <c r="AF80" s="299">
        <v>18</v>
      </c>
      <c r="AG80" s="299">
        <v>19</v>
      </c>
      <c r="AH80" s="299">
        <v>20</v>
      </c>
      <c r="AI80" s="299">
        <v>21</v>
      </c>
      <c r="AJ80" s="299">
        <v>22</v>
      </c>
      <c r="AK80" s="299">
        <v>23</v>
      </c>
      <c r="AL80" s="299">
        <v>24</v>
      </c>
      <c r="AM80" s="299">
        <v>25</v>
      </c>
      <c r="AN80" s="299">
        <v>26</v>
      </c>
      <c r="AO80" s="299">
        <v>27</v>
      </c>
      <c r="AP80" s="299">
        <v>28</v>
      </c>
      <c r="AQ80" s="299">
        <v>29</v>
      </c>
      <c r="AR80" s="298">
        <v>30</v>
      </c>
    </row>
    <row r="81" spans="2:44" ht="30" customHeight="1">
      <c r="B81" s="186" t="str">
        <f>+B71</f>
        <v>Vecteurs énergétiques</v>
      </c>
      <c r="C81" s="186" t="str">
        <f>+C71</f>
        <v>Quantités</v>
      </c>
      <c r="D81" s="186" t="str">
        <f>+D71</f>
        <v>Unités</v>
      </c>
      <c r="E81" s="834" t="s">
        <v>352</v>
      </c>
      <c r="F81" s="834"/>
      <c r="G81" s="186" t="s">
        <v>353</v>
      </c>
      <c r="H81" s="185"/>
      <c r="J81" s="302"/>
      <c r="K81" s="302"/>
      <c r="L81" s="835" t="s">
        <v>354</v>
      </c>
      <c r="M81" s="297" t="s">
        <v>311</v>
      </c>
      <c r="N81" s="296">
        <f>(M55)</f>
        <v>0</v>
      </c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7"/>
    </row>
    <row r="82" spans="2:44" ht="16.2" thickBot="1">
      <c r="B82" s="184" t="str">
        <f>+B72</f>
        <v>Electricité 
achetée</v>
      </c>
      <c r="C82" s="183">
        <f t="shared" ref="C82:D86" si="2">C72</f>
        <v>0</v>
      </c>
      <c r="D82" s="183" t="str">
        <f t="shared" si="2"/>
        <v>kWh</v>
      </c>
      <c r="E82" s="211">
        <f>Paramètres!C$12</f>
        <v>0.216</v>
      </c>
      <c r="F82" s="145" t="str">
        <f>"kgCO2/"&amp;D82</f>
        <v>kgCO2/kWh</v>
      </c>
      <c r="G82" s="182">
        <f>+C82*E82</f>
        <v>0</v>
      </c>
      <c r="H82" s="181" t="s">
        <v>355</v>
      </c>
      <c r="J82" s="302"/>
      <c r="K82" s="302"/>
      <c r="L82" s="836"/>
      <c r="M82" s="310" t="s">
        <v>314</v>
      </c>
      <c r="N82" s="290">
        <f>M56</f>
        <v>0</v>
      </c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16"/>
    </row>
    <row r="83" spans="2:44" ht="15.6">
      <c r="B83" s="184" t="str">
        <f>+B73</f>
        <v>Gaz Naturel</v>
      </c>
      <c r="C83" s="183">
        <f t="shared" si="2"/>
        <v>0</v>
      </c>
      <c r="D83" s="183" t="str">
        <f t="shared" si="2"/>
        <v>kWhs</v>
      </c>
      <c r="E83" s="211">
        <f>Paramètres!D$12</f>
        <v>0.218</v>
      </c>
      <c r="F83" s="145" t="str">
        <f t="shared" ref="F83:F86" si="3">"kgCO2/"&amp;D83</f>
        <v>kgCO2/kWhs</v>
      </c>
      <c r="G83" s="182">
        <f>+C83*E83</f>
        <v>0</v>
      </c>
      <c r="H83" s="181" t="s">
        <v>355</v>
      </c>
      <c r="I83" s="81"/>
      <c r="J83" s="302"/>
      <c r="K83" s="302"/>
      <c r="L83" s="837" t="s">
        <v>356</v>
      </c>
      <c r="M83" s="297" t="s">
        <v>357</v>
      </c>
      <c r="N83" s="290">
        <f>M57+M58</f>
        <v>0</v>
      </c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16"/>
    </row>
    <row r="84" spans="2:44" ht="15.6">
      <c r="B84" s="184" t="str">
        <f>+B74</f>
        <v>Biogaz</v>
      </c>
      <c r="C84" s="183">
        <f t="shared" si="2"/>
        <v>0</v>
      </c>
      <c r="D84" s="183" t="str">
        <f t="shared" si="2"/>
        <v>kWhs</v>
      </c>
      <c r="E84" s="211">
        <f>Paramètres!F$12</f>
        <v>0</v>
      </c>
      <c r="F84" s="145" t="str">
        <f t="shared" si="3"/>
        <v>kgCO2/kWhs</v>
      </c>
      <c r="G84" s="182">
        <f>+C84*E84</f>
        <v>0</v>
      </c>
      <c r="H84" s="181" t="s">
        <v>355</v>
      </c>
      <c r="I84" s="81"/>
      <c r="J84" s="302"/>
      <c r="K84" s="302"/>
      <c r="L84" s="836"/>
      <c r="M84" s="310"/>
      <c r="N84" s="290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16"/>
    </row>
    <row r="85" spans="2:44" ht="16.2" thickBot="1">
      <c r="B85" s="184" t="str">
        <f>+B75</f>
        <v>Elec SER</v>
      </c>
      <c r="C85" s="183">
        <f t="shared" si="2"/>
        <v>0</v>
      </c>
      <c r="D85" s="183" t="str">
        <f t="shared" si="2"/>
        <v>kWh</v>
      </c>
      <c r="E85" s="211">
        <f>Paramètres!G$12</f>
        <v>0</v>
      </c>
      <c r="F85" s="145" t="str">
        <f t="shared" si="3"/>
        <v>kgCO2/kWh</v>
      </c>
      <c r="G85" s="182">
        <f>+C85*E85</f>
        <v>0</v>
      </c>
      <c r="H85" s="181" t="s">
        <v>355</v>
      </c>
      <c r="J85" s="302"/>
      <c r="K85" s="302"/>
      <c r="L85" s="838"/>
      <c r="M85" s="315" t="s">
        <v>358</v>
      </c>
      <c r="N85" s="278"/>
      <c r="O85" s="277" t="str">
        <f t="shared" ref="O85:Y85" si="4">IF(O80&lt;=$M$63,$M$62,"")</f>
        <v/>
      </c>
      <c r="P85" s="277" t="str">
        <f t="shared" si="4"/>
        <v/>
      </c>
      <c r="Q85" s="277" t="str">
        <f t="shared" si="4"/>
        <v/>
      </c>
      <c r="R85" s="277" t="str">
        <f t="shared" si="4"/>
        <v/>
      </c>
      <c r="S85" s="277" t="str">
        <f t="shared" si="4"/>
        <v/>
      </c>
      <c r="T85" s="277" t="str">
        <f t="shared" si="4"/>
        <v/>
      </c>
      <c r="U85" s="277" t="str">
        <f t="shared" si="4"/>
        <v/>
      </c>
      <c r="V85" s="277" t="str">
        <f t="shared" si="4"/>
        <v/>
      </c>
      <c r="W85" s="277" t="str">
        <f t="shared" si="4"/>
        <v/>
      </c>
      <c r="X85" s="277" t="str">
        <f t="shared" si="4"/>
        <v/>
      </c>
      <c r="Y85" s="277" t="str">
        <f t="shared" si="4"/>
        <v/>
      </c>
      <c r="Z85" s="277" t="str">
        <f t="shared" ref="Z85:AR85" si="5">IF(X80&lt;=$M$63,$M$62,"")</f>
        <v/>
      </c>
      <c r="AA85" s="277" t="str">
        <f t="shared" si="5"/>
        <v/>
      </c>
      <c r="AB85" s="277" t="str">
        <f t="shared" si="5"/>
        <v/>
      </c>
      <c r="AC85" s="277" t="str">
        <f t="shared" si="5"/>
        <v/>
      </c>
      <c r="AD85" s="277" t="str">
        <f t="shared" si="5"/>
        <v/>
      </c>
      <c r="AE85" s="277" t="str">
        <f t="shared" si="5"/>
        <v/>
      </c>
      <c r="AF85" s="277" t="str">
        <f t="shared" si="5"/>
        <v/>
      </c>
      <c r="AG85" s="277" t="str">
        <f t="shared" si="5"/>
        <v/>
      </c>
      <c r="AH85" s="277" t="str">
        <f t="shared" si="5"/>
        <v/>
      </c>
      <c r="AI85" s="277" t="str">
        <f t="shared" si="5"/>
        <v/>
      </c>
      <c r="AJ85" s="277" t="str">
        <f t="shared" si="5"/>
        <v/>
      </c>
      <c r="AK85" s="277" t="str">
        <f t="shared" si="5"/>
        <v/>
      </c>
      <c r="AL85" s="277" t="str">
        <f t="shared" si="5"/>
        <v/>
      </c>
      <c r="AM85" s="277" t="str">
        <f t="shared" si="5"/>
        <v/>
      </c>
      <c r="AN85" s="277" t="str">
        <f t="shared" si="5"/>
        <v/>
      </c>
      <c r="AO85" s="277" t="str">
        <f t="shared" si="5"/>
        <v/>
      </c>
      <c r="AP85" s="277" t="str">
        <f t="shared" si="5"/>
        <v/>
      </c>
      <c r="AQ85" s="277" t="str">
        <f t="shared" si="5"/>
        <v/>
      </c>
      <c r="AR85" s="276" t="str">
        <f t="shared" si="5"/>
        <v/>
      </c>
    </row>
    <row r="86" spans="2:44" ht="16.2" thickBot="1">
      <c r="B86" s="184" t="str">
        <f>+B76</f>
        <v>Process</v>
      </c>
      <c r="C86" s="183">
        <f t="shared" si="2"/>
        <v>0</v>
      </c>
      <c r="D86" s="183" t="str">
        <f t="shared" si="2"/>
        <v>kgCO2</v>
      </c>
      <c r="E86" s="211">
        <f>Paramètres!H$12</f>
        <v>1</v>
      </c>
      <c r="F86" s="145" t="str">
        <f t="shared" si="3"/>
        <v>kgCO2/kgCO2</v>
      </c>
      <c r="G86" s="182">
        <f>+C86*E86</f>
        <v>0</v>
      </c>
      <c r="H86" s="181" t="s">
        <v>355</v>
      </c>
      <c r="J86" s="302"/>
      <c r="K86" s="302"/>
      <c r="L86" s="312"/>
      <c r="M86" s="292"/>
      <c r="N86" s="278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6"/>
    </row>
    <row r="87" spans="2:44" ht="16.2" thickBot="1">
      <c r="B87" s="824" t="s">
        <v>359</v>
      </c>
      <c r="C87" s="825"/>
      <c r="D87" s="825"/>
      <c r="E87" s="825"/>
      <c r="F87" s="825"/>
      <c r="G87" s="180">
        <f>SUM(G82:G85)</f>
        <v>0</v>
      </c>
      <c r="H87" s="179" t="s">
        <v>355</v>
      </c>
      <c r="J87" s="302"/>
      <c r="K87" s="302"/>
      <c r="L87" s="314" t="s">
        <v>360</v>
      </c>
      <c r="M87" s="313" t="s">
        <v>360</v>
      </c>
      <c r="N87" s="278"/>
      <c r="O87" s="277">
        <f>IF(O80&lt;=$K$16,($M$61+$M$64+$M$65+$M$66+$M$67+$M$68+$M$69+$M$70+$M$71+$M$72),"")</f>
        <v>0</v>
      </c>
      <c r="P87" s="277">
        <f>IF(P80&lt;=$K$16,('AA9'!O87*(1+Paramètres!$B$20)),"")</f>
        <v>0</v>
      </c>
      <c r="Q87" s="277">
        <f>IF(Q80&lt;=$K$16,('AA9'!P87*(1+Paramètres!$B$20)),"")</f>
        <v>0</v>
      </c>
      <c r="R87" s="277">
        <f>IF(R80&lt;=$K$16,('AA9'!Q87*(1+Paramètres!$B$20)),"")</f>
        <v>0</v>
      </c>
      <c r="S87" s="277">
        <f>IF(S80&lt;=$K$16,('AA9'!R87*(1+Paramètres!$B$20)),"")</f>
        <v>0</v>
      </c>
      <c r="T87" s="277">
        <f>IF(T80&lt;=$K$16,('AA9'!S87*(1+Paramètres!$B$20)),"")</f>
        <v>0</v>
      </c>
      <c r="U87" s="277">
        <f>IF(U80&lt;=$K$16,('AA9'!T87*(1+Paramètres!$B$20)),"")</f>
        <v>0</v>
      </c>
      <c r="V87" s="277">
        <f>IF(V80&lt;=$K$16,('AA9'!U87*(1+Paramètres!$B$20)),"")</f>
        <v>0</v>
      </c>
      <c r="W87" s="277">
        <f>IF(W80&lt;=$K$16,('AA9'!V87*(1+Paramètres!$B$20)),"")</f>
        <v>0</v>
      </c>
      <c r="X87" s="277">
        <f>IF(X80&lt;=$K$16,('AA9'!W87*(1+Paramètres!$B$20)),"")</f>
        <v>0</v>
      </c>
      <c r="Y87" s="277">
        <f>IF(Y80&lt;=$K$16,('AA9'!X87*(1+Paramètres!$B$20)),"")</f>
        <v>0</v>
      </c>
      <c r="Z87" s="277">
        <f>IF(Z80&lt;=$K$16,('AA9'!Y87*(1+Paramètres!$B$20)),"")</f>
        <v>0</v>
      </c>
      <c r="AA87" s="277">
        <f>IF(AA80&lt;=$K$16,('AA9'!Z87*(1+Paramètres!$B$20)),"")</f>
        <v>0</v>
      </c>
      <c r="AB87" s="277">
        <f>IF(AB80&lt;=$K$16,('AA9'!AA87*(1+Paramètres!$B$20)),"")</f>
        <v>0</v>
      </c>
      <c r="AC87" s="277">
        <f>IF(AC80&lt;=$K$16,('AA9'!AB87*(1+Paramètres!$B$20)),"")</f>
        <v>0</v>
      </c>
      <c r="AD87" s="277" t="str">
        <f>IF(AD80&lt;=$K$16,('AA9'!AC87*(1+Paramètres!$B$20)),"")</f>
        <v/>
      </c>
      <c r="AE87" s="277" t="str">
        <f>IF(AE80&lt;=$K$16,('AA9'!AD87*(1+Paramètres!$B$20)),"")</f>
        <v/>
      </c>
      <c r="AF87" s="277" t="str">
        <f>IF(AF80&lt;=$K$16,('AA9'!AE87*(1+Paramètres!$B$20)),"")</f>
        <v/>
      </c>
      <c r="AG87" s="277" t="str">
        <f>IF(AG80&lt;=$K$16,('AA9'!AF87*(1+Paramètres!$B$20)),"")</f>
        <v/>
      </c>
      <c r="AH87" s="277" t="str">
        <f>IF(AH80&lt;=$K$16,('AA9'!AG87*(1+Paramètres!$B$20)),"")</f>
        <v/>
      </c>
      <c r="AI87" s="277" t="str">
        <f>IF(AI80&lt;=$K$16,('AA9'!AH87*(1+Paramètres!$B$20)),"")</f>
        <v/>
      </c>
      <c r="AJ87" s="277" t="str">
        <f>IF(AJ80&lt;=$K$16,('AA9'!AI87*(1+Paramètres!$B$20)),"")</f>
        <v/>
      </c>
      <c r="AK87" s="277" t="str">
        <f>IF(AK80&lt;=$K$16,('AA9'!AJ87*(1+Paramètres!$B$20)),"")</f>
        <v/>
      </c>
      <c r="AL87" s="277" t="str">
        <f>IF(AL80&lt;=$K$16,('AA9'!AK87*(1+Paramètres!$B$20)),"")</f>
        <v/>
      </c>
      <c r="AM87" s="277" t="str">
        <f>IF(AM80&lt;=$K$16,('AA9'!AL87*(1+Paramètres!$B$20)),"")</f>
        <v/>
      </c>
      <c r="AN87" s="277" t="str">
        <f>IF(AN80&lt;=$K$16,('AA9'!AM87*(1+Paramètres!$B$20)),"")</f>
        <v/>
      </c>
      <c r="AO87" s="277" t="str">
        <f>IF(AO80&lt;=$K$16,('AA9'!AN87*(1+Paramètres!$B$20)),"")</f>
        <v/>
      </c>
      <c r="AP87" s="277" t="str">
        <f>IF(AP80&lt;=$K$16,('AA9'!AO87*(1+Paramètres!$B$20)),"")</f>
        <v/>
      </c>
      <c r="AQ87" s="277" t="str">
        <f>IF(AQ80&lt;=$K$16,('AA9'!AP87*(1+Paramètres!$B$20)),"")</f>
        <v/>
      </c>
      <c r="AR87" s="276" t="str">
        <f>IF(AR80&lt;=$K$16,('AA9'!AQ87*(1+Paramètres!$B$20)),"")</f>
        <v/>
      </c>
    </row>
    <row r="88" spans="2:44" ht="13.8" thickBot="1">
      <c r="G88" s="217">
        <f>G87/'2023'!H36</f>
        <v>0</v>
      </c>
      <c r="H88" s="144">
        <f>G87/'2023'!H36</f>
        <v>0</v>
      </c>
      <c r="J88" s="302"/>
      <c r="K88" s="302"/>
      <c r="L88" s="312" t="s">
        <v>361</v>
      </c>
      <c r="M88" s="292" t="s">
        <v>319</v>
      </c>
      <c r="N88" s="265" t="str">
        <f t="shared" ref="N88:AR88" si="6">IF(N80=$K$16,$M$59,"")</f>
        <v/>
      </c>
      <c r="O88" s="264" t="str">
        <f t="shared" si="6"/>
        <v/>
      </c>
      <c r="P88" s="264" t="str">
        <f t="shared" si="6"/>
        <v/>
      </c>
      <c r="Q88" s="264" t="str">
        <f t="shared" si="6"/>
        <v/>
      </c>
      <c r="R88" s="264" t="str">
        <f t="shared" si="6"/>
        <v/>
      </c>
      <c r="S88" s="264" t="str">
        <f t="shared" si="6"/>
        <v/>
      </c>
      <c r="T88" s="264" t="str">
        <f t="shared" si="6"/>
        <v/>
      </c>
      <c r="U88" s="264" t="str">
        <f t="shared" si="6"/>
        <v/>
      </c>
      <c r="V88" s="264" t="str">
        <f t="shared" si="6"/>
        <v/>
      </c>
      <c r="W88" s="264" t="str">
        <f t="shared" si="6"/>
        <v/>
      </c>
      <c r="X88" s="264" t="str">
        <f t="shared" si="6"/>
        <v/>
      </c>
      <c r="Y88" s="264" t="str">
        <f t="shared" si="6"/>
        <v/>
      </c>
      <c r="Z88" s="264" t="str">
        <f t="shared" si="6"/>
        <v/>
      </c>
      <c r="AA88" s="264" t="str">
        <f t="shared" si="6"/>
        <v/>
      </c>
      <c r="AB88" s="264" t="str">
        <f t="shared" si="6"/>
        <v/>
      </c>
      <c r="AC88" s="264">
        <f t="shared" si="6"/>
        <v>0</v>
      </c>
      <c r="AD88" s="264" t="str">
        <f t="shared" si="6"/>
        <v/>
      </c>
      <c r="AE88" s="264" t="str">
        <f t="shared" si="6"/>
        <v/>
      </c>
      <c r="AF88" s="264" t="str">
        <f t="shared" si="6"/>
        <v/>
      </c>
      <c r="AG88" s="264" t="str">
        <f t="shared" si="6"/>
        <v/>
      </c>
      <c r="AH88" s="264" t="str">
        <f t="shared" si="6"/>
        <v/>
      </c>
      <c r="AI88" s="264" t="str">
        <f t="shared" si="6"/>
        <v/>
      </c>
      <c r="AJ88" s="264" t="str">
        <f t="shared" si="6"/>
        <v/>
      </c>
      <c r="AK88" s="264" t="str">
        <f t="shared" si="6"/>
        <v/>
      </c>
      <c r="AL88" s="264" t="str">
        <f t="shared" si="6"/>
        <v/>
      </c>
      <c r="AM88" s="264" t="str">
        <f t="shared" si="6"/>
        <v/>
      </c>
      <c r="AN88" s="264" t="str">
        <f t="shared" si="6"/>
        <v/>
      </c>
      <c r="AO88" s="264" t="str">
        <f t="shared" si="6"/>
        <v/>
      </c>
      <c r="AP88" s="264" t="str">
        <f t="shared" si="6"/>
        <v/>
      </c>
      <c r="AQ88" s="264" t="str">
        <f t="shared" si="6"/>
        <v/>
      </c>
      <c r="AR88" s="263" t="str">
        <f t="shared" si="6"/>
        <v/>
      </c>
    </row>
    <row r="89" spans="2:44" ht="13.8" thickBot="1">
      <c r="J89" s="302"/>
      <c r="K89" s="302"/>
      <c r="L89" s="839" t="s">
        <v>362</v>
      </c>
      <c r="M89" s="840"/>
      <c r="N89" s="260" t="str">
        <f t="shared" ref="N89:AR89" si="7">IF(SUM(N81:N88)=0,"",SUM(N81:N88))</f>
        <v/>
      </c>
      <c r="O89" s="259" t="str">
        <f t="shared" si="7"/>
        <v/>
      </c>
      <c r="P89" s="259" t="str">
        <f t="shared" si="7"/>
        <v/>
      </c>
      <c r="Q89" s="259" t="str">
        <f t="shared" si="7"/>
        <v/>
      </c>
      <c r="R89" s="259" t="str">
        <f t="shared" si="7"/>
        <v/>
      </c>
      <c r="S89" s="259" t="str">
        <f t="shared" si="7"/>
        <v/>
      </c>
      <c r="T89" s="259" t="str">
        <f t="shared" si="7"/>
        <v/>
      </c>
      <c r="U89" s="259" t="str">
        <f t="shared" si="7"/>
        <v/>
      </c>
      <c r="V89" s="259" t="str">
        <f t="shared" si="7"/>
        <v/>
      </c>
      <c r="W89" s="259" t="str">
        <f t="shared" si="7"/>
        <v/>
      </c>
      <c r="X89" s="259" t="str">
        <f t="shared" si="7"/>
        <v/>
      </c>
      <c r="Y89" s="259" t="str">
        <f t="shared" si="7"/>
        <v/>
      </c>
      <c r="Z89" s="259" t="str">
        <f t="shared" si="7"/>
        <v/>
      </c>
      <c r="AA89" s="259" t="str">
        <f t="shared" si="7"/>
        <v/>
      </c>
      <c r="AB89" s="259" t="str">
        <f t="shared" si="7"/>
        <v/>
      </c>
      <c r="AC89" s="259" t="str">
        <f t="shared" si="7"/>
        <v/>
      </c>
      <c r="AD89" s="259" t="str">
        <f t="shared" si="7"/>
        <v/>
      </c>
      <c r="AE89" s="259" t="str">
        <f t="shared" si="7"/>
        <v/>
      </c>
      <c r="AF89" s="259" t="str">
        <f t="shared" si="7"/>
        <v/>
      </c>
      <c r="AG89" s="259" t="str">
        <f t="shared" si="7"/>
        <v/>
      </c>
      <c r="AH89" s="259" t="str">
        <f t="shared" si="7"/>
        <v/>
      </c>
      <c r="AI89" s="259" t="str">
        <f t="shared" si="7"/>
        <v/>
      </c>
      <c r="AJ89" s="259" t="str">
        <f t="shared" si="7"/>
        <v/>
      </c>
      <c r="AK89" s="259" t="str">
        <f t="shared" si="7"/>
        <v/>
      </c>
      <c r="AL89" s="259" t="str">
        <f t="shared" si="7"/>
        <v/>
      </c>
      <c r="AM89" s="259" t="str">
        <f t="shared" si="7"/>
        <v/>
      </c>
      <c r="AN89" s="259" t="str">
        <f t="shared" si="7"/>
        <v/>
      </c>
      <c r="AO89" s="259" t="str">
        <f t="shared" si="7"/>
        <v/>
      </c>
      <c r="AP89" s="259" t="str">
        <f t="shared" si="7"/>
        <v/>
      </c>
      <c r="AQ89" s="259" t="str">
        <f t="shared" si="7"/>
        <v/>
      </c>
      <c r="AR89" s="258" t="str">
        <f t="shared" si="7"/>
        <v/>
      </c>
    </row>
    <row r="90" spans="2:44" ht="13.8" thickBot="1">
      <c r="J90" s="302"/>
      <c r="K90" s="302"/>
      <c r="L90" s="841" t="s">
        <v>363</v>
      </c>
      <c r="M90" s="842"/>
      <c r="N90" s="260" t="str">
        <f>IF(N89="","",((N89)/(1+Paramètres!$B$19)^N80))</f>
        <v/>
      </c>
      <c r="O90" s="259" t="str">
        <f>IF(O89="","",((O89)/(1+Paramètres!$B$19)^O80))</f>
        <v/>
      </c>
      <c r="P90" s="259" t="str">
        <f>IF(P89="","",((P89)/(1+Paramètres!$B$19)^P80))</f>
        <v/>
      </c>
      <c r="Q90" s="259" t="str">
        <f>IF(Q89="","",((Q89)/(1+Paramètres!$B$19)^Q80))</f>
        <v/>
      </c>
      <c r="R90" s="259" t="str">
        <f>IF(R89="","",((R89)/(1+Paramètres!$B$19)^R80))</f>
        <v/>
      </c>
      <c r="S90" s="259" t="str">
        <f>IF(S89="","",((S89)/(1+Paramètres!$B$19)^S80))</f>
        <v/>
      </c>
      <c r="T90" s="259" t="str">
        <f>IF(T89="","",((T89)/(1+Paramètres!$B$19)^T80))</f>
        <v/>
      </c>
      <c r="U90" s="259" t="str">
        <f>IF(U89="","",((U89)/(1+Paramètres!$B$19)^U80))</f>
        <v/>
      </c>
      <c r="V90" s="259" t="str">
        <f>IF(V89="","",((V89)/(1+Paramètres!$B$19)^V80))</f>
        <v/>
      </c>
      <c r="W90" s="259" t="str">
        <f>IF(W89="","",((W89)/(1+Paramètres!$B$19)^W80))</f>
        <v/>
      </c>
      <c r="X90" s="259" t="str">
        <f>IF(X89="","",((X89)/(1+Paramètres!$B$19)^X80))</f>
        <v/>
      </c>
      <c r="Y90" s="259" t="str">
        <f>IF(Y89="","",((Y89)/(1+Paramètres!$B$19)^Y80))</f>
        <v/>
      </c>
      <c r="Z90" s="259" t="str">
        <f>IF(Z89="","",((Z89)/(1+Paramètres!$B$19)^Z80))</f>
        <v/>
      </c>
      <c r="AA90" s="259" t="str">
        <f>IF(AA89="","",((AA89)/(1+Paramètres!$B$19)^AA80))</f>
        <v/>
      </c>
      <c r="AB90" s="259" t="str">
        <f>IF(AB89="","",((AB89)/(1+Paramètres!$B$19)^AB80))</f>
        <v/>
      </c>
      <c r="AC90" s="259" t="str">
        <f>IF(AC89="","",((AC89)/(1+Paramètres!$B$19)^AC80))</f>
        <v/>
      </c>
      <c r="AD90" s="259" t="str">
        <f>IF(AD89="","",((AD89)/(1+Paramètres!$B$19)^AD80))</f>
        <v/>
      </c>
      <c r="AE90" s="259" t="str">
        <f>IF(AE89="","",((AE89)/(1+Paramètres!$B$19)^AE80))</f>
        <v/>
      </c>
      <c r="AF90" s="259" t="str">
        <f>IF(AF89="","",((AF89)/(1+Paramètres!$B$19)^AF80))</f>
        <v/>
      </c>
      <c r="AG90" s="259" t="str">
        <f>IF(AG89="","",((AG89)/(1+Paramètres!$B$19)^AG80))</f>
        <v/>
      </c>
      <c r="AH90" s="259" t="str">
        <f>IF(AH89="","",((AH89)/(1+Paramètres!$B$19)^AH80))</f>
        <v/>
      </c>
      <c r="AI90" s="259" t="str">
        <f>IF(AI89="","",((AI89)/(1+Paramètres!$B$19)^AI80))</f>
        <v/>
      </c>
      <c r="AJ90" s="259" t="str">
        <f>IF(AJ89="","",((AJ89)/(1+Paramètres!$B$19)^AJ80))</f>
        <v/>
      </c>
      <c r="AK90" s="259" t="str">
        <f>IF(AK89="","",((AK89)/(1+Paramètres!$B$19)^AK80))</f>
        <v/>
      </c>
      <c r="AL90" s="259" t="str">
        <f>IF(AL89="","",((AL89)/(1+Paramètres!$B$19)^AL80))</f>
        <v/>
      </c>
      <c r="AM90" s="259" t="str">
        <f>IF(AM89="","",((AM89)/(1+Paramètres!$B$19)^AM80))</f>
        <v/>
      </c>
      <c r="AN90" s="259" t="str">
        <f>IF(AN89="","",((AN89)/(1+Paramètres!$B$19)^AN80))</f>
        <v/>
      </c>
      <c r="AO90" s="259" t="str">
        <f>IF(AO89="","",((AO89)/(1+Paramètres!$B$19)^AO80))</f>
        <v/>
      </c>
      <c r="AP90" s="259" t="str">
        <f>IF(AP89="","",((AP89)/(1+Paramètres!$B$19)^AP80))</f>
        <v/>
      </c>
      <c r="AQ90" s="259" t="str">
        <f>IF(AQ89="","",((AQ89)/(1+Paramètres!$B$19)^AQ80))</f>
        <v/>
      </c>
      <c r="AR90" s="258" t="str">
        <f>IF(AR89="","",((AR89)/(1+Paramètres!$B$19)^AR80))</f>
        <v/>
      </c>
    </row>
    <row r="91" spans="2:44" ht="13.8" thickBot="1">
      <c r="J91" s="302"/>
      <c r="K91" s="302"/>
      <c r="L91" s="841" t="s">
        <v>364</v>
      </c>
      <c r="M91" s="842"/>
      <c r="N91" s="257" t="str">
        <f>N90</f>
        <v/>
      </c>
      <c r="O91" s="256" t="str">
        <f t="shared" ref="O91:AR91" si="8">IF(O90="","",((N91+O90)))</f>
        <v/>
      </c>
      <c r="P91" s="256" t="str">
        <f t="shared" si="8"/>
        <v/>
      </c>
      <c r="Q91" s="256" t="str">
        <f t="shared" si="8"/>
        <v/>
      </c>
      <c r="R91" s="256" t="str">
        <f t="shared" si="8"/>
        <v/>
      </c>
      <c r="S91" s="256" t="str">
        <f t="shared" si="8"/>
        <v/>
      </c>
      <c r="T91" s="256" t="str">
        <f t="shared" si="8"/>
        <v/>
      </c>
      <c r="U91" s="256" t="str">
        <f t="shared" si="8"/>
        <v/>
      </c>
      <c r="V91" s="256" t="str">
        <f t="shared" si="8"/>
        <v/>
      </c>
      <c r="W91" s="256" t="str">
        <f t="shared" si="8"/>
        <v/>
      </c>
      <c r="X91" s="256" t="str">
        <f t="shared" si="8"/>
        <v/>
      </c>
      <c r="Y91" s="256" t="str">
        <f t="shared" si="8"/>
        <v/>
      </c>
      <c r="Z91" s="256" t="str">
        <f t="shared" si="8"/>
        <v/>
      </c>
      <c r="AA91" s="256" t="str">
        <f t="shared" si="8"/>
        <v/>
      </c>
      <c r="AB91" s="256" t="str">
        <f t="shared" si="8"/>
        <v/>
      </c>
      <c r="AC91" s="256" t="str">
        <f t="shared" si="8"/>
        <v/>
      </c>
      <c r="AD91" s="256" t="str">
        <f t="shared" si="8"/>
        <v/>
      </c>
      <c r="AE91" s="256" t="str">
        <f t="shared" si="8"/>
        <v/>
      </c>
      <c r="AF91" s="256" t="str">
        <f t="shared" si="8"/>
        <v/>
      </c>
      <c r="AG91" s="256" t="str">
        <f t="shared" si="8"/>
        <v/>
      </c>
      <c r="AH91" s="256" t="str">
        <f t="shared" si="8"/>
        <v/>
      </c>
      <c r="AI91" s="256" t="str">
        <f t="shared" si="8"/>
        <v/>
      </c>
      <c r="AJ91" s="256" t="str">
        <f t="shared" si="8"/>
        <v/>
      </c>
      <c r="AK91" s="256" t="str">
        <f t="shared" si="8"/>
        <v/>
      </c>
      <c r="AL91" s="256" t="str">
        <f t="shared" si="8"/>
        <v/>
      </c>
      <c r="AM91" s="256" t="str">
        <f t="shared" si="8"/>
        <v/>
      </c>
      <c r="AN91" s="256" t="str">
        <f t="shared" si="8"/>
        <v/>
      </c>
      <c r="AO91" s="256" t="str">
        <f t="shared" si="8"/>
        <v/>
      </c>
      <c r="AP91" s="256" t="str">
        <f t="shared" si="8"/>
        <v/>
      </c>
      <c r="AQ91" s="256" t="str">
        <f t="shared" si="8"/>
        <v/>
      </c>
      <c r="AR91" s="255" t="str">
        <f t="shared" si="8"/>
        <v/>
      </c>
    </row>
    <row r="92" spans="2:44" ht="13.8" thickBot="1">
      <c r="J92" s="302"/>
      <c r="K92" s="302"/>
      <c r="L92" s="302"/>
      <c r="M92" s="302"/>
      <c r="N92" s="302"/>
      <c r="O92" s="301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</row>
    <row r="93" spans="2:44">
      <c r="J93" s="308"/>
      <c r="K93" s="308"/>
      <c r="L93" s="254" t="s">
        <v>225</v>
      </c>
      <c r="M93" s="253" t="str">
        <f>IFERROR(IRR(N89:AR89), "PROJET NON RENTABLE")</f>
        <v>PROJET NON RENTABLE</v>
      </c>
      <c r="N93" s="309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</row>
    <row r="94" spans="2:44" ht="13.8" thickBot="1">
      <c r="J94" s="305"/>
      <c r="K94" s="305"/>
      <c r="L94" s="252" t="s">
        <v>224</v>
      </c>
      <c r="M94" s="412" cm="1">
        <f t="array" ref="M94">IFERROR(INDEX(N80:AR80,MATCH(TRUE,N91:AR91&gt;0,0)),"PROJET NON RENTABLE")</f>
        <v>0</v>
      </c>
      <c r="N94" s="307"/>
      <c r="O94" s="305"/>
      <c r="P94" s="305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</row>
    <row r="95" spans="2:44">
      <c r="J95" s="302"/>
      <c r="K95" s="302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</row>
    <row r="96" spans="2:44" ht="13.8" thickBot="1">
      <c r="J96" s="302"/>
      <c r="K96" s="302"/>
      <c r="L96" s="302"/>
      <c r="M96" s="303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</row>
    <row r="97" spans="10:44" ht="16.2" thickBot="1">
      <c r="J97" s="826" t="s">
        <v>365</v>
      </c>
      <c r="K97" s="827"/>
      <c r="L97" s="827"/>
      <c r="M97" s="827"/>
      <c r="N97" s="827"/>
      <c r="O97" s="827"/>
      <c r="P97" s="827"/>
      <c r="Q97" s="827"/>
      <c r="R97" s="827"/>
      <c r="S97" s="827"/>
      <c r="T97" s="827"/>
      <c r="U97" s="827"/>
      <c r="V97" s="827"/>
      <c r="W97" s="827"/>
      <c r="X97" s="827"/>
      <c r="Y97" s="827"/>
      <c r="Z97" s="827"/>
      <c r="AA97" s="827"/>
      <c r="AB97" s="827"/>
      <c r="AC97" s="827"/>
      <c r="AD97" s="827"/>
      <c r="AE97" s="827"/>
      <c r="AF97" s="827"/>
      <c r="AG97" s="827"/>
      <c r="AH97" s="827"/>
      <c r="AI97" s="827"/>
      <c r="AJ97" s="827"/>
      <c r="AK97" s="827"/>
      <c r="AL97" s="827"/>
      <c r="AM97" s="827"/>
      <c r="AN97" s="827"/>
      <c r="AO97" s="827"/>
      <c r="AP97" s="827"/>
      <c r="AQ97" s="827"/>
      <c r="AR97" s="828"/>
    </row>
    <row r="98" spans="10:44" ht="21" thickBot="1"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1"/>
      <c r="AE98" s="261"/>
      <c r="AF98" s="261"/>
      <c r="AG98" s="261"/>
      <c r="AH98" s="261"/>
      <c r="AI98" s="261"/>
      <c r="AJ98" s="261"/>
      <c r="AK98" s="261"/>
      <c r="AL98" s="261"/>
      <c r="AM98" s="261"/>
      <c r="AN98" s="261"/>
      <c r="AO98" s="261"/>
      <c r="AP98" s="261"/>
      <c r="AQ98" s="261"/>
      <c r="AR98" s="261"/>
    </row>
    <row r="99" spans="10:44" ht="16.2" thickBot="1">
      <c r="J99" s="262"/>
      <c r="K99" s="262"/>
      <c r="L99" s="302"/>
      <c r="M99" s="301"/>
      <c r="N99" s="831" t="s">
        <v>366</v>
      </c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3"/>
    </row>
    <row r="100" spans="10:44" ht="16.2" thickBot="1">
      <c r="J100" s="262"/>
      <c r="K100" s="262"/>
      <c r="L100" s="302"/>
      <c r="M100" s="301"/>
      <c r="N100" s="300">
        <v>0</v>
      </c>
      <c r="O100" s="299">
        <v>1</v>
      </c>
      <c r="P100" s="299">
        <v>2</v>
      </c>
      <c r="Q100" s="299">
        <v>3</v>
      </c>
      <c r="R100" s="299">
        <v>4</v>
      </c>
      <c r="S100" s="299">
        <v>5</v>
      </c>
      <c r="T100" s="299">
        <v>6</v>
      </c>
      <c r="U100" s="299">
        <v>7</v>
      </c>
      <c r="V100" s="299">
        <v>8</v>
      </c>
      <c r="W100" s="299">
        <v>9</v>
      </c>
      <c r="X100" s="299">
        <v>10</v>
      </c>
      <c r="Y100" s="299">
        <v>11</v>
      </c>
      <c r="Z100" s="299">
        <v>12</v>
      </c>
      <c r="AA100" s="299">
        <v>13</v>
      </c>
      <c r="AB100" s="299">
        <v>14</v>
      </c>
      <c r="AC100" s="299">
        <v>15</v>
      </c>
      <c r="AD100" s="299">
        <v>16</v>
      </c>
      <c r="AE100" s="299">
        <v>17</v>
      </c>
      <c r="AF100" s="299">
        <v>18</v>
      </c>
      <c r="AG100" s="299">
        <v>19</v>
      </c>
      <c r="AH100" s="299">
        <v>20</v>
      </c>
      <c r="AI100" s="299">
        <v>21</v>
      </c>
      <c r="AJ100" s="299">
        <v>22</v>
      </c>
      <c r="AK100" s="299">
        <v>23</v>
      </c>
      <c r="AL100" s="299">
        <v>24</v>
      </c>
      <c r="AM100" s="299">
        <v>25</v>
      </c>
      <c r="AN100" s="299">
        <v>26</v>
      </c>
      <c r="AO100" s="299">
        <v>27</v>
      </c>
      <c r="AP100" s="299">
        <v>28</v>
      </c>
      <c r="AQ100" s="299">
        <v>29</v>
      </c>
      <c r="AR100" s="298">
        <v>30</v>
      </c>
    </row>
    <row r="101" spans="10:44" ht="20.399999999999999">
      <c r="J101" s="262"/>
      <c r="K101" s="262"/>
      <c r="L101" s="829" t="s">
        <v>354</v>
      </c>
      <c r="M101" s="297" t="s">
        <v>311</v>
      </c>
      <c r="N101" s="296">
        <f>(M55)</f>
        <v>0</v>
      </c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3"/>
    </row>
    <row r="102" spans="10:44" ht="21" thickBot="1">
      <c r="J102" s="262"/>
      <c r="K102" s="262"/>
      <c r="L102" s="830"/>
      <c r="M102" s="292" t="s">
        <v>314</v>
      </c>
      <c r="N102" s="290">
        <f>M56</f>
        <v>0</v>
      </c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  <c r="AO102" s="261"/>
      <c r="AP102" s="261"/>
      <c r="AQ102" s="261"/>
      <c r="AR102" s="288"/>
    </row>
    <row r="103" spans="10:44" ht="20.399999999999999">
      <c r="J103" s="262"/>
      <c r="K103" s="262"/>
      <c r="L103" s="829" t="s">
        <v>356</v>
      </c>
      <c r="M103" s="291" t="s">
        <v>357</v>
      </c>
      <c r="N103" s="290">
        <f>M57+M58</f>
        <v>0</v>
      </c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  <c r="AO103" s="261"/>
      <c r="AP103" s="261"/>
      <c r="AQ103" s="261"/>
      <c r="AR103" s="288"/>
    </row>
    <row r="104" spans="10:44" ht="16.2" thickBot="1">
      <c r="J104" s="262"/>
      <c r="K104" s="262"/>
      <c r="L104" s="830"/>
      <c r="M104" s="287" t="s">
        <v>358</v>
      </c>
      <c r="N104" s="278"/>
      <c r="O104" s="277" t="str">
        <f t="shared" ref="O104:AR104" si="9">IF(O100&lt;=$M$63,$M$62,"")</f>
        <v/>
      </c>
      <c r="P104" s="277" t="str">
        <f t="shared" si="9"/>
        <v/>
      </c>
      <c r="Q104" s="277" t="str">
        <f t="shared" si="9"/>
        <v/>
      </c>
      <c r="R104" s="277" t="str">
        <f t="shared" si="9"/>
        <v/>
      </c>
      <c r="S104" s="277" t="str">
        <f t="shared" si="9"/>
        <v/>
      </c>
      <c r="T104" s="277" t="str">
        <f t="shared" si="9"/>
        <v/>
      </c>
      <c r="U104" s="277" t="str">
        <f t="shared" si="9"/>
        <v/>
      </c>
      <c r="V104" s="277" t="str">
        <f t="shared" si="9"/>
        <v/>
      </c>
      <c r="W104" s="277" t="str">
        <f t="shared" si="9"/>
        <v/>
      </c>
      <c r="X104" s="277" t="str">
        <f t="shared" si="9"/>
        <v/>
      </c>
      <c r="Y104" s="277" t="str">
        <f t="shared" si="9"/>
        <v/>
      </c>
      <c r="Z104" s="277" t="str">
        <f t="shared" si="9"/>
        <v/>
      </c>
      <c r="AA104" s="277" t="str">
        <f t="shared" si="9"/>
        <v/>
      </c>
      <c r="AB104" s="277" t="str">
        <f t="shared" si="9"/>
        <v/>
      </c>
      <c r="AC104" s="277" t="str">
        <f t="shared" si="9"/>
        <v/>
      </c>
      <c r="AD104" s="277" t="str">
        <f t="shared" si="9"/>
        <v/>
      </c>
      <c r="AE104" s="277" t="str">
        <f t="shared" si="9"/>
        <v/>
      </c>
      <c r="AF104" s="277" t="str">
        <f t="shared" si="9"/>
        <v/>
      </c>
      <c r="AG104" s="277" t="str">
        <f t="shared" si="9"/>
        <v/>
      </c>
      <c r="AH104" s="277" t="str">
        <f t="shared" si="9"/>
        <v/>
      </c>
      <c r="AI104" s="277" t="str">
        <f t="shared" si="9"/>
        <v/>
      </c>
      <c r="AJ104" s="277" t="str">
        <f t="shared" si="9"/>
        <v/>
      </c>
      <c r="AK104" s="277" t="str">
        <f t="shared" si="9"/>
        <v/>
      </c>
      <c r="AL104" s="277" t="str">
        <f t="shared" si="9"/>
        <v/>
      </c>
      <c r="AM104" s="277" t="str">
        <f t="shared" si="9"/>
        <v/>
      </c>
      <c r="AN104" s="277" t="str">
        <f t="shared" si="9"/>
        <v/>
      </c>
      <c r="AO104" s="277" t="str">
        <f t="shared" si="9"/>
        <v/>
      </c>
      <c r="AP104" s="277" t="str">
        <f t="shared" si="9"/>
        <v/>
      </c>
      <c r="AQ104" s="277" t="str">
        <f t="shared" si="9"/>
        <v/>
      </c>
      <c r="AR104" s="276" t="str">
        <f t="shared" si="9"/>
        <v/>
      </c>
    </row>
    <row r="105" spans="10:44" ht="16.2" thickBot="1">
      <c r="J105" s="262"/>
      <c r="K105" s="262"/>
      <c r="L105" s="286" t="s">
        <v>360</v>
      </c>
      <c r="M105" s="285" t="s">
        <v>360</v>
      </c>
      <c r="N105" s="274"/>
      <c r="O105" s="284">
        <f>IF(O100&lt;=$K$16,($M$61+$M$64+$M$65+$M$66+$M$67+$M$68+$M$69+$M$70+$M$71+$M$72),"")</f>
        <v>0</v>
      </c>
      <c r="P105" s="284">
        <f>IF(P100&lt;=$K$16,O105*(1+Paramètres!$B$20),"")</f>
        <v>0</v>
      </c>
      <c r="Q105" s="284">
        <f>IF(Q100&lt;=$K$16,P105*(1+Paramètres!$B$20),"")</f>
        <v>0</v>
      </c>
      <c r="R105" s="284">
        <f>IF(R100&lt;=$K$16,Q105*(1+Paramètres!$B$20),"")</f>
        <v>0</v>
      </c>
      <c r="S105" s="284">
        <f>IF(S100&lt;=$K$16,R105*(1+Paramètres!$B$20),"")</f>
        <v>0</v>
      </c>
      <c r="T105" s="284">
        <f>IF(T100&lt;=$K$16,S105*(1+Paramètres!$B$20),"")</f>
        <v>0</v>
      </c>
      <c r="U105" s="284">
        <f>IF(U100&lt;=$K$16,T105*(1+Paramètres!$B$20),"")</f>
        <v>0</v>
      </c>
      <c r="V105" s="284">
        <f>IF(V100&lt;=$K$16,U105*(1+Paramètres!$B$20),"")</f>
        <v>0</v>
      </c>
      <c r="W105" s="284">
        <f>IF(W100&lt;=$K$16,V105*(1+Paramètres!$B$20),"")</f>
        <v>0</v>
      </c>
      <c r="X105" s="284">
        <f>IF(X100&lt;=$K$16,W105*(1+Paramètres!$B$20),"")</f>
        <v>0</v>
      </c>
      <c r="Y105" s="284">
        <f>IF(Y100&lt;=$K$16,X105*(1+Paramètres!$B$20),"")</f>
        <v>0</v>
      </c>
      <c r="Z105" s="284">
        <f>IF(Z100&lt;=$K$16,Y105*(1+Paramètres!$B$20),"")</f>
        <v>0</v>
      </c>
      <c r="AA105" s="284">
        <f>IF(AA100&lt;=$K$16,Z105*(1+Paramètres!$B$20),"")</f>
        <v>0</v>
      </c>
      <c r="AB105" s="284">
        <f>IF(AB100&lt;=$K$16,AA105*(1+Paramètres!$B$20),"")</f>
        <v>0</v>
      </c>
      <c r="AC105" s="284">
        <f>IF(AC100&lt;=$K$16,AB105*(1+Paramètres!$B$20),"")</f>
        <v>0</v>
      </c>
      <c r="AD105" s="284" t="str">
        <f>IF(AD100&lt;=$K$16,AC105*(1+Paramètres!$B$20),"")</f>
        <v/>
      </c>
      <c r="AE105" s="284" t="str">
        <f>IF(AE100&lt;=$K$16,AD105*(1+Paramètres!$B$20),"")</f>
        <v/>
      </c>
      <c r="AF105" s="284" t="str">
        <f>IF(AF100&lt;=$K$16,AE105*(1+Paramètres!$B$20),"")</f>
        <v/>
      </c>
      <c r="AG105" s="284" t="str">
        <f>IF(AG100&lt;=$K$16,AF105*(1+Paramètres!$B$20),"")</f>
        <v/>
      </c>
      <c r="AH105" s="284" t="str">
        <f>IF(AH100&lt;=$K$16,AG105*(1+Paramètres!$B$20),"")</f>
        <v/>
      </c>
      <c r="AI105" s="284" t="str">
        <f>IF(AI100&lt;=$K$16,AH105*(1+Paramètres!$B$20),"")</f>
        <v/>
      </c>
      <c r="AJ105" s="284" t="str">
        <f>IF(AJ100&lt;=$K$16,AI105*(1+Paramètres!$B$20),"")</f>
        <v/>
      </c>
      <c r="AK105" s="284" t="str">
        <f>IF(AK100&lt;=$K$16,AJ105*(1+Paramètres!$B$20),"")</f>
        <v/>
      </c>
      <c r="AL105" s="284" t="str">
        <f>IF(AL100&lt;=$K$16,AK105*(1+Paramètres!$B$20),"")</f>
        <v/>
      </c>
      <c r="AM105" s="284" t="str">
        <f>IF(AM100&lt;=$K$16,AL105*(1+Paramètres!$B$20),"")</f>
        <v/>
      </c>
      <c r="AN105" s="284" t="str">
        <f>IF(AN100&lt;=$K$16,AM105*(1+Paramètres!$B$20),"")</f>
        <v/>
      </c>
      <c r="AO105" s="284" t="str">
        <f>IF(AO100&lt;=$K$16,AN105*(1+Paramètres!$B$20),"")</f>
        <v/>
      </c>
      <c r="AP105" s="284" t="str">
        <f>IF(AP100&lt;=$K$16,AO105*(1+Paramètres!$B$20),"")</f>
        <v/>
      </c>
      <c r="AQ105" s="284" t="str">
        <f>IF(AQ100&lt;=$K$16,AP105*(1+Paramètres!$B$20),"")</f>
        <v/>
      </c>
      <c r="AR105" s="283" t="str">
        <f>IF(AR100&lt;=$K$16,AQ105*(1+Paramètres!$B$20),"")</f>
        <v/>
      </c>
    </row>
    <row r="106" spans="10:44" ht="15.6">
      <c r="J106" s="262"/>
      <c r="K106" s="262"/>
      <c r="L106" s="829" t="s">
        <v>367</v>
      </c>
      <c r="M106" s="282" t="s">
        <v>46</v>
      </c>
      <c r="N106" s="281"/>
      <c r="O106" s="280">
        <f>IF(AND(O100=1,K23="OUI"),(Paramètres!$B$22*'AA9'!M55),"")</f>
        <v>0</v>
      </c>
      <c r="P106" s="280" t="str">
        <f>IF(P100=1,(Paramètres!$B$22*'AA9'!N55),"")</f>
        <v/>
      </c>
      <c r="Q106" s="280" t="str">
        <f>IF(Q100=1,(Paramètres!$B$22*'AA9'!O55),"")</f>
        <v/>
      </c>
      <c r="R106" s="280" t="str">
        <f>IF(R100=1,(Paramètres!$B$22*'AA9'!P55),"")</f>
        <v/>
      </c>
      <c r="S106" s="280" t="str">
        <f>IF(S100=1,(Paramètres!$B$22*'AA9'!Q55),"")</f>
        <v/>
      </c>
      <c r="T106" s="280" t="str">
        <f>IF(T100=1,(Paramètres!$B$22*'AA9'!R55),"")</f>
        <v/>
      </c>
      <c r="U106" s="280" t="str">
        <f>IF(U100=1,(Paramètres!$B$22*'AA9'!S55),"")</f>
        <v/>
      </c>
      <c r="V106" s="280" t="str">
        <f>IF(V100=1,(Paramètres!$B$22*'AA9'!T55),"")</f>
        <v/>
      </c>
      <c r="W106" s="280" t="str">
        <f>IF(W100=1,(Paramètres!$B$22*'AA9'!U55),"")</f>
        <v/>
      </c>
      <c r="X106" s="280" t="str">
        <f>IF(X100=1,(Paramètres!$B$22*'AA9'!V55),"")</f>
        <v/>
      </c>
      <c r="Y106" s="280" t="str">
        <f>IF(Y100=1,(Paramètres!$B$22*'AA9'!W55),"")</f>
        <v/>
      </c>
      <c r="Z106" s="280" t="str">
        <f>IF(Z100=1,(Paramètres!$B$22*'AA9'!X55),"")</f>
        <v/>
      </c>
      <c r="AA106" s="280" t="str">
        <f>IF(AA100=1,(Paramètres!$B$22*'AA9'!Y55),"")</f>
        <v/>
      </c>
      <c r="AB106" s="280" t="str">
        <f>IF(AB100=1,(Paramètres!$B$22*'AA9'!Z55),"")</f>
        <v/>
      </c>
      <c r="AC106" s="280" t="str">
        <f>IF(AC100=1,(Paramètres!$B$22*'AA9'!AA55),"")</f>
        <v/>
      </c>
      <c r="AD106" s="280" t="str">
        <f>IF(AD100=1,(Paramètres!$B$22*'AA9'!AB55),"")</f>
        <v/>
      </c>
      <c r="AE106" s="280" t="str">
        <f>IF(AE100=1,(Paramètres!$B$22*'AA9'!AC55),"")</f>
        <v/>
      </c>
      <c r="AF106" s="280" t="str">
        <f>IF(AF100=1,(Paramètres!$B$22*'AA9'!AD55),"")</f>
        <v/>
      </c>
      <c r="AG106" s="280" t="str">
        <f>IF(AG100=1,(Paramètres!$B$22*'AA9'!AE55),"")</f>
        <v/>
      </c>
      <c r="AH106" s="280" t="str">
        <f>IF(AH100=1,(Paramètres!$B$22*'AA9'!AF55),"")</f>
        <v/>
      </c>
      <c r="AI106" s="280" t="str">
        <f>IF(AI100=1,(Paramètres!$B$22*'AA9'!AG55),"")</f>
        <v/>
      </c>
      <c r="AJ106" s="280" t="str">
        <f>IF(AJ100=1,(Paramètres!$B$22*'AA9'!AH55),"")</f>
        <v/>
      </c>
      <c r="AK106" s="280" t="str">
        <f>IF(AK100=1,(Paramètres!$B$22*'AA9'!AI55),"")</f>
        <v/>
      </c>
      <c r="AL106" s="280" t="str">
        <f>IF(AL100=1,(Paramètres!$B$22*'AA9'!AJ55),"")</f>
        <v/>
      </c>
      <c r="AM106" s="280" t="str">
        <f>IF(AM100=1,(Paramètres!$B$22*'AA9'!AK55),"")</f>
        <v/>
      </c>
      <c r="AN106" s="280" t="str">
        <f>IF(AN100=1,(Paramètres!$B$22*'AA9'!AL55),"")</f>
        <v/>
      </c>
      <c r="AO106" s="280" t="str">
        <f>IF(AO100=1,(Paramètres!$B$22*'AA9'!AM55),"")</f>
        <v/>
      </c>
      <c r="AP106" s="280" t="str">
        <f>IF(AP100=1,(Paramètres!$B$22*'AA9'!AN55),"")</f>
        <v/>
      </c>
      <c r="AQ106" s="280" t="str">
        <f>IF(AQ100=1,(Paramètres!$B$22*'AA9'!AO55),"")</f>
        <v/>
      </c>
      <c r="AR106" s="279" t="str">
        <f>IF(AR100=1,(Paramètres!$B$22*'AA9'!AP55),"")</f>
        <v/>
      </c>
    </row>
    <row r="107" spans="10:44" ht="15.6">
      <c r="J107" s="262"/>
      <c r="K107" s="262"/>
      <c r="L107" s="843"/>
      <c r="M107" s="275" t="s">
        <v>368</v>
      </c>
      <c r="N107" s="278"/>
      <c r="O107" s="277">
        <f t="shared" ref="O107:AR107" si="10">IF(O100&lt;=$K$20,$M$55/$K$20,"")</f>
        <v>0</v>
      </c>
      <c r="P107" s="277">
        <f t="shared" si="10"/>
        <v>0</v>
      </c>
      <c r="Q107" s="277">
        <f t="shared" si="10"/>
        <v>0</v>
      </c>
      <c r="R107" s="277">
        <f t="shared" si="10"/>
        <v>0</v>
      </c>
      <c r="S107" s="277">
        <f t="shared" si="10"/>
        <v>0</v>
      </c>
      <c r="T107" s="277">
        <f t="shared" si="10"/>
        <v>0</v>
      </c>
      <c r="U107" s="277">
        <f t="shared" si="10"/>
        <v>0</v>
      </c>
      <c r="V107" s="277">
        <f t="shared" si="10"/>
        <v>0</v>
      </c>
      <c r="W107" s="277">
        <f t="shared" si="10"/>
        <v>0</v>
      </c>
      <c r="X107" s="277">
        <f t="shared" si="10"/>
        <v>0</v>
      </c>
      <c r="Y107" s="277" t="str">
        <f t="shared" si="10"/>
        <v/>
      </c>
      <c r="Z107" s="277" t="str">
        <f t="shared" si="10"/>
        <v/>
      </c>
      <c r="AA107" s="277" t="str">
        <f t="shared" si="10"/>
        <v/>
      </c>
      <c r="AB107" s="277" t="str">
        <f t="shared" si="10"/>
        <v/>
      </c>
      <c r="AC107" s="277" t="str">
        <f t="shared" si="10"/>
        <v/>
      </c>
      <c r="AD107" s="277" t="str">
        <f t="shared" si="10"/>
        <v/>
      </c>
      <c r="AE107" s="277" t="str">
        <f t="shared" si="10"/>
        <v/>
      </c>
      <c r="AF107" s="277" t="str">
        <f t="shared" si="10"/>
        <v/>
      </c>
      <c r="AG107" s="277" t="str">
        <f t="shared" si="10"/>
        <v/>
      </c>
      <c r="AH107" s="277" t="str">
        <f t="shared" si="10"/>
        <v/>
      </c>
      <c r="AI107" s="277" t="str">
        <f t="shared" si="10"/>
        <v/>
      </c>
      <c r="AJ107" s="277" t="str">
        <f t="shared" si="10"/>
        <v/>
      </c>
      <c r="AK107" s="277" t="str">
        <f t="shared" si="10"/>
        <v/>
      </c>
      <c r="AL107" s="277" t="str">
        <f t="shared" si="10"/>
        <v/>
      </c>
      <c r="AM107" s="277" t="str">
        <f t="shared" si="10"/>
        <v/>
      </c>
      <c r="AN107" s="277" t="str">
        <f t="shared" si="10"/>
        <v/>
      </c>
      <c r="AO107" s="277" t="str">
        <f t="shared" si="10"/>
        <v/>
      </c>
      <c r="AP107" s="277" t="str">
        <f t="shared" si="10"/>
        <v/>
      </c>
      <c r="AQ107" s="277" t="str">
        <f t="shared" si="10"/>
        <v/>
      </c>
      <c r="AR107" s="276" t="str">
        <f t="shared" si="10"/>
        <v/>
      </c>
    </row>
    <row r="108" spans="10:44" ht="16.2" thickBot="1">
      <c r="J108" s="262"/>
      <c r="K108" s="262"/>
      <c r="L108" s="843"/>
      <c r="M108" s="275" t="s">
        <v>369</v>
      </c>
      <c r="N108" s="274"/>
      <c r="O108" s="273" t="str">
        <f t="shared" ref="O108:AR108" si="11">IF(SUM(O104:O107)=0,"",SUM(O104:O107))</f>
        <v/>
      </c>
      <c r="P108" s="273" t="str">
        <f t="shared" si="11"/>
        <v/>
      </c>
      <c r="Q108" s="273" t="str">
        <f t="shared" si="11"/>
        <v/>
      </c>
      <c r="R108" s="273" t="str">
        <f t="shared" si="11"/>
        <v/>
      </c>
      <c r="S108" s="273" t="str">
        <f t="shared" si="11"/>
        <v/>
      </c>
      <c r="T108" s="273" t="str">
        <f t="shared" si="11"/>
        <v/>
      </c>
      <c r="U108" s="273" t="str">
        <f t="shared" si="11"/>
        <v/>
      </c>
      <c r="V108" s="273" t="str">
        <f t="shared" si="11"/>
        <v/>
      </c>
      <c r="W108" s="273" t="str">
        <f t="shared" si="11"/>
        <v/>
      </c>
      <c r="X108" s="273" t="str">
        <f t="shared" si="11"/>
        <v/>
      </c>
      <c r="Y108" s="273" t="str">
        <f t="shared" si="11"/>
        <v/>
      </c>
      <c r="Z108" s="273" t="str">
        <f t="shared" si="11"/>
        <v/>
      </c>
      <c r="AA108" s="273" t="str">
        <f t="shared" si="11"/>
        <v/>
      </c>
      <c r="AB108" s="273" t="str">
        <f t="shared" si="11"/>
        <v/>
      </c>
      <c r="AC108" s="273" t="str">
        <f t="shared" si="11"/>
        <v/>
      </c>
      <c r="AD108" s="273" t="str">
        <f t="shared" si="11"/>
        <v/>
      </c>
      <c r="AE108" s="273" t="str">
        <f t="shared" si="11"/>
        <v/>
      </c>
      <c r="AF108" s="273" t="str">
        <f t="shared" si="11"/>
        <v/>
      </c>
      <c r="AG108" s="273" t="str">
        <f t="shared" si="11"/>
        <v/>
      </c>
      <c r="AH108" s="273" t="str">
        <f t="shared" si="11"/>
        <v/>
      </c>
      <c r="AI108" s="273" t="str">
        <f t="shared" si="11"/>
        <v/>
      </c>
      <c r="AJ108" s="273" t="str">
        <f t="shared" si="11"/>
        <v/>
      </c>
      <c r="AK108" s="273" t="str">
        <f t="shared" si="11"/>
        <v/>
      </c>
      <c r="AL108" s="273" t="str">
        <f t="shared" si="11"/>
        <v/>
      </c>
      <c r="AM108" s="273" t="str">
        <f t="shared" si="11"/>
        <v/>
      </c>
      <c r="AN108" s="273" t="str">
        <f t="shared" si="11"/>
        <v/>
      </c>
      <c r="AO108" s="273" t="str">
        <f t="shared" si="11"/>
        <v/>
      </c>
      <c r="AP108" s="273" t="str">
        <f t="shared" si="11"/>
        <v/>
      </c>
      <c r="AQ108" s="273" t="str">
        <f t="shared" si="11"/>
        <v/>
      </c>
      <c r="AR108" s="272" t="str">
        <f t="shared" si="11"/>
        <v/>
      </c>
    </row>
    <row r="109" spans="10:44" ht="16.2" thickBot="1">
      <c r="J109" s="262"/>
      <c r="K109" s="262"/>
      <c r="L109" s="830"/>
      <c r="M109" s="271" t="s">
        <v>370</v>
      </c>
      <c r="N109" s="270">
        <f>N102*Paramètres!$B$21</f>
        <v>0</v>
      </c>
      <c r="O109" s="269" t="str">
        <f>IF(N(O108)&gt;0,O108*Paramètres!$B$21,"")</f>
        <v/>
      </c>
      <c r="P109" s="269" t="str">
        <f>IF(N(P108)&gt;0,P108*Paramètres!$B$21,"")</f>
        <v/>
      </c>
      <c r="Q109" s="269" t="str">
        <f>IF(N(Q108)&gt;0,Q108*Paramètres!$B$21,"")</f>
        <v/>
      </c>
      <c r="R109" s="269" t="str">
        <f>IF(N(R108)&gt;0,R108*Paramètres!$B$21,"")</f>
        <v/>
      </c>
      <c r="S109" s="269" t="str">
        <f>IF(N(S108)&gt;0,S108*Paramètres!$B$21,"")</f>
        <v/>
      </c>
      <c r="T109" s="269" t="str">
        <f>IF(N(T108)&gt;0,T108*Paramètres!$B$21,"")</f>
        <v/>
      </c>
      <c r="U109" s="269" t="str">
        <f>IF(N(U108)&gt;0,U108*Paramètres!$B$21,"")</f>
        <v/>
      </c>
      <c r="V109" s="269" t="str">
        <f>IF(N(V108)&gt;0,V108*Paramètres!$B$21,"")</f>
        <v/>
      </c>
      <c r="W109" s="269" t="str">
        <f>IF(N(W108)&gt;0,W108*Paramètres!$B$21,"")</f>
        <v/>
      </c>
      <c r="X109" s="269" t="str">
        <f>IF(N(X108)&gt;0,X108*Paramètres!$B$21,"")</f>
        <v/>
      </c>
      <c r="Y109" s="269" t="str">
        <f>IF(N(Y108)&gt;0,Y108*Paramètres!$B$21,"")</f>
        <v/>
      </c>
      <c r="Z109" s="269" t="str">
        <f>IF(N(Z108)&gt;0,Z108*Paramètres!$B$21,"")</f>
        <v/>
      </c>
      <c r="AA109" s="269" t="str">
        <f>IF(N(AA108)&gt;0,AA108*Paramètres!$B$21,"")</f>
        <v/>
      </c>
      <c r="AB109" s="269" t="str">
        <f>IF(N(AB108)&gt;0,AB108*Paramètres!$B$21,"")</f>
        <v/>
      </c>
      <c r="AC109" s="269" t="str">
        <f>IF(N(AC108)&gt;0,AC108*Paramètres!$B$21,"")</f>
        <v/>
      </c>
      <c r="AD109" s="269" t="str">
        <f>IF(N(AD108)&gt;0,AD108*Paramètres!$B$21,"")</f>
        <v/>
      </c>
      <c r="AE109" s="269" t="str">
        <f>IF(N(AE108)&gt;0,AE108*Paramètres!$B$21,"")</f>
        <v/>
      </c>
      <c r="AF109" s="269" t="str">
        <f>IF(N(AF108)&gt;0,AF108*Paramètres!$B$21,"")</f>
        <v/>
      </c>
      <c r="AG109" s="269" t="str">
        <f>IF(N(AG108)&gt;0,AG108*Paramètres!$B$21,"")</f>
        <v/>
      </c>
      <c r="AH109" s="269" t="str">
        <f>IF(N(AH108)&gt;0,AH108*Paramètres!$B$21,"")</f>
        <v/>
      </c>
      <c r="AI109" s="269" t="str">
        <f>IF(N(AI108)&gt;0,AI108*Paramètres!$B$21,"")</f>
        <v/>
      </c>
      <c r="AJ109" s="269" t="str">
        <f>IF(N(AJ108)&gt;0,AJ108*Paramètres!$B$21,"")</f>
        <v/>
      </c>
      <c r="AK109" s="269" t="str">
        <f>IF(N(AK108)&gt;0,AK108*Paramètres!$B$21,"")</f>
        <v/>
      </c>
      <c r="AL109" s="269" t="str">
        <f>IF(N(AL108)&gt;0,AL108*Paramètres!$B$21,"")</f>
        <v/>
      </c>
      <c r="AM109" s="269" t="str">
        <f>IF(N(AM108)&gt;0,AM108*Paramètres!$B$21,"")</f>
        <v/>
      </c>
      <c r="AN109" s="269" t="str">
        <f>IF(N(AN108)&gt;0,AN108*Paramètres!$B$21,"")</f>
        <v/>
      </c>
      <c r="AO109" s="269" t="str">
        <f>IF(N(AO108)&gt;0,AO108*Paramètres!$B$21,"")</f>
        <v/>
      </c>
      <c r="AP109" s="269" t="str">
        <f>IF(N(AP108)&gt;0,AP108*Paramètres!$B$21,"")</f>
        <v/>
      </c>
      <c r="AQ109" s="269" t="str">
        <f>IF(N(AQ108)&gt;0,AQ108*Paramètres!$B$21,"")</f>
        <v/>
      </c>
      <c r="AR109" s="268" t="str">
        <f>IF(N(AR108)&gt;0,AR108*Paramètres!$B$21,"")</f>
        <v/>
      </c>
    </row>
    <row r="110" spans="10:44" ht="16.2" thickBot="1">
      <c r="J110" s="262"/>
      <c r="K110" s="262"/>
      <c r="L110" s="267" t="s">
        <v>361</v>
      </c>
      <c r="M110" s="266" t="s">
        <v>319</v>
      </c>
      <c r="N110" s="265" t="str">
        <f t="shared" ref="N110:AR110" si="12">IF(N100=$K$16,$M$59,"")</f>
        <v/>
      </c>
      <c r="O110" s="264" t="str">
        <f t="shared" si="12"/>
        <v/>
      </c>
      <c r="P110" s="264" t="str">
        <f t="shared" si="12"/>
        <v/>
      </c>
      <c r="Q110" s="264" t="str">
        <f t="shared" si="12"/>
        <v/>
      </c>
      <c r="R110" s="264" t="str">
        <f t="shared" si="12"/>
        <v/>
      </c>
      <c r="S110" s="264" t="str">
        <f t="shared" si="12"/>
        <v/>
      </c>
      <c r="T110" s="264" t="str">
        <f t="shared" si="12"/>
        <v/>
      </c>
      <c r="U110" s="264" t="str">
        <f t="shared" si="12"/>
        <v/>
      </c>
      <c r="V110" s="264" t="str">
        <f t="shared" si="12"/>
        <v/>
      </c>
      <c r="W110" s="264" t="str">
        <f t="shared" si="12"/>
        <v/>
      </c>
      <c r="X110" s="264" t="str">
        <f t="shared" si="12"/>
        <v/>
      </c>
      <c r="Y110" s="264" t="str">
        <f t="shared" si="12"/>
        <v/>
      </c>
      <c r="Z110" s="264" t="str">
        <f t="shared" si="12"/>
        <v/>
      </c>
      <c r="AA110" s="264" t="str">
        <f t="shared" si="12"/>
        <v/>
      </c>
      <c r="AB110" s="264" t="str">
        <f t="shared" si="12"/>
        <v/>
      </c>
      <c r="AC110" s="264">
        <f t="shared" si="12"/>
        <v>0</v>
      </c>
      <c r="AD110" s="264" t="str">
        <f t="shared" si="12"/>
        <v/>
      </c>
      <c r="AE110" s="264" t="str">
        <f t="shared" si="12"/>
        <v/>
      </c>
      <c r="AF110" s="264" t="str">
        <f t="shared" si="12"/>
        <v/>
      </c>
      <c r="AG110" s="264" t="str">
        <f t="shared" si="12"/>
        <v/>
      </c>
      <c r="AH110" s="264" t="str">
        <f t="shared" si="12"/>
        <v/>
      </c>
      <c r="AI110" s="264" t="str">
        <f t="shared" si="12"/>
        <v/>
      </c>
      <c r="AJ110" s="264" t="str">
        <f t="shared" si="12"/>
        <v/>
      </c>
      <c r="AK110" s="264" t="str">
        <f t="shared" si="12"/>
        <v/>
      </c>
      <c r="AL110" s="264" t="str">
        <f t="shared" si="12"/>
        <v/>
      </c>
      <c r="AM110" s="264" t="str">
        <f t="shared" si="12"/>
        <v/>
      </c>
      <c r="AN110" s="264" t="str">
        <f t="shared" si="12"/>
        <v/>
      </c>
      <c r="AO110" s="264" t="str">
        <f t="shared" si="12"/>
        <v/>
      </c>
      <c r="AP110" s="264" t="str">
        <f t="shared" si="12"/>
        <v/>
      </c>
      <c r="AQ110" s="264" t="str">
        <f t="shared" si="12"/>
        <v/>
      </c>
      <c r="AR110" s="263" t="str">
        <f t="shared" si="12"/>
        <v/>
      </c>
    </row>
    <row r="111" spans="10:44" ht="16.2" thickBot="1">
      <c r="J111" s="262"/>
      <c r="K111" s="262"/>
      <c r="L111" s="841" t="s">
        <v>362</v>
      </c>
      <c r="M111" s="844"/>
      <c r="N111" s="260" t="str">
        <f>IF((SUM(N101:N103)-N109)=0,"",(SUM(N101:N103))-N109)</f>
        <v/>
      </c>
      <c r="O111" s="259" t="str">
        <f t="shared" ref="O111:AR111" si="13">IF(SUM(N(O104)+N(O105)-N(O109)+N(O110))=0,"",SUM(N(O104)+N(O105)-N(O109)+N(O110)))</f>
        <v/>
      </c>
      <c r="P111" s="259" t="str">
        <f t="shared" si="13"/>
        <v/>
      </c>
      <c r="Q111" s="259" t="str">
        <f t="shared" si="13"/>
        <v/>
      </c>
      <c r="R111" s="259" t="str">
        <f t="shared" si="13"/>
        <v/>
      </c>
      <c r="S111" s="259" t="str">
        <f t="shared" si="13"/>
        <v/>
      </c>
      <c r="T111" s="259" t="str">
        <f t="shared" si="13"/>
        <v/>
      </c>
      <c r="U111" s="259" t="str">
        <f t="shared" si="13"/>
        <v/>
      </c>
      <c r="V111" s="259" t="str">
        <f t="shared" si="13"/>
        <v/>
      </c>
      <c r="W111" s="259" t="str">
        <f t="shared" si="13"/>
        <v/>
      </c>
      <c r="X111" s="259" t="str">
        <f t="shared" si="13"/>
        <v/>
      </c>
      <c r="Y111" s="259" t="str">
        <f t="shared" si="13"/>
        <v/>
      </c>
      <c r="Z111" s="259" t="str">
        <f t="shared" si="13"/>
        <v/>
      </c>
      <c r="AA111" s="259" t="str">
        <f t="shared" si="13"/>
        <v/>
      </c>
      <c r="AB111" s="259" t="str">
        <f t="shared" si="13"/>
        <v/>
      </c>
      <c r="AC111" s="259" t="str">
        <f t="shared" si="13"/>
        <v/>
      </c>
      <c r="AD111" s="259" t="str">
        <f t="shared" si="13"/>
        <v/>
      </c>
      <c r="AE111" s="259" t="str">
        <f t="shared" si="13"/>
        <v/>
      </c>
      <c r="AF111" s="259" t="str">
        <f t="shared" si="13"/>
        <v/>
      </c>
      <c r="AG111" s="259" t="str">
        <f t="shared" si="13"/>
        <v/>
      </c>
      <c r="AH111" s="259" t="str">
        <f t="shared" si="13"/>
        <v/>
      </c>
      <c r="AI111" s="259" t="str">
        <f t="shared" si="13"/>
        <v/>
      </c>
      <c r="AJ111" s="259" t="str">
        <f t="shared" si="13"/>
        <v/>
      </c>
      <c r="AK111" s="259" t="str">
        <f t="shared" si="13"/>
        <v/>
      </c>
      <c r="AL111" s="259" t="str">
        <f t="shared" si="13"/>
        <v/>
      </c>
      <c r="AM111" s="259" t="str">
        <f t="shared" si="13"/>
        <v/>
      </c>
      <c r="AN111" s="259" t="str">
        <f t="shared" si="13"/>
        <v/>
      </c>
      <c r="AO111" s="259" t="str">
        <f t="shared" si="13"/>
        <v/>
      </c>
      <c r="AP111" s="259" t="str">
        <f t="shared" si="13"/>
        <v/>
      </c>
      <c r="AQ111" s="259" t="str">
        <f t="shared" si="13"/>
        <v/>
      </c>
      <c r="AR111" s="258" t="str">
        <f t="shared" si="13"/>
        <v/>
      </c>
    </row>
    <row r="112" spans="10:44" ht="13.8" thickBot="1">
      <c r="J112" s="250"/>
      <c r="K112" s="250"/>
      <c r="L112" s="841" t="s">
        <v>363</v>
      </c>
      <c r="M112" s="844"/>
      <c r="N112" s="260" t="str">
        <f>IF(N111="","",((N111)/(1+Paramètres!$B$19)^N100))</f>
        <v/>
      </c>
      <c r="O112" s="259" t="str">
        <f>IF(O111="","",((O111)/(1+Paramètres!$B$19)^O100))</f>
        <v/>
      </c>
      <c r="P112" s="259" t="str">
        <f>IF(P111="","",((P111)/(1+Paramètres!$B$19)^P100))</f>
        <v/>
      </c>
      <c r="Q112" s="259" t="str">
        <f>IF(Q111="","",((Q111)/(1+Paramètres!$B$19)^Q100))</f>
        <v/>
      </c>
      <c r="R112" s="259" t="str">
        <f>IF(R111="","",((R111)/(1+Paramètres!$B$19)^R100))</f>
        <v/>
      </c>
      <c r="S112" s="259" t="str">
        <f>IF(S111="","",((S111)/(1+Paramètres!$B$19)^S100))</f>
        <v/>
      </c>
      <c r="T112" s="259" t="str">
        <f>IF(T111="","",((T111)/(1+Paramètres!$B$19)^T100))</f>
        <v/>
      </c>
      <c r="U112" s="259" t="str">
        <f>IF(U111="","",((U111)/(1+Paramètres!$B$19)^U100))</f>
        <v/>
      </c>
      <c r="V112" s="259" t="str">
        <f>IF(V111="","",((V111)/(1+Paramètres!$B$19)^V100))</f>
        <v/>
      </c>
      <c r="W112" s="259" t="str">
        <f>IF(W111="","",((W111)/(1+Paramètres!$B$19)^W100))</f>
        <v/>
      </c>
      <c r="X112" s="259" t="str">
        <f>IF(X111="","",((X111)/(1+Paramètres!$B$19)^X100))</f>
        <v/>
      </c>
      <c r="Y112" s="259" t="str">
        <f>IF(Y111="","",((Y111)/(1+Paramètres!$B$19)^Y100))</f>
        <v/>
      </c>
      <c r="Z112" s="259" t="str">
        <f>IF(Z111="","",((Z111)/(1+Paramètres!$B$19)^Z100))</f>
        <v/>
      </c>
      <c r="AA112" s="259" t="str">
        <f>IF(AA111="","",((AA111)/(1+Paramètres!$B$19)^AA100))</f>
        <v/>
      </c>
      <c r="AB112" s="259" t="str">
        <f>IF(AB111="","",((AB111)/(1+Paramètres!$B$19)^AB100))</f>
        <v/>
      </c>
      <c r="AC112" s="259" t="str">
        <f>IF(AC111="","",((AC111)/(1+Paramètres!$B$19)^AC100))</f>
        <v/>
      </c>
      <c r="AD112" s="259" t="str">
        <f>IF(AD111="","",((AD111)/(1+Paramètres!$B$19)^AD100))</f>
        <v/>
      </c>
      <c r="AE112" s="259" t="str">
        <f>IF(AE111="","",((AE111)/(1+Paramètres!$B$19)^AE100))</f>
        <v/>
      </c>
      <c r="AF112" s="259" t="str">
        <f>IF(AF111="","",((AF111)/(1+Paramètres!$B$19)^AF100))</f>
        <v/>
      </c>
      <c r="AG112" s="259" t="str">
        <f>IF(AG111="","",((AG111)/(1+Paramètres!$B$19)^AG100))</f>
        <v/>
      </c>
      <c r="AH112" s="259" t="str">
        <f>IF(AH111="","",((AH111)/(1+Paramètres!$B$19)^AH100))</f>
        <v/>
      </c>
      <c r="AI112" s="259" t="str">
        <f>IF(AI111="","",((AI111)/(1+Paramètres!$B$19)^AI100))</f>
        <v/>
      </c>
      <c r="AJ112" s="259" t="str">
        <f>IF(AJ111="","",((AJ111)/(1+Paramètres!$B$19)^AJ100))</f>
        <v/>
      </c>
      <c r="AK112" s="259" t="str">
        <f>IF(AK111="","",((AK111)/(1+Paramètres!$B$19)^AK100))</f>
        <v/>
      </c>
      <c r="AL112" s="259" t="str">
        <f>IF(AL111="","",((AL111)/(1+Paramètres!$B$19)^AL100))</f>
        <v/>
      </c>
      <c r="AM112" s="259" t="str">
        <f>IF(AM111="","",((AM111)/(1+Paramètres!$B$19)^AM100))</f>
        <v/>
      </c>
      <c r="AN112" s="259" t="str">
        <f>IF(AN111="","",((AN111)/(1+Paramètres!$B$19)^AN100))</f>
        <v/>
      </c>
      <c r="AO112" s="259" t="str">
        <f>IF(AO111="","",((AO111)/(1+Paramètres!$B$19)^AO100))</f>
        <v/>
      </c>
      <c r="AP112" s="259" t="str">
        <f>IF(AP111="","",((AP111)/(1+Paramètres!$B$19)^AP100))</f>
        <v/>
      </c>
      <c r="AQ112" s="259" t="str">
        <f>IF(AQ111="","",((AQ111)/(1+Paramètres!$B$19)^AQ100))</f>
        <v/>
      </c>
      <c r="AR112" s="258" t="str">
        <f>IF(AR111="","",((AR111)/(1+Paramètres!$B$19)^AR100))</f>
        <v/>
      </c>
    </row>
    <row r="113" spans="10:44" ht="13.8" thickBot="1">
      <c r="J113" s="250"/>
      <c r="K113" s="250"/>
      <c r="L113" s="841" t="s">
        <v>364</v>
      </c>
      <c r="M113" s="844"/>
      <c r="N113" s="257" t="str">
        <f>N112</f>
        <v/>
      </c>
      <c r="O113" s="256" t="str">
        <f t="shared" ref="O113:AR113" si="14">IF(O112="","",((N113+O90)))</f>
        <v/>
      </c>
      <c r="P113" s="256" t="str">
        <f t="shared" si="14"/>
        <v/>
      </c>
      <c r="Q113" s="256" t="str">
        <f t="shared" si="14"/>
        <v/>
      </c>
      <c r="R113" s="256" t="str">
        <f t="shared" si="14"/>
        <v/>
      </c>
      <c r="S113" s="256" t="str">
        <f t="shared" si="14"/>
        <v/>
      </c>
      <c r="T113" s="256" t="str">
        <f t="shared" si="14"/>
        <v/>
      </c>
      <c r="U113" s="256" t="str">
        <f t="shared" si="14"/>
        <v/>
      </c>
      <c r="V113" s="256" t="str">
        <f t="shared" si="14"/>
        <v/>
      </c>
      <c r="W113" s="256" t="str">
        <f t="shared" si="14"/>
        <v/>
      </c>
      <c r="X113" s="256" t="str">
        <f t="shared" si="14"/>
        <v/>
      </c>
      <c r="Y113" s="256" t="str">
        <f t="shared" si="14"/>
        <v/>
      </c>
      <c r="Z113" s="256" t="str">
        <f t="shared" si="14"/>
        <v/>
      </c>
      <c r="AA113" s="256" t="str">
        <f t="shared" si="14"/>
        <v/>
      </c>
      <c r="AB113" s="256" t="str">
        <f t="shared" si="14"/>
        <v/>
      </c>
      <c r="AC113" s="256" t="str">
        <f t="shared" si="14"/>
        <v/>
      </c>
      <c r="AD113" s="256" t="str">
        <f t="shared" si="14"/>
        <v/>
      </c>
      <c r="AE113" s="256" t="str">
        <f t="shared" si="14"/>
        <v/>
      </c>
      <c r="AF113" s="256" t="str">
        <f t="shared" si="14"/>
        <v/>
      </c>
      <c r="AG113" s="256" t="str">
        <f t="shared" si="14"/>
        <v/>
      </c>
      <c r="AH113" s="256" t="str">
        <f t="shared" si="14"/>
        <v/>
      </c>
      <c r="AI113" s="256" t="str">
        <f t="shared" si="14"/>
        <v/>
      </c>
      <c r="AJ113" s="256" t="str">
        <f t="shared" si="14"/>
        <v/>
      </c>
      <c r="AK113" s="256" t="str">
        <f t="shared" si="14"/>
        <v/>
      </c>
      <c r="AL113" s="256" t="str">
        <f t="shared" si="14"/>
        <v/>
      </c>
      <c r="AM113" s="256" t="str">
        <f t="shared" si="14"/>
        <v/>
      </c>
      <c r="AN113" s="256" t="str">
        <f t="shared" si="14"/>
        <v/>
      </c>
      <c r="AO113" s="256" t="str">
        <f t="shared" si="14"/>
        <v/>
      </c>
      <c r="AP113" s="256" t="str">
        <f t="shared" si="14"/>
        <v/>
      </c>
      <c r="AQ113" s="256" t="str">
        <f t="shared" si="14"/>
        <v/>
      </c>
      <c r="AR113" s="255" t="str">
        <f t="shared" si="14"/>
        <v/>
      </c>
    </row>
    <row r="114" spans="10:44" ht="13.8" thickBot="1"/>
    <row r="115" spans="10:44">
      <c r="L115" s="254" t="s">
        <v>225</v>
      </c>
      <c r="M115" s="253" t="str">
        <f>IFERROR(IRR(N111:AR111), "PROJET NON RENTABLE")</f>
        <v>PROJET NON RENTABLE</v>
      </c>
    </row>
    <row r="116" spans="10:44" ht="13.8" thickBot="1">
      <c r="L116" s="252" t="s">
        <v>224</v>
      </c>
      <c r="M116" s="412" cm="1">
        <f t="array" ref="M116">IFERROR(INDEX(N100:AR100,MATCH(TRUE,N113:AR113&gt;0,0)),"PROJET NON RENTABLE")</f>
        <v>0</v>
      </c>
    </row>
  </sheetData>
  <mergeCells count="63">
    <mergeCell ref="L103:L104"/>
    <mergeCell ref="L106:L109"/>
    <mergeCell ref="L111:M111"/>
    <mergeCell ref="L112:M112"/>
    <mergeCell ref="L113:M113"/>
    <mergeCell ref="L101:L102"/>
    <mergeCell ref="N79:AR79"/>
    <mergeCell ref="B80:H80"/>
    <mergeCell ref="E81:F81"/>
    <mergeCell ref="L81:L82"/>
    <mergeCell ref="L83:L85"/>
    <mergeCell ref="B87:F87"/>
    <mergeCell ref="L89:M89"/>
    <mergeCell ref="L90:M90"/>
    <mergeCell ref="L91:M91"/>
    <mergeCell ref="J97:AR97"/>
    <mergeCell ref="N99:AR99"/>
    <mergeCell ref="K67:K72"/>
    <mergeCell ref="B70:H70"/>
    <mergeCell ref="E71:F71"/>
    <mergeCell ref="B77:F77"/>
    <mergeCell ref="J77:AR77"/>
    <mergeCell ref="B58:E58"/>
    <mergeCell ref="B59:F59"/>
    <mergeCell ref="B60:F60"/>
    <mergeCell ref="B61:F61"/>
    <mergeCell ref="J61:J72"/>
    <mergeCell ref="B67:F67"/>
    <mergeCell ref="K62:K63"/>
    <mergeCell ref="B64:F64"/>
    <mergeCell ref="K64:K65"/>
    <mergeCell ref="B65:F65"/>
    <mergeCell ref="B66:F66"/>
    <mergeCell ref="N48:O48"/>
    <mergeCell ref="J51:Q51"/>
    <mergeCell ref="J54:N54"/>
    <mergeCell ref="J55:J59"/>
    <mergeCell ref="K55:K56"/>
    <mergeCell ref="K57:K58"/>
    <mergeCell ref="N47:O47"/>
    <mergeCell ref="B21:H21"/>
    <mergeCell ref="J26:Q26"/>
    <mergeCell ref="C31:F31"/>
    <mergeCell ref="N31:O31"/>
    <mergeCell ref="C33:F33"/>
    <mergeCell ref="N33:O33"/>
    <mergeCell ref="C35:F35"/>
    <mergeCell ref="N35:O35"/>
    <mergeCell ref="O37:O45"/>
    <mergeCell ref="B42:H42"/>
    <mergeCell ref="B46:H46"/>
    <mergeCell ref="B17:H17"/>
    <mergeCell ref="B1:H1"/>
    <mergeCell ref="B2:H2"/>
    <mergeCell ref="J2:AR2"/>
    <mergeCell ref="B3:H3"/>
    <mergeCell ref="F5:G5"/>
    <mergeCell ref="L6:M6"/>
    <mergeCell ref="L7:M7"/>
    <mergeCell ref="J8:K8"/>
    <mergeCell ref="M8:N8"/>
    <mergeCell ref="B9:H9"/>
    <mergeCell ref="B13:C13"/>
  </mergeCells>
  <dataValidations count="5">
    <dataValidation type="list" allowBlank="1" showInputMessage="1" showErrorMessage="1" sqref="C37" xr:uid="{D9B066E1-5F53-46FC-9F68-042B26961490}">
      <formula1>"2030,2040,2050"</formula1>
    </dataValidation>
    <dataValidation type="list" allowBlank="1" showInputMessage="1" showErrorMessage="1" sqref="K22:K23" xr:uid="{77B99D5F-5A36-438E-B106-7138E21E7E4A}">
      <formula1>"OUI,NON"</formula1>
    </dataValidation>
    <dataValidation type="list" allowBlank="1" showInputMessage="1" showErrorMessage="1" sqref="K24" xr:uid="{F921C7A5-CB28-4343-92B1-F341B0864CF1}">
      <formula1>"Oui,Non"</formula1>
    </dataValidation>
    <dataValidation type="list" showInputMessage="1" showErrorMessage="1" sqref="K10:K14" xr:uid="{38419A6C-12B3-4445-840D-69A46A7C1FF9}">
      <formula1>Poste</formula1>
    </dataValidation>
    <dataValidation type="list" showInputMessage="1" showErrorMessage="1" sqref="K15" xr:uid="{BFC5390D-9E3F-4F47-8277-F3020CEFFE1B}">
      <formula1>"Tertiaire Public,Tertiaire Privé,Industrie"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1200" r:id="rId1"/>
  <headerFooter alignWithMargins="0">
    <oddHeader>&amp;C&amp;"Arial,Gras"&amp;14ECONOTEC / 3J-CONSULT</oddHeader>
    <oddFooter>&amp;L&amp;F&amp;R&amp;A</oddFooter>
  </headerFooter>
  <rowBreaks count="1" manualBreakCount="1">
    <brk id="67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7C793D3-3C8D-44F8-A3F8-FB54644B3DEE}">
          <x14:formula1>
            <xm:f>Paramètres!$C$57:$C$60</xm:f>
          </x14:formula1>
          <xm:sqref>F27</xm:sqref>
        </x14:dataValidation>
        <x14:dataValidation type="list" allowBlank="1" showInputMessage="1" showErrorMessage="1" xr:uid="{144711FC-E9DA-45F3-B11A-F234F89BB373}">
          <x14:formula1>
            <xm:f>Paramètres!$A$57:$A$83</xm:f>
          </x14:formula1>
          <xm:sqref>B13:B14</xm:sqref>
        </x14:dataValidation>
        <x14:dataValidation type="list" allowBlank="1" showInputMessage="1" showErrorMessage="1" xr:uid="{DFA839FA-95DA-44D4-97DE-7D27B20479C5}">
          <x14:formula1>
            <xm:f>Paramètres!$B$57:$B$82</xm:f>
          </x14:formula1>
          <xm:sqref>C33:F33 C31:F31 C35:F35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"/>
  <dimension ref="A1:H85"/>
  <sheetViews>
    <sheetView showGridLines="0" tabSelected="1" zoomScale="90" zoomScaleNormal="90" workbookViewId="0">
      <selection activeCell="B56" sqref="B56"/>
    </sheetView>
  </sheetViews>
  <sheetFormatPr baseColWidth="10" defaultColWidth="15.33203125" defaultRowHeight="15.6"/>
  <cols>
    <col min="1" max="1" width="39.109375" style="24" bestFit="1" customWidth="1"/>
    <col min="2" max="2" width="41.88671875" style="24" customWidth="1"/>
    <col min="3" max="3" width="14" style="24" bestFit="1" customWidth="1"/>
    <col min="4" max="4" width="18.109375" style="24" bestFit="1" customWidth="1"/>
    <col min="5" max="5" width="15.6640625" style="24" bestFit="1" customWidth="1"/>
    <col min="6" max="6" width="23.5546875" style="24" bestFit="1" customWidth="1"/>
    <col min="7" max="7" width="10.6640625" style="24" bestFit="1" customWidth="1"/>
    <col min="8" max="16384" width="15.33203125" style="24"/>
  </cols>
  <sheetData>
    <row r="1" spans="1:8" s="40" customFormat="1" ht="14.4" thickBot="1">
      <c r="A1" s="713" t="s">
        <v>3</v>
      </c>
      <c r="B1" s="714"/>
      <c r="C1" s="715"/>
    </row>
    <row r="2" spans="1:8" s="40" customFormat="1" ht="23.4" thickBot="1">
      <c r="A2" s="38"/>
      <c r="B2" s="39"/>
    </row>
    <row r="3" spans="1:8" s="40" customFormat="1" ht="17.399999999999999">
      <c r="A3" s="41" t="s">
        <v>4</v>
      </c>
      <c r="B3" s="229" t="str">
        <f>Entête!C15</f>
        <v>NOM DE L'ENTITE</v>
      </c>
      <c r="C3" s="718" t="s">
        <v>5</v>
      </c>
      <c r="D3" s="719"/>
      <c r="E3" s="719"/>
      <c r="F3" s="720"/>
    </row>
    <row r="4" spans="1:8" s="40" customFormat="1" ht="27.6">
      <c r="B4" s="664"/>
      <c r="C4" s="118" t="s">
        <v>6</v>
      </c>
      <c r="D4" s="665" t="s">
        <v>7</v>
      </c>
      <c r="E4" s="210" t="s">
        <v>8</v>
      </c>
      <c r="F4" s="455" t="s">
        <v>9</v>
      </c>
      <c r="G4" s="641" t="s">
        <v>9</v>
      </c>
      <c r="H4" s="210" t="s">
        <v>10</v>
      </c>
    </row>
    <row r="5" spans="1:8" s="40" customFormat="1" ht="27.6">
      <c r="A5" s="698" t="s">
        <v>396</v>
      </c>
      <c r="B5" s="699" t="s">
        <v>397</v>
      </c>
      <c r="C5" s="90" t="s">
        <v>11</v>
      </c>
      <c r="D5" s="210" t="s">
        <v>12</v>
      </c>
      <c r="E5" s="210" t="s">
        <v>13</v>
      </c>
      <c r="F5" s="455" t="s">
        <v>14</v>
      </c>
      <c r="G5" s="641" t="s">
        <v>15</v>
      </c>
      <c r="H5" s="210" t="s">
        <v>16</v>
      </c>
    </row>
    <row r="6" spans="1:8" s="40" customFormat="1" ht="13.8">
      <c r="A6" s="666"/>
      <c r="B6" s="667"/>
      <c r="C6" s="90" t="s">
        <v>17</v>
      </c>
      <c r="D6" s="210" t="s">
        <v>18</v>
      </c>
      <c r="E6" s="210" t="s">
        <v>19</v>
      </c>
      <c r="F6" s="455" t="s">
        <v>18</v>
      </c>
      <c r="G6" s="641" t="s">
        <v>17</v>
      </c>
      <c r="H6" s="210" t="s">
        <v>20</v>
      </c>
    </row>
    <row r="7" spans="1:8" s="40" customFormat="1" ht="13.8" hidden="1">
      <c r="A7" s="206" t="s">
        <v>21</v>
      </c>
      <c r="B7" s="238" t="s">
        <v>22</v>
      </c>
      <c r="C7" s="239">
        <v>8.9999999999999993E-3</v>
      </c>
      <c r="D7" s="205">
        <f>0.0036*D9</f>
        <v>3.2507999999999999E-3</v>
      </c>
      <c r="E7" s="205">
        <f>43*0.85/1000</f>
        <v>3.6549999999999999E-2</v>
      </c>
      <c r="F7" s="237">
        <f>0.0143*1000</f>
        <v>14.3</v>
      </c>
      <c r="G7" s="642"/>
      <c r="H7" s="49"/>
    </row>
    <row r="8" spans="1:8" s="40" customFormat="1" ht="13.8" hidden="1">
      <c r="A8" s="206" t="s">
        <v>23</v>
      </c>
      <c r="B8" s="238" t="s">
        <v>24</v>
      </c>
      <c r="C8" s="240">
        <v>55.8</v>
      </c>
      <c r="D8" s="49">
        <v>55.8</v>
      </c>
      <c r="E8" s="49">
        <v>73.3</v>
      </c>
      <c r="F8" s="237">
        <f>F12/F7</f>
        <v>0</v>
      </c>
      <c r="G8" s="642"/>
      <c r="H8" s="49"/>
    </row>
    <row r="9" spans="1:8" s="40" customFormat="1" ht="13.8">
      <c r="A9" s="206" t="s">
        <v>25</v>
      </c>
      <c r="B9" s="238" t="s">
        <v>26</v>
      </c>
      <c r="C9" s="647">
        <v>1</v>
      </c>
      <c r="D9" s="648">
        <v>0.90300000000000002</v>
      </c>
      <c r="E9" s="649">
        <v>0.94</v>
      </c>
      <c r="F9" s="658">
        <f>D9</f>
        <v>0.90300000000000002</v>
      </c>
      <c r="G9" s="650">
        <v>1</v>
      </c>
      <c r="H9" s="651">
        <v>0</v>
      </c>
    </row>
    <row r="10" spans="1:8" s="40" customFormat="1" ht="13.8">
      <c r="A10" s="206" t="s">
        <v>27</v>
      </c>
      <c r="B10" s="238" t="s">
        <v>28</v>
      </c>
      <c r="C10" s="647">
        <v>1</v>
      </c>
      <c r="D10" s="651">
        <v>1</v>
      </c>
      <c r="E10" s="652">
        <v>10.6</v>
      </c>
      <c r="F10" s="653">
        <f>D10</f>
        <v>1</v>
      </c>
      <c r="G10" s="650">
        <v>1</v>
      </c>
      <c r="H10" s="651">
        <v>0</v>
      </c>
    </row>
    <row r="11" spans="1:8" s="40" customFormat="1" ht="13.8" hidden="1">
      <c r="A11" s="206" t="s">
        <v>29</v>
      </c>
      <c r="B11" s="238" t="s">
        <v>30</v>
      </c>
      <c r="C11" s="654"/>
      <c r="D11" s="652">
        <f>D8*D9</f>
        <v>50.3874</v>
      </c>
      <c r="E11" s="652">
        <f>E8*E9</f>
        <v>68.901999999999987</v>
      </c>
      <c r="F11" s="655">
        <f>F8*F9</f>
        <v>0</v>
      </c>
      <c r="G11" s="656"/>
      <c r="H11" s="652"/>
    </row>
    <row r="12" spans="1:8" s="40" customFormat="1" ht="13.8">
      <c r="A12" s="206" t="s">
        <v>31</v>
      </c>
      <c r="B12" s="238" t="s">
        <v>32</v>
      </c>
      <c r="C12" s="659">
        <v>0.216</v>
      </c>
      <c r="D12" s="657">
        <v>0.218</v>
      </c>
      <c r="E12" s="657">
        <v>3.2568999999999999</v>
      </c>
      <c r="F12" s="660">
        <v>0</v>
      </c>
      <c r="G12" s="661">
        <v>0</v>
      </c>
      <c r="H12" s="657">
        <v>1</v>
      </c>
    </row>
    <row r="13" spans="1:8" s="40" customFormat="1" ht="14.4" thickBot="1">
      <c r="A13" s="247" t="s">
        <v>33</v>
      </c>
      <c r="B13" s="248" t="s">
        <v>34</v>
      </c>
      <c r="C13" s="644"/>
      <c r="D13" s="645"/>
      <c r="E13" s="645"/>
      <c r="F13" s="646"/>
      <c r="G13" s="643"/>
      <c r="H13" s="477"/>
    </row>
    <row r="14" spans="1:8" s="40" customFormat="1" ht="13.8">
      <c r="A14" s="668"/>
      <c r="B14" s="668"/>
      <c r="C14" s="668"/>
      <c r="D14" s="668"/>
      <c r="E14" s="668"/>
      <c r="F14" s="668"/>
    </row>
    <row r="15" spans="1:8" ht="16.2" thickBot="1">
      <c r="A15" s="669"/>
      <c r="B15" s="669"/>
      <c r="C15" s="669"/>
      <c r="D15" s="669"/>
      <c r="E15" s="669"/>
      <c r="F15" s="669"/>
      <c r="G15" s="669"/>
      <c r="H15" s="669"/>
    </row>
    <row r="16" spans="1:8" ht="16.2" thickBot="1">
      <c r="A16" s="713" t="s">
        <v>35</v>
      </c>
      <c r="B16" s="714"/>
      <c r="C16" s="715"/>
      <c r="D16" s="410"/>
      <c r="E16" s="670"/>
      <c r="F16" s="669"/>
      <c r="G16" s="669"/>
      <c r="H16" s="669"/>
    </row>
    <row r="17" spans="1:8" ht="16.2" thickBot="1">
      <c r="A17" s="410"/>
      <c r="B17" s="410"/>
      <c r="C17" s="410"/>
      <c r="D17" s="410"/>
      <c r="E17" s="670"/>
      <c r="F17" s="669"/>
      <c r="G17" s="669"/>
      <c r="H17" s="669"/>
    </row>
    <row r="18" spans="1:8" ht="16.2" thickBot="1">
      <c r="A18" s="408" t="s">
        <v>36</v>
      </c>
      <c r="B18" s="409" t="s">
        <v>37</v>
      </c>
      <c r="C18" s="408" t="s">
        <v>38</v>
      </c>
      <c r="D18" s="407"/>
      <c r="E18" s="670"/>
      <c r="F18" s="669"/>
      <c r="G18" s="669"/>
      <c r="H18" s="669"/>
    </row>
    <row r="19" spans="1:8">
      <c r="A19" s="345" t="s">
        <v>39</v>
      </c>
      <c r="B19" s="404">
        <v>0.06</v>
      </c>
      <c r="C19" s="403" t="s">
        <v>40</v>
      </c>
      <c r="D19" s="407"/>
      <c r="E19" s="670"/>
      <c r="F19" s="669"/>
      <c r="G19" s="669"/>
      <c r="H19" s="669"/>
    </row>
    <row r="20" spans="1:8" ht="39.6">
      <c r="A20" s="329" t="s">
        <v>41</v>
      </c>
      <c r="B20" s="440">
        <f>(125.91/125.26)-1</f>
        <v>5.1892064505827395E-3</v>
      </c>
      <c r="C20" s="400" t="s">
        <v>42</v>
      </c>
      <c r="D20" s="407"/>
      <c r="E20" s="670"/>
      <c r="F20" s="669"/>
      <c r="G20" s="669"/>
      <c r="H20" s="669"/>
    </row>
    <row r="21" spans="1:8">
      <c r="A21" s="329" t="s">
        <v>43</v>
      </c>
      <c r="B21" s="396">
        <v>0.25</v>
      </c>
      <c r="C21" s="395" t="s">
        <v>44</v>
      </c>
      <c r="D21" s="424" t="s">
        <v>45</v>
      </c>
      <c r="E21" s="670"/>
      <c r="F21" s="669"/>
      <c r="G21" s="669"/>
      <c r="H21" s="669"/>
    </row>
    <row r="22" spans="1:8" ht="16.2" thickBot="1">
      <c r="A22" s="325" t="s">
        <v>46</v>
      </c>
      <c r="B22" s="391">
        <v>0.20499999999999999</v>
      </c>
      <c r="C22" s="390" t="s">
        <v>47</v>
      </c>
      <c r="D22" s="407"/>
      <c r="E22" s="407"/>
      <c r="F22" s="78"/>
      <c r="G22" s="78"/>
      <c r="H22" s="78"/>
    </row>
    <row r="23" spans="1:8" ht="16.2" thickBot="1">
      <c r="A23" s="669"/>
      <c r="B23" s="669"/>
      <c r="C23" s="669"/>
      <c r="D23" s="669"/>
      <c r="E23" s="669"/>
      <c r="F23" s="669"/>
      <c r="G23" s="669"/>
      <c r="H23" s="669"/>
    </row>
    <row r="24" spans="1:8" ht="16.2" thickBot="1">
      <c r="A24" s="713" t="s">
        <v>48</v>
      </c>
      <c r="B24" s="714"/>
      <c r="C24" s="714"/>
      <c r="D24" s="715"/>
      <c r="E24" s="669"/>
      <c r="F24" s="669"/>
      <c r="G24" s="669"/>
      <c r="H24" s="669"/>
    </row>
    <row r="25" spans="1:8" ht="16.2" thickBot="1">
      <c r="A25" s="410"/>
      <c r="B25" s="410"/>
      <c r="C25" s="410"/>
      <c r="D25" s="410"/>
      <c r="E25" s="669"/>
      <c r="F25" s="669"/>
      <c r="G25" s="669"/>
      <c r="H25" s="669"/>
    </row>
    <row r="26" spans="1:8" ht="40.200000000000003" thickBot="1">
      <c r="A26" s="406" t="s">
        <v>49</v>
      </c>
      <c r="B26" s="405" t="s">
        <v>50</v>
      </c>
      <c r="C26" s="405" t="s">
        <v>51</v>
      </c>
      <c r="D26" s="405" t="s">
        <v>52</v>
      </c>
      <c r="E26" s="669"/>
      <c r="F26" s="669"/>
      <c r="G26" s="669"/>
      <c r="H26" s="669"/>
    </row>
    <row r="27" spans="1:8" ht="27" thickBot="1">
      <c r="A27" s="399" t="s">
        <v>53</v>
      </c>
      <c r="B27" s="402" t="s">
        <v>54</v>
      </c>
      <c r="C27" s="401">
        <v>5</v>
      </c>
      <c r="D27" s="401">
        <v>3</v>
      </c>
      <c r="E27" s="669"/>
      <c r="F27" s="669"/>
      <c r="G27" s="669"/>
      <c r="H27" s="669"/>
    </row>
    <row r="28" spans="1:8" ht="66.599999999999994" thickBot="1">
      <c r="A28" s="399" t="s">
        <v>55</v>
      </c>
      <c r="B28" s="398" t="s">
        <v>56</v>
      </c>
      <c r="C28" s="397">
        <v>15</v>
      </c>
      <c r="D28" s="397">
        <v>8</v>
      </c>
      <c r="E28" s="669"/>
      <c r="F28" s="669"/>
      <c r="G28" s="669"/>
      <c r="H28" s="669"/>
    </row>
    <row r="29" spans="1:8" ht="53.4" thickBot="1">
      <c r="A29" s="394" t="s">
        <v>57</v>
      </c>
      <c r="B29" s="393" t="s">
        <v>58</v>
      </c>
      <c r="C29" s="392">
        <v>30</v>
      </c>
      <c r="D29" s="392">
        <v>15</v>
      </c>
      <c r="E29" s="669"/>
      <c r="F29" s="669"/>
      <c r="G29" s="669"/>
      <c r="H29" s="669"/>
    </row>
    <row r="30" spans="1:8">
      <c r="A30" s="78"/>
      <c r="B30" s="78"/>
      <c r="C30" s="78"/>
      <c r="D30" s="78"/>
      <c r="E30" s="78"/>
      <c r="F30" s="669"/>
      <c r="G30" s="669"/>
      <c r="H30" s="669"/>
    </row>
    <row r="31" spans="1:8">
      <c r="A31" s="716" t="s">
        <v>59</v>
      </c>
      <c r="B31" s="717"/>
      <c r="C31" s="717"/>
      <c r="D31" s="717"/>
      <c r="E31" s="132"/>
      <c r="F31" s="669"/>
      <c r="G31" s="669"/>
      <c r="H31" s="669"/>
    </row>
    <row r="32" spans="1:8">
      <c r="A32" s="78"/>
      <c r="B32" s="78"/>
      <c r="C32" s="78"/>
      <c r="D32" s="78"/>
      <c r="E32" s="78"/>
      <c r="F32" s="669"/>
      <c r="G32" s="669"/>
      <c r="H32" s="669"/>
    </row>
    <row r="33" spans="1:5" ht="16.2" thickBot="1">
      <c r="A33" s="78"/>
      <c r="B33" s="78"/>
      <c r="C33" s="78"/>
      <c r="D33" s="78"/>
      <c r="E33" s="78"/>
    </row>
    <row r="34" spans="1:5" ht="16.2" thickBot="1">
      <c r="A34" s="133"/>
      <c r="B34" s="479">
        <v>2016</v>
      </c>
      <c r="C34" s="479">
        <v>2020</v>
      </c>
      <c r="D34" s="479">
        <v>2022</v>
      </c>
      <c r="E34" s="479">
        <v>2023</v>
      </c>
    </row>
    <row r="35" spans="1:5">
      <c r="A35" s="134" t="s">
        <v>60</v>
      </c>
      <c r="B35" s="135">
        <v>361</v>
      </c>
      <c r="C35" s="135">
        <v>332</v>
      </c>
      <c r="D35" s="135">
        <v>375</v>
      </c>
      <c r="E35" s="135">
        <v>346</v>
      </c>
    </row>
    <row r="36" spans="1:5">
      <c r="A36" s="136" t="s">
        <v>61</v>
      </c>
      <c r="B36" s="137">
        <v>346</v>
      </c>
      <c r="C36" s="137">
        <v>273</v>
      </c>
      <c r="D36" s="137">
        <v>277</v>
      </c>
      <c r="E36" s="137">
        <v>296</v>
      </c>
    </row>
    <row r="37" spans="1:5">
      <c r="A37" s="136" t="s">
        <v>62</v>
      </c>
      <c r="B37" s="137">
        <v>350</v>
      </c>
      <c r="C37" s="137">
        <v>290</v>
      </c>
      <c r="D37" s="137">
        <v>246</v>
      </c>
      <c r="E37" s="137">
        <v>283</v>
      </c>
    </row>
    <row r="38" spans="1:5">
      <c r="A38" s="136" t="s">
        <v>63</v>
      </c>
      <c r="B38" s="137">
        <v>240</v>
      </c>
      <c r="C38" s="137">
        <v>118</v>
      </c>
      <c r="D38" s="137">
        <v>193</v>
      </c>
      <c r="E38" s="137">
        <v>227</v>
      </c>
    </row>
    <row r="39" spans="1:5">
      <c r="A39" s="136" t="s">
        <v>64</v>
      </c>
      <c r="B39" s="137">
        <v>87</v>
      </c>
      <c r="C39" s="137">
        <v>87</v>
      </c>
      <c r="D39" s="137">
        <v>64</v>
      </c>
      <c r="E39" s="137">
        <v>81</v>
      </c>
    </row>
    <row r="40" spans="1:5">
      <c r="A40" s="136" t="s">
        <v>65</v>
      </c>
      <c r="B40" s="137">
        <v>32</v>
      </c>
      <c r="C40" s="137">
        <v>25</v>
      </c>
      <c r="D40" s="137">
        <v>13</v>
      </c>
      <c r="E40" s="137">
        <v>2</v>
      </c>
    </row>
    <row r="41" spans="1:5">
      <c r="A41" s="136" t="s">
        <v>66</v>
      </c>
      <c r="B41" s="137">
        <v>11</v>
      </c>
      <c r="C41" s="137">
        <v>3</v>
      </c>
      <c r="D41" s="137">
        <v>0</v>
      </c>
      <c r="E41" s="137">
        <v>0</v>
      </c>
    </row>
    <row r="42" spans="1:5">
      <c r="A42" s="136" t="s">
        <v>67</v>
      </c>
      <c r="B42" s="137">
        <v>10</v>
      </c>
      <c r="C42" s="137">
        <v>4</v>
      </c>
      <c r="D42" s="137">
        <v>0</v>
      </c>
      <c r="E42" s="137">
        <v>15</v>
      </c>
    </row>
    <row r="43" spans="1:5">
      <c r="A43" s="136" t="s">
        <v>68</v>
      </c>
      <c r="B43" s="137">
        <v>13</v>
      </c>
      <c r="C43" s="137">
        <v>32</v>
      </c>
      <c r="D43" s="137">
        <v>77</v>
      </c>
      <c r="E43" s="137">
        <v>11</v>
      </c>
    </row>
    <row r="44" spans="1:5">
      <c r="A44" s="136" t="s">
        <v>69</v>
      </c>
      <c r="B44" s="137">
        <v>209</v>
      </c>
      <c r="C44" s="137">
        <v>155</v>
      </c>
      <c r="D44" s="137">
        <v>73</v>
      </c>
      <c r="E44" s="137">
        <v>98</v>
      </c>
    </row>
    <row r="45" spans="1:5">
      <c r="A45" s="136" t="s">
        <v>70</v>
      </c>
      <c r="B45" s="137">
        <v>306</v>
      </c>
      <c r="C45" s="137">
        <v>213</v>
      </c>
      <c r="D45" s="137">
        <v>218</v>
      </c>
      <c r="E45" s="137">
        <v>256</v>
      </c>
    </row>
    <row r="46" spans="1:5" ht="16.2" thickBot="1">
      <c r="A46" s="138" t="s">
        <v>71</v>
      </c>
      <c r="B46" s="137">
        <v>365</v>
      </c>
      <c r="C46" s="137">
        <v>335</v>
      </c>
      <c r="D46" s="137">
        <v>386</v>
      </c>
      <c r="E46" s="137">
        <v>299</v>
      </c>
    </row>
    <row r="47" spans="1:5" ht="16.2" thickBot="1">
      <c r="A47" s="78"/>
      <c r="B47" s="79"/>
      <c r="C47" s="79"/>
      <c r="D47" s="79"/>
      <c r="E47" s="79"/>
    </row>
    <row r="48" spans="1:5" ht="16.2" thickBot="1">
      <c r="A48" s="139" t="s">
        <v>72</v>
      </c>
      <c r="B48" s="478">
        <f>SUM(B35:B46)</f>
        <v>2330</v>
      </c>
      <c r="C48" s="478">
        <f>SUM(C35:C46)</f>
        <v>1867</v>
      </c>
      <c r="D48" s="478">
        <f>SUM(D35:D46)</f>
        <v>1922</v>
      </c>
      <c r="E48" s="478">
        <f>SUM(E35:E46)</f>
        <v>1914</v>
      </c>
    </row>
    <row r="49" spans="1:6">
      <c r="A49" s="78"/>
      <c r="B49" s="78"/>
      <c r="C49" s="78"/>
      <c r="D49" s="78"/>
      <c r="E49" s="78"/>
      <c r="F49" s="669"/>
    </row>
    <row r="50" spans="1:6">
      <c r="A50" s="78"/>
      <c r="B50" s="78"/>
      <c r="C50" s="78"/>
      <c r="D50" s="78"/>
      <c r="E50" s="78"/>
      <c r="F50" s="669"/>
    </row>
    <row r="51" spans="1:6">
      <c r="A51" s="132" t="s">
        <v>73</v>
      </c>
      <c r="B51" s="77" t="s">
        <v>74</v>
      </c>
      <c r="C51" s="78"/>
      <c r="D51" s="78"/>
      <c r="E51" s="78"/>
      <c r="F51" s="669"/>
    </row>
    <row r="52" spans="1:6">
      <c r="A52" s="78"/>
      <c r="B52" s="78"/>
      <c r="C52" s="78"/>
      <c r="D52" s="78"/>
      <c r="E52" s="78"/>
      <c r="F52" s="669"/>
    </row>
    <row r="53" spans="1:6">
      <c r="A53" s="78"/>
      <c r="B53" s="78"/>
      <c r="C53" s="78"/>
      <c r="D53" s="78"/>
      <c r="E53" s="78"/>
      <c r="F53" s="669"/>
    </row>
    <row r="54" spans="1:6">
      <c r="A54" s="611" t="s">
        <v>75</v>
      </c>
      <c r="B54" s="609"/>
      <c r="C54" s="609"/>
      <c r="D54" s="669"/>
      <c r="E54" s="669"/>
      <c r="F54" s="669"/>
    </row>
    <row r="55" spans="1:6">
      <c r="A55" s="611"/>
      <c r="B55" s="609"/>
      <c r="C55" s="609"/>
      <c r="D55" s="669"/>
      <c r="E55" s="669"/>
      <c r="F55" s="669"/>
    </row>
    <row r="56" spans="1:6">
      <c r="A56" s="610" t="s">
        <v>76</v>
      </c>
      <c r="B56" s="613" t="s">
        <v>77</v>
      </c>
      <c r="C56" s="613" t="s">
        <v>78</v>
      </c>
      <c r="D56" s="613"/>
      <c r="E56" s="669"/>
      <c r="F56" s="627" t="s">
        <v>79</v>
      </c>
    </row>
    <row r="57" spans="1:6">
      <c r="A57" s="609" t="s">
        <v>80</v>
      </c>
      <c r="B57" s="612" t="s">
        <v>81</v>
      </c>
      <c r="C57" s="624" t="s">
        <v>82</v>
      </c>
      <c r="D57" s="612"/>
      <c r="E57" s="669"/>
      <c r="F57" s="671">
        <v>2030</v>
      </c>
    </row>
    <row r="58" spans="1:6">
      <c r="A58" s="609" t="s">
        <v>83</v>
      </c>
      <c r="B58" s="612" t="s">
        <v>84</v>
      </c>
      <c r="C58" s="624" t="s">
        <v>85</v>
      </c>
      <c r="D58" s="612"/>
      <c r="E58" s="669"/>
      <c r="F58" s="671">
        <v>2040</v>
      </c>
    </row>
    <row r="59" spans="1:6">
      <c r="A59" s="663" t="s">
        <v>86</v>
      </c>
      <c r="B59" s="662" t="s">
        <v>87</v>
      </c>
      <c r="C59" s="624" t="s">
        <v>88</v>
      </c>
      <c r="D59" s="612"/>
      <c r="E59" s="669"/>
      <c r="F59" s="671">
        <v>2050</v>
      </c>
    </row>
    <row r="60" spans="1:6">
      <c r="A60" s="609" t="s">
        <v>89</v>
      </c>
      <c r="B60" s="662" t="s">
        <v>90</v>
      </c>
      <c r="C60" s="624" t="s">
        <v>91</v>
      </c>
      <c r="D60" s="612"/>
      <c r="E60" s="669"/>
      <c r="F60" s="669"/>
    </row>
    <row r="61" spans="1:6">
      <c r="A61" s="609" t="s">
        <v>92</v>
      </c>
      <c r="B61" s="662" t="s">
        <v>93</v>
      </c>
      <c r="C61" s="669"/>
      <c r="D61" s="612"/>
      <c r="E61" s="669"/>
      <c r="F61" s="669"/>
    </row>
    <row r="62" spans="1:6">
      <c r="A62" s="609" t="s">
        <v>94</v>
      </c>
      <c r="B62" s="662" t="s">
        <v>95</v>
      </c>
      <c r="C62" s="669"/>
      <c r="D62" s="612"/>
      <c r="E62" s="669"/>
      <c r="F62" s="669"/>
    </row>
    <row r="63" spans="1:6">
      <c r="A63" s="609" t="s">
        <v>96</v>
      </c>
      <c r="B63" s="612" t="s">
        <v>97</v>
      </c>
      <c r="C63" s="669"/>
      <c r="D63" s="612"/>
      <c r="E63" s="669"/>
      <c r="F63" s="669"/>
    </row>
    <row r="64" spans="1:6">
      <c r="A64" s="609" t="s">
        <v>98</v>
      </c>
      <c r="B64" s="612" t="s">
        <v>99</v>
      </c>
      <c r="C64" s="669"/>
      <c r="D64" s="669"/>
      <c r="E64" s="669"/>
      <c r="F64" s="669"/>
    </row>
    <row r="65" spans="1:2">
      <c r="A65" s="663" t="s">
        <v>100</v>
      </c>
      <c r="B65" s="662" t="s">
        <v>101</v>
      </c>
    </row>
    <row r="66" spans="1:2">
      <c r="A66" s="663" t="s">
        <v>102</v>
      </c>
      <c r="B66" s="612" t="s">
        <v>103</v>
      </c>
    </row>
    <row r="67" spans="1:2">
      <c r="A67" s="609" t="s">
        <v>104</v>
      </c>
      <c r="B67" s="612" t="s">
        <v>105</v>
      </c>
    </row>
    <row r="68" spans="1:2">
      <c r="A68" s="609" t="s">
        <v>106</v>
      </c>
      <c r="B68" s="669" t="s">
        <v>232</v>
      </c>
    </row>
    <row r="69" spans="1:2">
      <c r="A69" s="609" t="s">
        <v>107</v>
      </c>
      <c r="B69" s="612"/>
    </row>
    <row r="70" spans="1:2">
      <c r="A70" s="609" t="s">
        <v>108</v>
      </c>
      <c r="B70" s="612"/>
    </row>
    <row r="71" spans="1:2">
      <c r="A71" s="609" t="s">
        <v>109</v>
      </c>
      <c r="B71" s="612"/>
    </row>
    <row r="72" spans="1:2">
      <c r="A72" s="663" t="s">
        <v>110</v>
      </c>
      <c r="B72" s="612"/>
    </row>
    <row r="73" spans="1:2">
      <c r="A73" s="663" t="s">
        <v>111</v>
      </c>
      <c r="B73" s="612"/>
    </row>
    <row r="74" spans="1:2">
      <c r="A74" s="700" t="s">
        <v>232</v>
      </c>
      <c r="B74" s="612"/>
    </row>
    <row r="75" spans="1:2">
      <c r="B75" s="612"/>
    </row>
    <row r="76" spans="1:2">
      <c r="A76" s="609"/>
      <c r="B76" s="612"/>
    </row>
    <row r="77" spans="1:2">
      <c r="A77" s="609"/>
      <c r="B77" s="612"/>
    </row>
    <row r="78" spans="1:2">
      <c r="A78" s="609"/>
      <c r="B78" s="612"/>
    </row>
    <row r="79" spans="1:2">
      <c r="A79" s="663"/>
      <c r="B79" s="612"/>
    </row>
    <row r="80" spans="1:2">
      <c r="A80" s="663"/>
      <c r="B80" s="612"/>
    </row>
    <row r="81" spans="1:3">
      <c r="A81" s="609"/>
      <c r="B81" s="612"/>
    </row>
    <row r="82" spans="1:3">
      <c r="A82" s="609"/>
      <c r="B82" s="612"/>
    </row>
    <row r="83" spans="1:3">
      <c r="A83" s="663"/>
      <c r="B83" s="669"/>
      <c r="C83" s="609"/>
    </row>
    <row r="84" spans="1:3">
      <c r="A84" s="609"/>
      <c r="B84" s="669"/>
      <c r="C84" s="609"/>
    </row>
    <row r="85" spans="1:3">
      <c r="A85" s="609"/>
      <c r="B85" s="609"/>
      <c r="C85" s="609"/>
    </row>
  </sheetData>
  <sortState xmlns:xlrd2="http://schemas.microsoft.com/office/spreadsheetml/2017/richdata2" ref="A57:A76">
    <sortCondition ref="A57:A76"/>
  </sortState>
  <mergeCells count="5">
    <mergeCell ref="A24:D24"/>
    <mergeCell ref="A16:C16"/>
    <mergeCell ref="A1:C1"/>
    <mergeCell ref="A31:D31"/>
    <mergeCell ref="C3:F3"/>
  </mergeCells>
  <phoneticPr fontId="37" type="noConversion"/>
  <hyperlinks>
    <hyperlink ref="C22" r:id="rId1" location=":~:text=20%2C5%20,%C3%A0%20l%27usage%20exclusif%20de%20l%27entreprise" xr:uid="{A47575BD-CFEA-4E00-8C9C-19C131B93AB5}"/>
    <hyperlink ref="C20" r:id="rId2" xr:uid="{599C6DEF-41A0-4E7B-813F-3DF49570296D}"/>
    <hyperlink ref="D21" r:id="rId3" display="https://statbel.fgov.be/fr/themes/prix-la-consommation" xr:uid="{D6F4EDD9-3101-48F3-B6A2-944591BA561F}"/>
    <hyperlink ref="B51" r:id="rId4" xr:uid="{F30B533F-8D32-42ED-86CB-CCB5E92278AE}"/>
  </hyperlinks>
  <pageMargins left="0.78740157499999996" right="0.78740157499999996" top="0.984251969" bottom="0.984251969" header="0.5" footer="0.5"/>
  <pageSetup paperSize="9" orientation="landscape" horizontalDpi="1200" verticalDpi="1200" r:id="rId5"/>
  <headerFooter alignWithMargins="0">
    <oddHeader>&amp;R3J-CONSULT sa</oddHeader>
    <oddFooter>&amp;L&amp;F&amp;R&amp;A</oddFooter>
  </headerFooter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47F3D-D3CD-4317-A3E2-9DA972BC64C3}">
  <sheetPr>
    <pageSetUpPr fitToPage="1"/>
  </sheetPr>
  <dimension ref="A1:AX51"/>
  <sheetViews>
    <sheetView showGridLines="0" zoomScale="90" zoomScaleNormal="90" workbookViewId="0">
      <pane xSplit="2" ySplit="4" topLeftCell="F5" activePane="bottomRight" state="frozen"/>
      <selection pane="topRight" activeCell="J49" sqref="J49"/>
      <selection pane="bottomLeft" activeCell="J49" sqref="J49"/>
      <selection pane="bottomRight" activeCell="K2" sqref="K2:N12"/>
    </sheetView>
  </sheetViews>
  <sheetFormatPr baseColWidth="10" defaultColWidth="9.109375" defaultRowHeight="13.2" outlineLevelCol="1"/>
  <cols>
    <col min="1" max="1" width="22" customWidth="1"/>
    <col min="2" max="2" width="30.6640625" bestFit="1" customWidth="1"/>
    <col min="3" max="3" width="14.6640625" customWidth="1"/>
    <col min="4" max="4" width="10.88671875" bestFit="1" customWidth="1"/>
    <col min="5" max="5" width="9.109375" style="46" bestFit="1" customWidth="1"/>
    <col min="6" max="6" width="10.44140625" style="46" customWidth="1"/>
    <col min="7" max="8" width="13.5546875" bestFit="1" customWidth="1"/>
    <col min="9" max="9" width="12.5546875" bestFit="1" customWidth="1"/>
    <col min="10" max="10" width="3.5546875" customWidth="1"/>
    <col min="11" max="11" width="4.44140625" customWidth="1"/>
    <col min="12" max="12" width="11.88671875" bestFit="1" customWidth="1"/>
    <col min="13" max="13" width="6.88671875" bestFit="1" customWidth="1"/>
    <col min="14" max="14" width="6.5546875" bestFit="1" customWidth="1"/>
    <col min="15" max="15" width="5.44140625" customWidth="1"/>
    <col min="16" max="16" width="11.44140625" style="46" bestFit="1" customWidth="1"/>
    <col min="17" max="17" width="12.44140625" style="46" bestFit="1" customWidth="1"/>
    <col min="18" max="18" width="6.6640625" hidden="1" customWidth="1"/>
    <col min="19" max="19" width="7" hidden="1" customWidth="1"/>
    <col min="20" max="20" width="14.44140625" style="46" bestFit="1" customWidth="1"/>
    <col min="21" max="21" width="10.6640625" style="46" bestFit="1" customWidth="1"/>
    <col min="22" max="22" width="8.44140625" customWidth="1"/>
    <col min="23" max="23" width="8.44140625" customWidth="1" outlineLevel="1"/>
    <col min="24" max="24" width="8" bestFit="1" customWidth="1" outlineLevel="1"/>
    <col min="25" max="25" width="9.109375" outlineLevel="1"/>
    <col min="26" max="26" width="17.6640625" customWidth="1" outlineLevel="1"/>
    <col min="27" max="27" width="11.6640625" customWidth="1" outlineLevel="1"/>
    <col min="28" max="28" width="12" bestFit="1" customWidth="1" outlineLevel="1"/>
    <col min="29" max="29" width="12" customWidth="1" outlineLevel="1"/>
    <col min="30" max="30" width="9.5546875" bestFit="1" customWidth="1" outlineLevel="1"/>
    <col min="31" max="31" width="5.88671875" bestFit="1" customWidth="1" outlineLevel="1"/>
    <col min="32" max="32" width="5.6640625" bestFit="1" customWidth="1" outlineLevel="1"/>
    <col min="33" max="33" width="10.6640625" bestFit="1" customWidth="1" outlineLevel="1"/>
    <col min="34" max="34" width="6.88671875" bestFit="1" customWidth="1" outlineLevel="1"/>
    <col min="35" max="35" width="6.5546875" bestFit="1" customWidth="1" outlineLevel="1"/>
    <col min="36" max="36" width="11.5546875" customWidth="1"/>
    <col min="37" max="37" width="27" bestFit="1" customWidth="1" outlineLevel="1"/>
    <col min="38" max="38" width="10.44140625" bestFit="1" customWidth="1" outlineLevel="1"/>
    <col min="39" max="39" width="8.6640625" bestFit="1" customWidth="1" outlineLevel="1"/>
    <col min="40" max="40" width="6.88671875" bestFit="1" customWidth="1" outlineLevel="1"/>
    <col min="41" max="42" width="7.109375" bestFit="1" customWidth="1" outlineLevel="1"/>
    <col min="43" max="45" width="10.44140625" bestFit="1" customWidth="1" outlineLevel="1"/>
    <col min="46" max="46" width="7.44140625" bestFit="1" customWidth="1" outlineLevel="1"/>
    <col min="47" max="47" width="8.88671875" bestFit="1" customWidth="1" outlineLevel="1"/>
    <col min="48" max="48" width="12.109375" customWidth="1" outlineLevel="1"/>
    <col min="49" max="49" width="8.33203125" customWidth="1" outlineLevel="1"/>
    <col min="50" max="50" width="6.88671875" bestFit="1" customWidth="1" outlineLevel="1"/>
  </cols>
  <sheetData>
    <row r="1" spans="1:50" s="9" customFormat="1" ht="25.2" thickBot="1">
      <c r="B1" s="14"/>
      <c r="C1" s="14" t="str">
        <f>Paramètres!B3</f>
        <v>NOM DE L'ENTITE</v>
      </c>
      <c r="E1" s="92"/>
      <c r="F1" s="92"/>
      <c r="J1" s="117"/>
      <c r="O1" s="117"/>
      <c r="P1" s="92"/>
      <c r="Q1" s="92"/>
      <c r="T1" s="92"/>
      <c r="U1" s="92"/>
      <c r="V1" s="117"/>
      <c r="W1" s="14" t="s">
        <v>112</v>
      </c>
      <c r="Z1" s="14"/>
      <c r="AK1" s="14" t="s">
        <v>113</v>
      </c>
      <c r="AM1" s="92"/>
      <c r="AN1" s="92"/>
      <c r="AO1" s="92"/>
      <c r="AP1" s="92"/>
      <c r="AQ1" s="92"/>
    </row>
    <row r="2" spans="1:50" s="60" customFormat="1" ht="30.6" thickBot="1">
      <c r="A2" s="59" t="s">
        <v>114</v>
      </c>
      <c r="B2" s="491">
        <v>2023</v>
      </c>
      <c r="C2" s="721" t="s">
        <v>5</v>
      </c>
      <c r="D2" s="721"/>
      <c r="E2" s="721"/>
      <c r="F2" s="722"/>
      <c r="G2" s="730" t="s">
        <v>115</v>
      </c>
      <c r="H2" s="731"/>
      <c r="I2" s="554" t="s">
        <v>116</v>
      </c>
      <c r="J2" s="123"/>
      <c r="K2" s="732" t="s">
        <v>117</v>
      </c>
      <c r="L2" s="733"/>
      <c r="M2" s="733"/>
      <c r="N2" s="734"/>
      <c r="O2" s="122"/>
      <c r="P2" s="735" t="s">
        <v>118</v>
      </c>
      <c r="Q2" s="736"/>
      <c r="R2" s="737"/>
      <c r="S2" s="736"/>
      <c r="T2" s="735" t="s">
        <v>119</v>
      </c>
      <c r="U2" s="736"/>
      <c r="V2" s="122"/>
      <c r="W2" s="738" t="s">
        <v>5</v>
      </c>
      <c r="X2" s="740"/>
      <c r="Y2" s="740"/>
      <c r="Z2" s="739"/>
      <c r="AA2" s="738" t="s">
        <v>115</v>
      </c>
      <c r="AB2" s="739"/>
      <c r="AC2" s="120"/>
      <c r="AD2" s="735" t="s">
        <v>120</v>
      </c>
      <c r="AE2" s="737"/>
      <c r="AF2" s="737"/>
      <c r="AG2" s="736"/>
      <c r="AH2" s="735" t="s">
        <v>121</v>
      </c>
      <c r="AI2" s="736"/>
      <c r="AJ2" s="120"/>
      <c r="AK2" s="741" t="s">
        <v>5</v>
      </c>
      <c r="AL2" s="742"/>
      <c r="AM2" s="742"/>
      <c r="AN2" s="743"/>
      <c r="AO2" s="738" t="s">
        <v>115</v>
      </c>
      <c r="AP2" s="739"/>
      <c r="AQ2" s="572" t="s">
        <v>122</v>
      </c>
      <c r="AR2" s="558"/>
      <c r="AS2" s="735"/>
      <c r="AT2" s="737"/>
      <c r="AU2" s="737"/>
      <c r="AV2" s="737"/>
      <c r="AW2" s="735" t="s">
        <v>123</v>
      </c>
      <c r="AX2" s="736"/>
    </row>
    <row r="3" spans="1:50" s="9" customFormat="1" ht="30" customHeight="1">
      <c r="A3" s="10"/>
      <c r="B3" s="443"/>
      <c r="C3" s="73" t="str">
        <f>Paramètres!C5</f>
        <v>Electricité 
achetée</v>
      </c>
      <c r="D3" s="73" t="str">
        <f>Paramètres!D5</f>
        <v>Gaz Naturel</v>
      </c>
      <c r="E3" s="73" t="str">
        <f>Paramètres!E5</f>
        <v>Fuel léger</v>
      </c>
      <c r="F3" s="73" t="str">
        <f>Paramètres!F5</f>
        <v>Biogaz</v>
      </c>
      <c r="G3" s="535" t="s">
        <v>124</v>
      </c>
      <c r="H3" s="536" t="s">
        <v>125</v>
      </c>
      <c r="I3" s="73" t="str">
        <f>Paramètres!H5</f>
        <v>Process</v>
      </c>
      <c r="J3" s="123"/>
      <c r="K3" s="447" t="s">
        <v>126</v>
      </c>
      <c r="L3" s="16" t="s">
        <v>127</v>
      </c>
      <c r="M3" s="104" t="s">
        <v>128</v>
      </c>
      <c r="N3" s="17" t="s">
        <v>129</v>
      </c>
      <c r="O3" s="117"/>
      <c r="P3" s="101" t="s">
        <v>130</v>
      </c>
      <c r="Q3" s="106" t="s">
        <v>131</v>
      </c>
      <c r="R3" s="104"/>
      <c r="S3" s="105"/>
      <c r="T3" s="87" t="str">
        <f>"CRA("&amp;B2&amp;")"</f>
        <v>CRA(2023)</v>
      </c>
      <c r="U3" s="19" t="str">
        <f>"ERA("&amp;B2&amp;")"</f>
        <v>ERA(2023)</v>
      </c>
      <c r="V3" s="117"/>
      <c r="W3" s="91" t="str">
        <f t="shared" ref="W3:AB3" si="0">C3</f>
        <v>Electricité 
achetée</v>
      </c>
      <c r="X3" s="73" t="str">
        <f t="shared" si="0"/>
        <v>Gaz Naturel</v>
      </c>
      <c r="Y3" s="73" t="str">
        <f t="shared" si="0"/>
        <v>Fuel léger</v>
      </c>
      <c r="Z3" s="105" t="str">
        <f t="shared" si="0"/>
        <v>Biogaz</v>
      </c>
      <c r="AA3" s="91" t="str">
        <f t="shared" si="0"/>
        <v>Utilité 1</v>
      </c>
      <c r="AB3" s="19" t="str">
        <f t="shared" si="0"/>
        <v>Utilité 2</v>
      </c>
      <c r="AC3" s="121"/>
      <c r="AD3" s="233" t="s">
        <v>132</v>
      </c>
      <c r="AE3" s="104" t="s">
        <v>133</v>
      </c>
      <c r="AF3" s="724" t="s">
        <v>134</v>
      </c>
      <c r="AG3" s="725"/>
      <c r="AH3" s="91" t="s">
        <v>135</v>
      </c>
      <c r="AI3" s="105" t="s">
        <v>136</v>
      </c>
      <c r="AJ3" s="121"/>
      <c r="AK3" s="91" t="str">
        <f>Paramètres!C5</f>
        <v>Electricité 
achetée</v>
      </c>
      <c r="AL3" s="73" t="str">
        <f>Paramètres!D5</f>
        <v>Gaz Naturel</v>
      </c>
      <c r="AM3" s="73" t="str">
        <f>Paramètres!E5</f>
        <v>Fuel léger</v>
      </c>
      <c r="AN3" s="105" t="str">
        <f>Paramètres!F5</f>
        <v>Biogaz</v>
      </c>
      <c r="AO3" s="91" t="str">
        <f>'2023'!G3</f>
        <v>Utilité 1</v>
      </c>
      <c r="AP3" s="19" t="str">
        <f>'2023'!H3</f>
        <v>Utilité 2</v>
      </c>
      <c r="AQ3" s="561" t="str">
        <f>'2023'!I3</f>
        <v>Process</v>
      </c>
      <c r="AR3" s="559"/>
      <c r="AS3" s="91" t="s">
        <v>132</v>
      </c>
      <c r="AT3" s="104" t="s">
        <v>133</v>
      </c>
      <c r="AU3" s="724" t="s">
        <v>137</v>
      </c>
      <c r="AV3" s="726"/>
      <c r="AW3" s="91" t="s">
        <v>135</v>
      </c>
      <c r="AX3" s="105" t="s">
        <v>136</v>
      </c>
    </row>
    <row r="4" spans="1:50" s="9" customFormat="1" ht="15" customHeight="1" thickBot="1">
      <c r="A4" s="492"/>
      <c r="B4" s="444"/>
      <c r="C4" s="446" t="str">
        <f>Paramètres!C6</f>
        <v>kWh</v>
      </c>
      <c r="D4" s="446" t="str">
        <f>Paramètres!D6</f>
        <v>kWhs</v>
      </c>
      <c r="E4" s="446" t="str">
        <f>Paramètres!E6</f>
        <v>litres</v>
      </c>
      <c r="F4" s="446" t="str">
        <f>Paramètres!F6</f>
        <v>kWhs</v>
      </c>
      <c r="G4" s="537" t="s">
        <v>138</v>
      </c>
      <c r="H4" s="538" t="s">
        <v>139</v>
      </c>
      <c r="I4" s="446" t="str">
        <f>Paramètres!H6</f>
        <v>kgCO2</v>
      </c>
      <c r="J4" s="123"/>
      <c r="K4" s="11"/>
      <c r="L4" s="15"/>
      <c r="M4" s="12"/>
      <c r="N4" s="13"/>
      <c r="O4" s="117"/>
      <c r="P4" s="102" t="s">
        <v>140</v>
      </c>
      <c r="Q4" s="107" t="s">
        <v>141</v>
      </c>
      <c r="R4" s="103"/>
      <c r="S4" s="107"/>
      <c r="T4" s="207" t="s">
        <v>142</v>
      </c>
      <c r="U4" s="107" t="s">
        <v>20</v>
      </c>
      <c r="V4" s="117"/>
      <c r="W4" s="102" t="s">
        <v>142</v>
      </c>
      <c r="X4" s="26" t="s">
        <v>142</v>
      </c>
      <c r="Y4" s="26" t="s">
        <v>142</v>
      </c>
      <c r="Z4" s="107" t="s">
        <v>142</v>
      </c>
      <c r="AA4" s="25" t="s">
        <v>142</v>
      </c>
      <c r="AB4" s="44" t="s">
        <v>142</v>
      </c>
      <c r="AC4" s="121"/>
      <c r="AD4" s="234" t="s">
        <v>142</v>
      </c>
      <c r="AE4" s="103" t="s">
        <v>133</v>
      </c>
      <c r="AF4" s="727" t="s">
        <v>140</v>
      </c>
      <c r="AG4" s="728"/>
      <c r="AH4" s="25"/>
      <c r="AI4" s="107"/>
      <c r="AJ4" s="121"/>
      <c r="AK4" s="102" t="s">
        <v>20</v>
      </c>
      <c r="AL4" s="26" t="s">
        <v>20</v>
      </c>
      <c r="AM4" s="26" t="s">
        <v>20</v>
      </c>
      <c r="AN4" s="44" t="s">
        <v>20</v>
      </c>
      <c r="AO4" s="25" t="s">
        <v>20</v>
      </c>
      <c r="AP4" s="44" t="s">
        <v>20</v>
      </c>
      <c r="AQ4" s="562" t="s">
        <v>20</v>
      </c>
      <c r="AR4" s="559"/>
      <c r="AS4" s="25" t="s">
        <v>20</v>
      </c>
      <c r="AT4" s="103" t="s">
        <v>133</v>
      </c>
      <c r="AU4" s="727" t="s">
        <v>141</v>
      </c>
      <c r="AV4" s="729"/>
      <c r="AW4" s="25"/>
      <c r="AX4" s="107"/>
    </row>
    <row r="5" spans="1:50">
      <c r="A5" s="69"/>
      <c r="B5" s="453" t="s">
        <v>143</v>
      </c>
      <c r="C5" s="472"/>
      <c r="D5" s="473"/>
      <c r="E5" s="474"/>
      <c r="F5" s="494"/>
      <c r="G5" s="495"/>
      <c r="H5" s="475"/>
      <c r="I5" s="475"/>
      <c r="J5" s="124"/>
      <c r="K5" s="7"/>
      <c r="L5" s="4"/>
      <c r="M5" s="5"/>
      <c r="N5" s="8"/>
      <c r="O5" s="117"/>
      <c r="P5" s="93"/>
      <c r="Q5" s="108"/>
      <c r="R5" s="110"/>
      <c r="S5" s="111"/>
      <c r="T5" s="109"/>
      <c r="U5" s="94"/>
      <c r="V5" s="117"/>
      <c r="W5" s="450"/>
      <c r="X5" s="445"/>
      <c r="Y5" s="445"/>
      <c r="Z5" s="451"/>
      <c r="AA5" s="568"/>
      <c r="AB5" s="569"/>
      <c r="AC5" s="121"/>
      <c r="AD5" s="62"/>
      <c r="AE5" s="71"/>
      <c r="AF5" s="72"/>
      <c r="AG5" s="114"/>
      <c r="AH5" s="672"/>
      <c r="AI5" s="673"/>
      <c r="AJ5" s="121"/>
      <c r="AK5" s="461"/>
      <c r="AL5" s="462"/>
      <c r="AM5" s="463"/>
      <c r="AN5" s="464"/>
      <c r="AO5" s="461"/>
      <c r="AP5" s="465"/>
      <c r="AQ5" s="563"/>
      <c r="AR5" s="560"/>
      <c r="AS5" s="62"/>
      <c r="AT5" s="130"/>
      <c r="AU5" s="72"/>
      <c r="AV5" s="63"/>
      <c r="AW5" s="672"/>
      <c r="AX5" s="673"/>
    </row>
    <row r="6" spans="1:50">
      <c r="A6" s="550">
        <v>1</v>
      </c>
      <c r="B6" s="485" t="s">
        <v>144</v>
      </c>
      <c r="C6" s="486">
        <v>20000000</v>
      </c>
      <c r="D6" s="486">
        <v>60000000</v>
      </c>
      <c r="E6" s="487"/>
      <c r="F6" s="498">
        <v>16000000</v>
      </c>
      <c r="G6" s="496"/>
      <c r="H6" s="488"/>
      <c r="I6" s="488">
        <v>10000000</v>
      </c>
      <c r="J6" s="125"/>
      <c r="K6" s="441">
        <f>A6</f>
        <v>1</v>
      </c>
      <c r="L6" s="490" t="s">
        <v>145</v>
      </c>
      <c r="M6" s="80">
        <v>1000</v>
      </c>
      <c r="N6" s="525" t="s">
        <v>146</v>
      </c>
      <c r="O6" s="117"/>
      <c r="P6" s="634">
        <f>AF6</f>
        <v>96</v>
      </c>
      <c r="Q6" s="517">
        <f>AU6</f>
        <v>27400</v>
      </c>
      <c r="R6" s="235"/>
      <c r="S6" s="236"/>
      <c r="T6" s="109">
        <f>P6*M6</f>
        <v>96000</v>
      </c>
      <c r="U6" s="94">
        <f>Q6*M6</f>
        <v>27400000</v>
      </c>
      <c r="V6" s="117"/>
      <c r="W6" s="457">
        <f t="shared" ref="W6:AB7" si="1">C6*C$30/1000</f>
        <v>20000</v>
      </c>
      <c r="X6" s="456">
        <f t="shared" si="1"/>
        <v>60000</v>
      </c>
      <c r="Y6" s="456">
        <f t="shared" si="1"/>
        <v>0</v>
      </c>
      <c r="Z6" s="458">
        <f t="shared" si="1"/>
        <v>16000</v>
      </c>
      <c r="AA6" s="457">
        <f t="shared" si="1"/>
        <v>0</v>
      </c>
      <c r="AB6" s="458">
        <f t="shared" si="1"/>
        <v>0</v>
      </c>
      <c r="AC6" s="121"/>
      <c r="AD6" s="209">
        <f t="shared" ref="AD6:AD13" si="2">IF($M6="","",SUM(W6:AB6))</f>
        <v>96000</v>
      </c>
      <c r="AE6" s="67">
        <f>IF(AD6="","",AD6/$AD$14)</f>
        <v>1</v>
      </c>
      <c r="AF6" s="22">
        <f t="shared" ref="AF6:AF13" si="3">IF(M6="","",IF(M6=0,0,AD6/M6))</f>
        <v>96</v>
      </c>
      <c r="AG6" s="64" t="str">
        <f t="shared" ref="AG6:AG13" si="4">IF(M6="","",CONCATENATE("MWh/",N6))</f>
        <v>MWh/tonnes</v>
      </c>
      <c r="AH6" s="674">
        <f t="shared" ref="AH6:AH13" si="5">IF(M6="","",1-(AD6/T6))</f>
        <v>0</v>
      </c>
      <c r="AI6" s="675">
        <f t="shared" ref="AI6:AI13" si="6">IF(M6="","",(T6-AD6)/$T$17)</f>
        <v>0</v>
      </c>
      <c r="AJ6" s="121"/>
      <c r="AK6" s="457">
        <f>C6*C$31</f>
        <v>4320000</v>
      </c>
      <c r="AL6" s="456">
        <f t="shared" ref="AL6:AP6" si="7">D6*D$31</f>
        <v>13080000</v>
      </c>
      <c r="AM6" s="456">
        <f t="shared" si="7"/>
        <v>0</v>
      </c>
      <c r="AN6" s="458">
        <f t="shared" si="7"/>
        <v>0</v>
      </c>
      <c r="AO6" s="457">
        <f t="shared" si="7"/>
        <v>0</v>
      </c>
      <c r="AP6" s="458">
        <f t="shared" si="7"/>
        <v>0</v>
      </c>
      <c r="AQ6" s="564">
        <f>I6</f>
        <v>10000000</v>
      </c>
      <c r="AR6" s="560"/>
      <c r="AS6" s="20">
        <f>IF(M6="","",SUM(AK6:AQ6))</f>
        <v>27400000</v>
      </c>
      <c r="AT6" s="130">
        <f t="shared" ref="AT6:AT13" si="8">IF(AS6="","",AS6/$AS$14)</f>
        <v>0.99963516964611454</v>
      </c>
      <c r="AU6" s="22">
        <f t="shared" ref="AU6:AU13" si="9">IF(M6="","",IF(M6=0,0,AS6/M6))</f>
        <v>27400</v>
      </c>
      <c r="AV6" s="21" t="str">
        <f t="shared" ref="AV6:AV13" si="10">IF(M6="","",CONCATENATE("kgCO2/",N6))</f>
        <v>kgCO2/tonnes</v>
      </c>
      <c r="AW6" s="676">
        <f t="shared" ref="AW6:AW13" si="11">IF(M6="","",1-(AS6/U6))</f>
        <v>0</v>
      </c>
      <c r="AX6" s="675">
        <f t="shared" ref="AX6:AX13" si="12">IF(M6="","",(U6-AS6)/$U$17)</f>
        <v>0</v>
      </c>
    </row>
    <row r="7" spans="1:50">
      <c r="A7" s="550">
        <f>A6+1</f>
        <v>2</v>
      </c>
      <c r="B7" s="485" t="s">
        <v>147</v>
      </c>
      <c r="C7" s="486"/>
      <c r="D7" s="487"/>
      <c r="E7" s="487"/>
      <c r="F7" s="498"/>
      <c r="G7" s="496"/>
      <c r="H7" s="488"/>
      <c r="I7" s="488">
        <v>10000</v>
      </c>
      <c r="J7" s="125"/>
      <c r="K7" s="441">
        <f>A7</f>
        <v>2</v>
      </c>
      <c r="L7" s="490" t="s">
        <v>148</v>
      </c>
      <c r="M7" s="80">
        <v>10000</v>
      </c>
      <c r="N7" s="525" t="s">
        <v>146</v>
      </c>
      <c r="O7" s="117"/>
      <c r="P7" s="634">
        <f>AF7</f>
        <v>0</v>
      </c>
      <c r="Q7" s="517">
        <f>AU7</f>
        <v>1</v>
      </c>
      <c r="R7" s="235"/>
      <c r="S7" s="236"/>
      <c r="T7" s="109">
        <f>P7*M7</f>
        <v>0</v>
      </c>
      <c r="U7" s="94">
        <f>Q7*M7</f>
        <v>10000</v>
      </c>
      <c r="V7" s="117"/>
      <c r="W7" s="457">
        <f t="shared" si="1"/>
        <v>0</v>
      </c>
      <c r="X7" s="456">
        <f t="shared" si="1"/>
        <v>0</v>
      </c>
      <c r="Y7" s="456">
        <f t="shared" si="1"/>
        <v>0</v>
      </c>
      <c r="Z7" s="458">
        <f t="shared" si="1"/>
        <v>0</v>
      </c>
      <c r="AA7" s="457">
        <f t="shared" si="1"/>
        <v>0</v>
      </c>
      <c r="AB7" s="458">
        <f t="shared" si="1"/>
        <v>0</v>
      </c>
      <c r="AC7" s="121"/>
      <c r="AD7" s="209">
        <f t="shared" si="2"/>
        <v>0</v>
      </c>
      <c r="AE7" s="67">
        <f>IF(AD7="","",AD7/$AD$14)</f>
        <v>0</v>
      </c>
      <c r="AF7" s="22">
        <f t="shared" si="3"/>
        <v>0</v>
      </c>
      <c r="AG7" s="64" t="str">
        <f t="shared" si="4"/>
        <v>MWh/tonnes</v>
      </c>
      <c r="AH7" s="674" t="e">
        <f t="shared" si="5"/>
        <v>#DIV/0!</v>
      </c>
      <c r="AI7" s="675">
        <f t="shared" si="6"/>
        <v>0</v>
      </c>
      <c r="AJ7" s="121"/>
      <c r="AK7" s="457">
        <f>C7*C$31</f>
        <v>0</v>
      </c>
      <c r="AL7" s="456">
        <f t="shared" ref="AL7" si="13">D7*D$31</f>
        <v>0</v>
      </c>
      <c r="AM7" s="456">
        <f t="shared" ref="AM7" si="14">E7*E$31</f>
        <v>0</v>
      </c>
      <c r="AN7" s="458">
        <f t="shared" ref="AN7" si="15">F7*F$31</f>
        <v>0</v>
      </c>
      <c r="AO7" s="457">
        <f t="shared" ref="AO7" si="16">G7*G$31</f>
        <v>0</v>
      </c>
      <c r="AP7" s="458">
        <f t="shared" ref="AP7" si="17">H7*H$31</f>
        <v>0</v>
      </c>
      <c r="AQ7" s="564">
        <f>I7</f>
        <v>10000</v>
      </c>
      <c r="AR7" s="560"/>
      <c r="AS7" s="20">
        <f t="shared" ref="AS7:AS13" si="18">IF(M7="","",SUM(AK7:AQ7))</f>
        <v>10000</v>
      </c>
      <c r="AT7" s="130">
        <f t="shared" si="8"/>
        <v>3.6483035388544326E-4</v>
      </c>
      <c r="AU7" s="22">
        <f t="shared" si="9"/>
        <v>1</v>
      </c>
      <c r="AV7" s="21" t="str">
        <f t="shared" si="10"/>
        <v>kgCO2/tonnes</v>
      </c>
      <c r="AW7" s="676">
        <f t="shared" si="11"/>
        <v>0</v>
      </c>
      <c r="AX7" s="675">
        <f t="shared" si="12"/>
        <v>0</v>
      </c>
    </row>
    <row r="8" spans="1:50">
      <c r="A8" s="68"/>
      <c r="B8" s="454" t="s">
        <v>149</v>
      </c>
      <c r="C8" s="499"/>
      <c r="D8" s="500"/>
      <c r="E8" s="501"/>
      <c r="F8" s="502"/>
      <c r="G8" s="503"/>
      <c r="H8" s="504"/>
      <c r="I8" s="504"/>
      <c r="J8" s="124"/>
      <c r="K8" s="441"/>
      <c r="L8" s="6"/>
      <c r="M8" s="89"/>
      <c r="N8" s="677"/>
      <c r="O8" s="117"/>
      <c r="P8" s="518"/>
      <c r="Q8" s="519"/>
      <c r="R8" s="235"/>
      <c r="S8" s="236"/>
      <c r="T8" s="109"/>
      <c r="U8" s="94"/>
      <c r="V8" s="117"/>
      <c r="W8" s="450"/>
      <c r="X8" s="445"/>
      <c r="Y8" s="445"/>
      <c r="Z8" s="451"/>
      <c r="AA8" s="450"/>
      <c r="AB8" s="451"/>
      <c r="AC8" s="121"/>
      <c r="AD8" s="209" t="str">
        <f t="shared" si="2"/>
        <v/>
      </c>
      <c r="AE8" s="67"/>
      <c r="AF8" s="22" t="str">
        <f t="shared" si="3"/>
        <v/>
      </c>
      <c r="AG8" s="64" t="str">
        <f t="shared" si="4"/>
        <v/>
      </c>
      <c r="AH8" s="674" t="str">
        <f t="shared" si="5"/>
        <v/>
      </c>
      <c r="AI8" s="675" t="str">
        <f t="shared" si="6"/>
        <v/>
      </c>
      <c r="AJ8" s="121"/>
      <c r="AK8" s="466"/>
      <c r="AL8" s="467"/>
      <c r="AM8" s="468"/>
      <c r="AN8" s="469"/>
      <c r="AO8" s="466"/>
      <c r="AP8" s="470"/>
      <c r="AQ8" s="565"/>
      <c r="AR8" s="560"/>
      <c r="AS8" s="20" t="str">
        <f t="shared" si="18"/>
        <v/>
      </c>
      <c r="AT8" s="130" t="str">
        <f t="shared" si="8"/>
        <v/>
      </c>
      <c r="AU8" s="22" t="str">
        <f t="shared" si="9"/>
        <v/>
      </c>
      <c r="AV8" s="21" t="str">
        <f t="shared" si="10"/>
        <v/>
      </c>
      <c r="AW8" s="676" t="str">
        <f t="shared" si="11"/>
        <v/>
      </c>
      <c r="AX8" s="675" t="str">
        <f t="shared" si="12"/>
        <v/>
      </c>
    </row>
    <row r="9" spans="1:50">
      <c r="A9" s="550">
        <f>A7+1</f>
        <v>3</v>
      </c>
      <c r="B9" s="485"/>
      <c r="C9" s="486"/>
      <c r="D9" s="487"/>
      <c r="E9" s="487"/>
      <c r="F9" s="498"/>
      <c r="G9" s="496"/>
      <c r="H9" s="488"/>
      <c r="I9" s="488"/>
      <c r="J9" s="126"/>
      <c r="K9" s="441">
        <f>A9</f>
        <v>3</v>
      </c>
      <c r="L9" s="490"/>
      <c r="M9" s="80"/>
      <c r="N9" s="525"/>
      <c r="O9" s="117"/>
      <c r="P9" s="516"/>
      <c r="Q9" s="517"/>
      <c r="R9" s="235"/>
      <c r="S9" s="236"/>
      <c r="T9" s="109">
        <f>P9*M9</f>
        <v>0</v>
      </c>
      <c r="U9" s="94">
        <f>Q9*M9</f>
        <v>0</v>
      </c>
      <c r="V9" s="117"/>
      <c r="W9" s="457">
        <f t="shared" ref="W9:AB10" si="19">C9*C$30/1000</f>
        <v>0</v>
      </c>
      <c r="X9" s="456">
        <f t="shared" si="19"/>
        <v>0</v>
      </c>
      <c r="Y9" s="456">
        <f t="shared" si="19"/>
        <v>0</v>
      </c>
      <c r="Z9" s="458">
        <f t="shared" si="19"/>
        <v>0</v>
      </c>
      <c r="AA9" s="457">
        <f t="shared" si="19"/>
        <v>0</v>
      </c>
      <c r="AB9" s="458">
        <f t="shared" si="19"/>
        <v>0</v>
      </c>
      <c r="AC9" s="121"/>
      <c r="AD9" s="209" t="str">
        <f t="shared" si="2"/>
        <v/>
      </c>
      <c r="AE9" s="67" t="str">
        <f>IF(AD9="","",AD9/$AD$14)</f>
        <v/>
      </c>
      <c r="AF9" s="22" t="str">
        <f t="shared" si="3"/>
        <v/>
      </c>
      <c r="AG9" s="64" t="str">
        <f t="shared" si="4"/>
        <v/>
      </c>
      <c r="AH9" s="674" t="str">
        <f t="shared" si="5"/>
        <v/>
      </c>
      <c r="AI9" s="675" t="str">
        <f t="shared" si="6"/>
        <v/>
      </c>
      <c r="AJ9" s="121"/>
      <c r="AK9" s="457">
        <f>C9*C$31</f>
        <v>0</v>
      </c>
      <c r="AL9" s="456">
        <f t="shared" ref="AL9:AL10" si="20">D9*D$31</f>
        <v>0</v>
      </c>
      <c r="AM9" s="456">
        <f t="shared" ref="AM9:AM10" si="21">E9*E$31</f>
        <v>0</v>
      </c>
      <c r="AN9" s="458">
        <f t="shared" ref="AN9:AN10" si="22">F9*F$31</f>
        <v>0</v>
      </c>
      <c r="AO9" s="457">
        <f t="shared" ref="AO9:AO10" si="23">G9*G$31</f>
        <v>0</v>
      </c>
      <c r="AP9" s="458">
        <f t="shared" ref="AP9:AP10" si="24">H9*H$31</f>
        <v>0</v>
      </c>
      <c r="AQ9" s="564">
        <f>I9</f>
        <v>0</v>
      </c>
      <c r="AR9" s="560"/>
      <c r="AS9" s="20" t="str">
        <f t="shared" si="18"/>
        <v/>
      </c>
      <c r="AT9" s="130" t="str">
        <f t="shared" si="8"/>
        <v/>
      </c>
      <c r="AU9" s="22" t="str">
        <f t="shared" si="9"/>
        <v/>
      </c>
      <c r="AV9" s="21" t="str">
        <f t="shared" si="10"/>
        <v/>
      </c>
      <c r="AW9" s="676" t="str">
        <f t="shared" si="11"/>
        <v/>
      </c>
      <c r="AX9" s="675" t="str">
        <f t="shared" si="12"/>
        <v/>
      </c>
    </row>
    <row r="10" spans="1:50">
      <c r="A10" s="550">
        <f>A9+1</f>
        <v>4</v>
      </c>
      <c r="B10" s="485"/>
      <c r="C10" s="486"/>
      <c r="D10" s="487"/>
      <c r="E10" s="487"/>
      <c r="F10" s="498"/>
      <c r="G10" s="496"/>
      <c r="H10" s="488"/>
      <c r="I10" s="488"/>
      <c r="J10" s="126"/>
      <c r="K10" s="441">
        <f>A10</f>
        <v>4</v>
      </c>
      <c r="L10" s="490"/>
      <c r="M10" s="80"/>
      <c r="N10" s="525"/>
      <c r="O10" s="117"/>
      <c r="P10" s="516"/>
      <c r="Q10" s="517"/>
      <c r="R10" s="235"/>
      <c r="S10" s="235"/>
      <c r="T10" s="109">
        <f>P10*M10</f>
        <v>0</v>
      </c>
      <c r="U10" s="94">
        <f>Q10*M10</f>
        <v>0</v>
      </c>
      <c r="V10" s="117"/>
      <c r="W10" s="457">
        <f t="shared" si="19"/>
        <v>0</v>
      </c>
      <c r="X10" s="456">
        <f t="shared" si="19"/>
        <v>0</v>
      </c>
      <c r="Y10" s="456">
        <f t="shared" si="19"/>
        <v>0</v>
      </c>
      <c r="Z10" s="458">
        <f t="shared" si="19"/>
        <v>0</v>
      </c>
      <c r="AA10" s="457">
        <f t="shared" si="19"/>
        <v>0</v>
      </c>
      <c r="AB10" s="458">
        <f t="shared" si="19"/>
        <v>0</v>
      </c>
      <c r="AC10" s="121"/>
      <c r="AD10" s="209" t="str">
        <f t="shared" si="2"/>
        <v/>
      </c>
      <c r="AE10" s="67" t="str">
        <f>IF(AD10="","",AD10/$AD$14)</f>
        <v/>
      </c>
      <c r="AF10" s="22" t="str">
        <f t="shared" si="3"/>
        <v/>
      </c>
      <c r="AG10" s="64" t="str">
        <f t="shared" si="4"/>
        <v/>
      </c>
      <c r="AH10" s="674" t="str">
        <f t="shared" si="5"/>
        <v/>
      </c>
      <c r="AI10" s="675" t="str">
        <f t="shared" si="6"/>
        <v/>
      </c>
      <c r="AJ10" s="121"/>
      <c r="AK10" s="457">
        <f>C10*C$31</f>
        <v>0</v>
      </c>
      <c r="AL10" s="456">
        <f t="shared" si="20"/>
        <v>0</v>
      </c>
      <c r="AM10" s="456">
        <f t="shared" si="21"/>
        <v>0</v>
      </c>
      <c r="AN10" s="458">
        <f t="shared" si="22"/>
        <v>0</v>
      </c>
      <c r="AO10" s="457">
        <f t="shared" si="23"/>
        <v>0</v>
      </c>
      <c r="AP10" s="458">
        <f t="shared" si="24"/>
        <v>0</v>
      </c>
      <c r="AQ10" s="564">
        <f>I10</f>
        <v>0</v>
      </c>
      <c r="AR10" s="560"/>
      <c r="AS10" s="20" t="str">
        <f t="shared" si="18"/>
        <v/>
      </c>
      <c r="AT10" s="130" t="str">
        <f t="shared" si="8"/>
        <v/>
      </c>
      <c r="AU10" s="22" t="str">
        <f t="shared" si="9"/>
        <v/>
      </c>
      <c r="AV10" s="21" t="str">
        <f t="shared" si="10"/>
        <v/>
      </c>
      <c r="AW10" s="676" t="str">
        <f t="shared" si="11"/>
        <v/>
      </c>
      <c r="AX10" s="675" t="str">
        <f t="shared" si="12"/>
        <v/>
      </c>
    </row>
    <row r="11" spans="1:50">
      <c r="A11" s="68"/>
      <c r="B11" s="454" t="s">
        <v>150</v>
      </c>
      <c r="C11" s="499"/>
      <c r="D11" s="500"/>
      <c r="E11" s="501"/>
      <c r="F11" s="502"/>
      <c r="G11" s="503"/>
      <c r="H11" s="504"/>
      <c r="I11" s="504"/>
      <c r="J11" s="124"/>
      <c r="K11" s="441"/>
      <c r="L11" s="6"/>
      <c r="M11" s="460"/>
      <c r="N11" s="678"/>
      <c r="O11" s="497"/>
      <c r="P11" s="518"/>
      <c r="Q11" s="520"/>
      <c r="R11" s="435"/>
      <c r="S11" s="436"/>
      <c r="T11" s="109"/>
      <c r="U11" s="94"/>
      <c r="V11" s="117"/>
      <c r="W11" s="450"/>
      <c r="X11" s="445"/>
      <c r="Y11" s="445"/>
      <c r="Z11" s="451"/>
      <c r="AA11" s="450"/>
      <c r="AB11" s="451"/>
      <c r="AC11" s="121"/>
      <c r="AD11" s="209" t="str">
        <f t="shared" si="2"/>
        <v/>
      </c>
      <c r="AE11" s="67"/>
      <c r="AF11" s="22" t="str">
        <f t="shared" si="3"/>
        <v/>
      </c>
      <c r="AG11" s="64" t="str">
        <f t="shared" si="4"/>
        <v/>
      </c>
      <c r="AH11" s="674" t="str">
        <f t="shared" si="5"/>
        <v/>
      </c>
      <c r="AI11" s="675" t="str">
        <f t="shared" si="6"/>
        <v/>
      </c>
      <c r="AJ11" s="121"/>
      <c r="AK11" s="466"/>
      <c r="AL11" s="467"/>
      <c r="AM11" s="468"/>
      <c r="AN11" s="469"/>
      <c r="AO11" s="471"/>
      <c r="AP11" s="470"/>
      <c r="AQ11" s="565"/>
      <c r="AR11" s="560"/>
      <c r="AS11" s="20" t="str">
        <f t="shared" si="18"/>
        <v/>
      </c>
      <c r="AT11" s="130" t="str">
        <f t="shared" si="8"/>
        <v/>
      </c>
      <c r="AU11" s="22" t="str">
        <f t="shared" si="9"/>
        <v/>
      </c>
      <c r="AV11" s="21" t="str">
        <f t="shared" si="10"/>
        <v/>
      </c>
      <c r="AW11" s="676" t="str">
        <f t="shared" si="11"/>
        <v/>
      </c>
      <c r="AX11" s="675" t="str">
        <f t="shared" si="12"/>
        <v/>
      </c>
    </row>
    <row r="12" spans="1:50">
      <c r="A12" s="550">
        <f>A10+1</f>
        <v>5</v>
      </c>
      <c r="B12" s="485"/>
      <c r="C12" s="486"/>
      <c r="D12" s="487"/>
      <c r="E12" s="487"/>
      <c r="F12" s="498"/>
      <c r="G12" s="496"/>
      <c r="H12" s="488"/>
      <c r="I12" s="488"/>
      <c r="J12" s="126"/>
      <c r="K12" s="441">
        <f>A12</f>
        <v>5</v>
      </c>
      <c r="L12" s="490"/>
      <c r="M12" s="80"/>
      <c r="N12" s="525"/>
      <c r="O12" s="117"/>
      <c r="P12" s="516"/>
      <c r="Q12" s="517"/>
      <c r="R12" s="235"/>
      <c r="S12" s="236"/>
      <c r="T12" s="109">
        <f>P12*M12</f>
        <v>0</v>
      </c>
      <c r="U12" s="94">
        <f>Q12*M12</f>
        <v>0</v>
      </c>
      <c r="V12" s="117"/>
      <c r="W12" s="457">
        <f t="shared" ref="W12:AB13" si="25">C12*C$30/1000</f>
        <v>0</v>
      </c>
      <c r="X12" s="456">
        <f t="shared" si="25"/>
        <v>0</v>
      </c>
      <c r="Y12" s="456">
        <f t="shared" si="25"/>
        <v>0</v>
      </c>
      <c r="Z12" s="458">
        <f t="shared" si="25"/>
        <v>0</v>
      </c>
      <c r="AA12" s="457">
        <f t="shared" si="25"/>
        <v>0</v>
      </c>
      <c r="AB12" s="458">
        <f t="shared" si="25"/>
        <v>0</v>
      </c>
      <c r="AC12" s="121"/>
      <c r="AD12" s="209" t="str">
        <f t="shared" si="2"/>
        <v/>
      </c>
      <c r="AE12" s="67" t="str">
        <f>IF(AD12="","",AD12/$AD$14)</f>
        <v/>
      </c>
      <c r="AF12" s="22" t="str">
        <f t="shared" si="3"/>
        <v/>
      </c>
      <c r="AG12" s="64" t="str">
        <f t="shared" si="4"/>
        <v/>
      </c>
      <c r="AH12" s="674" t="str">
        <f t="shared" si="5"/>
        <v/>
      </c>
      <c r="AI12" s="675" t="str">
        <f t="shared" si="6"/>
        <v/>
      </c>
      <c r="AJ12" s="121"/>
      <c r="AK12" s="457">
        <f>C12*C$31</f>
        <v>0</v>
      </c>
      <c r="AL12" s="456">
        <f t="shared" ref="AL12:AL13" si="26">D12*D$31</f>
        <v>0</v>
      </c>
      <c r="AM12" s="456">
        <f t="shared" ref="AM12:AM13" si="27">E12*E$31</f>
        <v>0</v>
      </c>
      <c r="AN12" s="458">
        <f t="shared" ref="AN12:AN13" si="28">F12*F$31</f>
        <v>0</v>
      </c>
      <c r="AO12" s="457">
        <f t="shared" ref="AO12:AO13" si="29">G12*G$31</f>
        <v>0</v>
      </c>
      <c r="AP12" s="458">
        <f t="shared" ref="AP12:AP13" si="30">H12*H$31</f>
        <v>0</v>
      </c>
      <c r="AQ12" s="564">
        <f>I12</f>
        <v>0</v>
      </c>
      <c r="AR12" s="560"/>
      <c r="AS12" s="20" t="str">
        <f t="shared" si="18"/>
        <v/>
      </c>
      <c r="AT12" s="130" t="str">
        <f t="shared" si="8"/>
        <v/>
      </c>
      <c r="AU12" s="22" t="str">
        <f t="shared" si="9"/>
        <v/>
      </c>
      <c r="AV12" s="21" t="str">
        <f t="shared" si="10"/>
        <v/>
      </c>
      <c r="AW12" s="676" t="str">
        <f t="shared" si="11"/>
        <v/>
      </c>
      <c r="AX12" s="675" t="str">
        <f t="shared" si="12"/>
        <v/>
      </c>
    </row>
    <row r="13" spans="1:50" ht="13.8" thickBot="1">
      <c r="A13" s="550">
        <f>A12+1</f>
        <v>6</v>
      </c>
      <c r="B13" s="485"/>
      <c r="C13" s="486"/>
      <c r="D13" s="487"/>
      <c r="E13" s="487"/>
      <c r="F13" s="498"/>
      <c r="G13" s="496"/>
      <c r="H13" s="488"/>
      <c r="I13" s="488"/>
      <c r="J13" s="126"/>
      <c r="K13" s="442">
        <f>A13</f>
        <v>6</v>
      </c>
      <c r="L13" s="679"/>
      <c r="M13" s="515"/>
      <c r="N13" s="680"/>
      <c r="O13" s="117"/>
      <c r="P13" s="521"/>
      <c r="Q13" s="522"/>
      <c r="R13" s="433"/>
      <c r="S13" s="434"/>
      <c r="T13" s="483">
        <f>P13*M13</f>
        <v>0</v>
      </c>
      <c r="U13" s="484">
        <f>Q13*M13</f>
        <v>0</v>
      </c>
      <c r="V13" s="117"/>
      <c r="W13" s="457">
        <f t="shared" si="25"/>
        <v>0</v>
      </c>
      <c r="X13" s="456">
        <f t="shared" si="25"/>
        <v>0</v>
      </c>
      <c r="Y13" s="456">
        <f t="shared" si="25"/>
        <v>0</v>
      </c>
      <c r="Z13" s="458">
        <f t="shared" si="25"/>
        <v>0</v>
      </c>
      <c r="AA13" s="457">
        <f t="shared" si="25"/>
        <v>0</v>
      </c>
      <c r="AB13" s="458">
        <f t="shared" si="25"/>
        <v>0</v>
      </c>
      <c r="AC13" s="121"/>
      <c r="AD13" s="231" t="str">
        <f t="shared" si="2"/>
        <v/>
      </c>
      <c r="AE13" s="70" t="str">
        <f>IF(AD13="","",AD13/$AD$14)</f>
        <v/>
      </c>
      <c r="AF13" s="23" t="str">
        <f t="shared" si="3"/>
        <v/>
      </c>
      <c r="AG13" s="65" t="str">
        <f t="shared" si="4"/>
        <v/>
      </c>
      <c r="AH13" s="681" t="str">
        <f t="shared" si="5"/>
        <v/>
      </c>
      <c r="AI13" s="682" t="str">
        <f t="shared" si="6"/>
        <v/>
      </c>
      <c r="AJ13" s="121"/>
      <c r="AK13" s="457">
        <f>C13*C$31</f>
        <v>0</v>
      </c>
      <c r="AL13" s="456">
        <f t="shared" si="26"/>
        <v>0</v>
      </c>
      <c r="AM13" s="456">
        <f t="shared" si="27"/>
        <v>0</v>
      </c>
      <c r="AN13" s="458">
        <f t="shared" si="28"/>
        <v>0</v>
      </c>
      <c r="AO13" s="457">
        <f t="shared" si="29"/>
        <v>0</v>
      </c>
      <c r="AP13" s="458">
        <f t="shared" si="30"/>
        <v>0</v>
      </c>
      <c r="AQ13" s="564">
        <f>I13</f>
        <v>0</v>
      </c>
      <c r="AR13" s="560"/>
      <c r="AS13" s="557" t="str">
        <f t="shared" si="18"/>
        <v/>
      </c>
      <c r="AT13" s="425" t="str">
        <f t="shared" si="8"/>
        <v/>
      </c>
      <c r="AU13" s="23" t="str">
        <f t="shared" si="9"/>
        <v/>
      </c>
      <c r="AV13" s="426" t="str">
        <f t="shared" si="10"/>
        <v/>
      </c>
      <c r="AW13" s="683" t="str">
        <f t="shared" si="11"/>
        <v/>
      </c>
      <c r="AX13" s="682" t="str">
        <f t="shared" si="12"/>
        <v/>
      </c>
    </row>
    <row r="14" spans="1:50" ht="13.8" thickBot="1">
      <c r="A14" s="68"/>
      <c r="B14" s="454" t="s">
        <v>151</v>
      </c>
      <c r="C14" s="499"/>
      <c r="D14" s="500"/>
      <c r="E14" s="501"/>
      <c r="F14" s="502"/>
      <c r="G14" s="503"/>
      <c r="H14" s="504"/>
      <c r="I14" s="504"/>
      <c r="J14" s="124"/>
      <c r="K14" s="3"/>
      <c r="R14" s="112" t="str">
        <f>IF(K14="","",IF(#REF!=FALSE,1,#REF!/#REF!))</f>
        <v/>
      </c>
      <c r="S14" s="142" t="str">
        <f>IF(K14="","",IF(#REF!=FALSE,1,#REF!/#REF!))</f>
        <v/>
      </c>
      <c r="V14" s="117"/>
      <c r="W14" s="450"/>
      <c r="X14" s="445"/>
      <c r="Y14" s="445"/>
      <c r="Z14" s="451"/>
      <c r="AA14" s="450"/>
      <c r="AB14" s="451"/>
      <c r="AC14" s="121"/>
      <c r="AD14" s="230">
        <f>SUM(AD5:AD13)</f>
        <v>96000</v>
      </c>
      <c r="AE14" s="66">
        <f>SUM(AE5:AE13)</f>
        <v>1</v>
      </c>
      <c r="AI14" s="129">
        <f>SUM(AI6:AI13)</f>
        <v>0</v>
      </c>
      <c r="AJ14" s="232"/>
      <c r="AK14" s="466"/>
      <c r="AL14" s="467"/>
      <c r="AM14" s="468"/>
      <c r="AN14" s="470"/>
      <c r="AO14" s="466"/>
      <c r="AP14" s="470"/>
      <c r="AQ14" s="565"/>
      <c r="AR14" s="560"/>
      <c r="AS14" s="18">
        <f>SUM(AS5:AS13)</f>
        <v>27410000</v>
      </c>
      <c r="AT14" s="131">
        <f>SUM(AT5:AT13)</f>
        <v>1</v>
      </c>
      <c r="AX14" s="129">
        <f>SUM(AX6:AX13)</f>
        <v>0</v>
      </c>
    </row>
    <row r="15" spans="1:50" ht="13.8" thickBot="1">
      <c r="A15" s="550">
        <f>A13+1</f>
        <v>7</v>
      </c>
      <c r="B15" s="485"/>
      <c r="C15" s="486"/>
      <c r="D15" s="487"/>
      <c r="E15" s="487"/>
      <c r="F15" s="498"/>
      <c r="G15" s="496"/>
      <c r="H15" s="488"/>
      <c r="I15" s="488"/>
      <c r="J15" s="126"/>
      <c r="K15" s="3"/>
      <c r="R15" s="112" t="str">
        <f>IF(K15="","",IF(#REF!=FALSE,1,#REF!/#REF!))</f>
        <v/>
      </c>
      <c r="S15" s="142" t="str">
        <f>IF(K15="","",IF(#REF!=FALSE,1,#REF!/#REF!))</f>
        <v/>
      </c>
      <c r="V15" s="117"/>
      <c r="W15" s="457">
        <f t="shared" ref="W15:AB16" si="31">C15*C$30/1000</f>
        <v>0</v>
      </c>
      <c r="X15" s="456">
        <f t="shared" si="31"/>
        <v>0</v>
      </c>
      <c r="Y15" s="456">
        <f t="shared" si="31"/>
        <v>0</v>
      </c>
      <c r="Z15" s="458">
        <f t="shared" si="31"/>
        <v>0</v>
      </c>
      <c r="AA15" s="457">
        <f t="shared" si="31"/>
        <v>0</v>
      </c>
      <c r="AB15" s="458">
        <f t="shared" si="31"/>
        <v>0</v>
      </c>
      <c r="AC15" s="121"/>
      <c r="AJ15" s="208"/>
      <c r="AK15" s="457">
        <f>C15*C$31</f>
        <v>0</v>
      </c>
      <c r="AL15" s="456">
        <f t="shared" ref="AL15:AL16" si="32">D15*D$31</f>
        <v>0</v>
      </c>
      <c r="AM15" s="456">
        <f t="shared" ref="AM15:AM16" si="33">E15*E$31</f>
        <v>0</v>
      </c>
      <c r="AN15" s="458">
        <f t="shared" ref="AN15:AN16" si="34">F15*F$31</f>
        <v>0</v>
      </c>
      <c r="AO15" s="457">
        <f t="shared" ref="AO15:AO16" si="35">G15*G$31</f>
        <v>0</v>
      </c>
      <c r="AP15" s="458">
        <f t="shared" ref="AP15:AP16" si="36">H15*H$31</f>
        <v>0</v>
      </c>
      <c r="AQ15" s="564"/>
      <c r="AR15" s="560"/>
    </row>
    <row r="16" spans="1:50" ht="13.8" thickBot="1">
      <c r="A16" s="550">
        <f>A15+1</f>
        <v>8</v>
      </c>
      <c r="B16" s="489"/>
      <c r="C16" s="493"/>
      <c r="D16" s="505"/>
      <c r="E16" s="505"/>
      <c r="F16" s="506"/>
      <c r="G16" s="507"/>
      <c r="H16" s="508"/>
      <c r="I16" s="508"/>
      <c r="J16" s="126"/>
      <c r="K16" s="3"/>
      <c r="R16" s="113" t="str">
        <f>IF(K16="","",IF(#REF!=FALSE,1,#REF!/#REF!))</f>
        <v/>
      </c>
      <c r="S16" s="143" t="str">
        <f>IF(K16="","",IF(#REF!=FALSE,1,#REF!/#REF!))</f>
        <v/>
      </c>
      <c r="V16" s="117"/>
      <c r="W16" s="459">
        <f t="shared" si="31"/>
        <v>0</v>
      </c>
      <c r="X16" s="570">
        <f t="shared" si="31"/>
        <v>0</v>
      </c>
      <c r="Y16" s="570">
        <f t="shared" si="31"/>
        <v>0</v>
      </c>
      <c r="Z16" s="571">
        <f t="shared" si="31"/>
        <v>0</v>
      </c>
      <c r="AA16" s="457">
        <f t="shared" si="31"/>
        <v>0</v>
      </c>
      <c r="AB16" s="458">
        <f t="shared" si="31"/>
        <v>0</v>
      </c>
      <c r="AC16" s="99" t="s">
        <v>152</v>
      </c>
      <c r="AJ16" s="208"/>
      <c r="AK16" s="457">
        <f>C16*C$31</f>
        <v>0</v>
      </c>
      <c r="AL16" s="456">
        <f t="shared" si="32"/>
        <v>0</v>
      </c>
      <c r="AM16" s="456">
        <f t="shared" si="33"/>
        <v>0</v>
      </c>
      <c r="AN16" s="458">
        <f t="shared" si="34"/>
        <v>0</v>
      </c>
      <c r="AO16" s="457">
        <f t="shared" si="35"/>
        <v>0</v>
      </c>
      <c r="AP16" s="458">
        <f t="shared" si="36"/>
        <v>0</v>
      </c>
      <c r="AQ16" s="566"/>
      <c r="AR16" s="567" t="s">
        <v>152</v>
      </c>
    </row>
    <row r="17" spans="1:45" ht="13.8" thickBot="1">
      <c r="A17" s="551"/>
      <c r="B17" s="452" t="s">
        <v>152</v>
      </c>
      <c r="C17" s="88">
        <f t="shared" ref="C17:I17" si="37">SUM(C5:C16)</f>
        <v>20000000</v>
      </c>
      <c r="D17" s="88">
        <f t="shared" si="37"/>
        <v>60000000</v>
      </c>
      <c r="E17" s="88">
        <f t="shared" si="37"/>
        <v>0</v>
      </c>
      <c r="F17" s="88">
        <f t="shared" si="37"/>
        <v>16000000</v>
      </c>
      <c r="G17" s="88">
        <f t="shared" si="37"/>
        <v>0</v>
      </c>
      <c r="H17" s="140">
        <f t="shared" si="37"/>
        <v>0</v>
      </c>
      <c r="I17" s="140">
        <f t="shared" si="37"/>
        <v>10010000</v>
      </c>
      <c r="J17" s="127"/>
      <c r="K17" s="3"/>
      <c r="T17" s="115">
        <f>SUM(T6:T13)</f>
        <v>96000</v>
      </c>
      <c r="U17" s="116">
        <f>SUM(U6:U13)</f>
        <v>27410000</v>
      </c>
      <c r="V17" s="117"/>
      <c r="W17" s="96">
        <f t="shared" ref="W17:AB17" si="38">SUM(W5:W13)</f>
        <v>20000</v>
      </c>
      <c r="X17" s="96">
        <f t="shared" si="38"/>
        <v>60000</v>
      </c>
      <c r="Y17" s="99">
        <f t="shared" si="38"/>
        <v>0</v>
      </c>
      <c r="Z17" s="99">
        <f t="shared" si="38"/>
        <v>16000</v>
      </c>
      <c r="AA17" s="96">
        <f t="shared" si="38"/>
        <v>0</v>
      </c>
      <c r="AB17" s="100">
        <f t="shared" si="38"/>
        <v>0</v>
      </c>
      <c r="AC17" s="99">
        <f>SUM(W17:AB17)</f>
        <v>96000</v>
      </c>
      <c r="AD17" s="46"/>
      <c r="AJ17" s="208"/>
      <c r="AK17" s="96">
        <f t="shared" ref="AK17:AQ17" si="39">SUM(AK5:AK13)</f>
        <v>4320000</v>
      </c>
      <c r="AL17" s="97">
        <f t="shared" si="39"/>
        <v>13080000</v>
      </c>
      <c r="AM17" s="98">
        <f t="shared" si="39"/>
        <v>0</v>
      </c>
      <c r="AN17" s="99">
        <f t="shared" si="39"/>
        <v>0</v>
      </c>
      <c r="AO17" s="97">
        <f t="shared" si="39"/>
        <v>0</v>
      </c>
      <c r="AP17" s="97">
        <f t="shared" si="39"/>
        <v>0</v>
      </c>
      <c r="AQ17" s="97">
        <f t="shared" si="39"/>
        <v>10010000</v>
      </c>
      <c r="AR17" s="99">
        <f>SUM(AK17:AQ17)</f>
        <v>27410000</v>
      </c>
      <c r="AS17" s="46"/>
    </row>
    <row r="18" spans="1:45" ht="16.5" customHeight="1" thickBot="1">
      <c r="C18" s="119"/>
      <c r="D18" s="119"/>
      <c r="E18" s="119"/>
      <c r="F18" s="119"/>
      <c r="G18" s="141"/>
      <c r="H18" s="141"/>
      <c r="I18" s="141"/>
      <c r="J18" s="3"/>
      <c r="K18" s="3"/>
      <c r="V18" s="117"/>
      <c r="W18" s="96">
        <f>SUM(W5:W16)</f>
        <v>20000</v>
      </c>
      <c r="X18" s="96">
        <f>SUM(X5:X16)</f>
        <v>60000</v>
      </c>
      <c r="Y18" s="99">
        <f>SUM(Y5:Y16)</f>
        <v>0</v>
      </c>
      <c r="Z18" s="100">
        <f>SUM(Z5:Z16)</f>
        <v>16000</v>
      </c>
      <c r="AA18" s="46"/>
      <c r="AB18" s="46"/>
      <c r="AC18" s="99">
        <f>SUM(W18:Z18)</f>
        <v>96000</v>
      </c>
      <c r="AD18" s="99">
        <f>H35</f>
        <v>96000</v>
      </c>
      <c r="AJ18" s="208"/>
      <c r="AK18" s="96">
        <f>SUM(AK5:AK16)</f>
        <v>4320000</v>
      </c>
      <c r="AL18" s="98">
        <f>SUM(AL5:AL16)</f>
        <v>13080000</v>
      </c>
      <c r="AM18" s="100">
        <f>SUM(AM5:AM16)</f>
        <v>0</v>
      </c>
      <c r="AN18" s="100">
        <f>SUM(AN5:AN16)</f>
        <v>0</v>
      </c>
      <c r="AO18" s="46"/>
      <c r="AP18" s="46"/>
      <c r="AQ18" s="100">
        <f>SUM(AQ5:AQ16)</f>
        <v>10010000</v>
      </c>
      <c r="AR18" s="99">
        <f>SUM(AK18:AQ18)</f>
        <v>27410000</v>
      </c>
      <c r="AS18" s="99">
        <f>H36</f>
        <v>27410000</v>
      </c>
    </row>
    <row r="19" spans="1:45">
      <c r="A19" s="524" t="s">
        <v>153</v>
      </c>
      <c r="B19" s="431"/>
      <c r="C19" s="427">
        <v>20000000</v>
      </c>
      <c r="D19" s="427">
        <v>60000000</v>
      </c>
      <c r="E19" s="427">
        <v>0</v>
      </c>
      <c r="F19" s="427">
        <v>16000000</v>
      </c>
      <c r="G19" s="427"/>
      <c r="H19" s="427"/>
      <c r="I19" s="427">
        <v>10010000</v>
      </c>
      <c r="J19" s="61"/>
      <c r="K19" s="1"/>
      <c r="N19" s="1"/>
      <c r="P19" s="45"/>
    </row>
    <row r="20" spans="1:45">
      <c r="A20" s="524" t="s">
        <v>154</v>
      </c>
      <c r="B20" s="431"/>
      <c r="C20" s="428"/>
      <c r="D20" s="428"/>
      <c r="E20" s="428"/>
      <c r="F20" s="428"/>
      <c r="G20" s="684">
        <f>IFERROR((SUMPRODUCT($C$15:$F$15,C20:F20)/G$17),0)</f>
        <v>0</v>
      </c>
      <c r="H20" s="684">
        <f>IFERROR((SUMPRODUCT($C$16:$F$16,C20:F20))/H$17,0)</f>
        <v>0</v>
      </c>
      <c r="I20" s="428"/>
      <c r="J20" s="48"/>
      <c r="K20" s="1"/>
      <c r="N20" s="1"/>
      <c r="P20" s="45"/>
    </row>
    <row r="21" spans="1:45">
      <c r="A21" s="145"/>
      <c r="B21" s="534"/>
      <c r="C21" s="548"/>
      <c r="D21" s="548"/>
      <c r="E21" s="548"/>
      <c r="F21" s="548"/>
      <c r="G21" s="685"/>
      <c r="H21" s="685"/>
      <c r="I21" s="685"/>
      <c r="J21" s="48"/>
      <c r="K21" s="1"/>
      <c r="N21" s="1"/>
      <c r="P21" s="45"/>
    </row>
    <row r="22" spans="1:45">
      <c r="A22" s="524" t="s">
        <v>155</v>
      </c>
      <c r="B22" s="431"/>
      <c r="C22" s="427"/>
      <c r="D22" s="427"/>
      <c r="E22" s="427"/>
      <c r="F22" s="427"/>
      <c r="G22" s="427"/>
      <c r="H22" s="427"/>
      <c r="I22" s="555"/>
      <c r="J22" s="46"/>
      <c r="Q22" s="249"/>
    </row>
    <row r="23" spans="1:45">
      <c r="A23" s="524" t="s">
        <v>156</v>
      </c>
      <c r="B23" s="431"/>
      <c r="C23" s="549"/>
      <c r="D23" s="549"/>
      <c r="E23" s="427"/>
      <c r="F23" s="427"/>
      <c r="G23" s="46"/>
      <c r="H23" s="48"/>
      <c r="I23" s="48"/>
      <c r="J23" s="46"/>
      <c r="Q23" s="249"/>
    </row>
    <row r="24" spans="1:45">
      <c r="A24" s="145"/>
      <c r="B24" s="534"/>
      <c r="C24" s="686"/>
      <c r="D24" s="687"/>
      <c r="E24" s="687"/>
      <c r="F24" s="687"/>
      <c r="G24" s="46"/>
      <c r="H24" s="48"/>
      <c r="I24" s="48"/>
      <c r="J24" s="46"/>
      <c r="Q24" s="249"/>
    </row>
    <row r="25" spans="1:45">
      <c r="A25" s="430" t="s">
        <v>157</v>
      </c>
      <c r="B25" s="431"/>
      <c r="C25" s="552">
        <f>C19-C22</f>
        <v>20000000</v>
      </c>
      <c r="D25" s="552">
        <f>D19-D22</f>
        <v>60000000</v>
      </c>
      <c r="E25" s="552">
        <f>E19-E22-E23</f>
        <v>0</v>
      </c>
      <c r="F25" s="552">
        <f t="shared" ref="F25" si="40">F19-F22-F23</f>
        <v>16000000</v>
      </c>
      <c r="G25" s="46"/>
      <c r="H25" s="48"/>
      <c r="I25" s="552">
        <f t="shared" ref="I25" si="41">I19-I22-I23</f>
        <v>10010000</v>
      </c>
      <c r="J25" s="46"/>
      <c r="Q25" s="249"/>
    </row>
    <row r="26" spans="1:45">
      <c r="A26" s="145"/>
      <c r="B26" s="534"/>
      <c r="C26" s="686"/>
      <c r="D26" s="687"/>
      <c r="E26" s="687"/>
      <c r="F26" s="687"/>
      <c r="G26" s="46"/>
      <c r="H26" s="48"/>
      <c r="I26" s="48"/>
      <c r="J26" s="46"/>
      <c r="Q26" s="249"/>
    </row>
    <row r="27" spans="1:45">
      <c r="A27" s="524" t="s">
        <v>158</v>
      </c>
      <c r="B27" s="431"/>
      <c r="C27" s="429">
        <f>C17-C25</f>
        <v>0</v>
      </c>
      <c r="D27" s="429">
        <f>D25-D17</f>
        <v>0</v>
      </c>
      <c r="E27" s="429">
        <f>E25-E17</f>
        <v>0</v>
      </c>
      <c r="F27" s="429">
        <f>F25-F17</f>
        <v>0</v>
      </c>
      <c r="G27" s="47"/>
      <c r="H27" s="48"/>
      <c r="I27" s="48"/>
      <c r="J27" s="45"/>
      <c r="K27" s="1"/>
    </row>
    <row r="28" spans="1:45">
      <c r="A28" s="524" t="s">
        <v>159</v>
      </c>
      <c r="B28" s="431"/>
      <c r="C28" s="553">
        <f>IFERROR(0,(C27/C25))</f>
        <v>0</v>
      </c>
      <c r="D28" s="553">
        <f>IFERROR(0,(D27/D25))</f>
        <v>0</v>
      </c>
      <c r="E28" s="553">
        <f>IFERROR(0,(E27/E25))</f>
        <v>0</v>
      </c>
      <c r="F28" s="553">
        <f>IFERROR(0,(F27/F25))</f>
        <v>0</v>
      </c>
      <c r="G28" s="48"/>
      <c r="H28" s="48"/>
      <c r="I28" s="48"/>
      <c r="J28" s="46"/>
      <c r="L28" s="1"/>
      <c r="M28" s="1"/>
    </row>
    <row r="29" spans="1:45">
      <c r="A29" s="534"/>
      <c r="B29" s="534"/>
      <c r="C29" s="95"/>
      <c r="D29" s="95"/>
      <c r="E29" s="95"/>
      <c r="F29" s="95"/>
      <c r="G29" s="48"/>
      <c r="H29" s="48"/>
      <c r="I29" s="48"/>
      <c r="J29" s="46"/>
      <c r="L29" s="1"/>
      <c r="M29" s="1"/>
    </row>
    <row r="30" spans="1:45">
      <c r="A30" s="524" t="s">
        <v>160</v>
      </c>
      <c r="B30" s="179"/>
      <c r="C30" s="526">
        <f>Paramètres!C10</f>
        <v>1</v>
      </c>
      <c r="D30" s="526">
        <f>Paramètres!D10</f>
        <v>1</v>
      </c>
      <c r="E30" s="526">
        <f>Paramètres!E10</f>
        <v>10.6</v>
      </c>
      <c r="F30" s="526">
        <f>Paramètres!F10</f>
        <v>1</v>
      </c>
      <c r="G30" s="526">
        <f>IFERROR(SUMPRODUCT($C$15:$F$15,C30:F30)/G$17,0)</f>
        <v>0</v>
      </c>
      <c r="H30" s="526">
        <f>IFERROR(SUMPRODUCT($C$16:$F$16,C30:F30)/H$17,0)</f>
        <v>0</v>
      </c>
      <c r="I30" s="688"/>
      <c r="J30" s="48"/>
      <c r="L30" s="1"/>
    </row>
    <row r="31" spans="1:45">
      <c r="A31" s="524" t="s">
        <v>161</v>
      </c>
      <c r="B31" s="179"/>
      <c r="C31" s="432">
        <f>Paramètres!C12</f>
        <v>0.216</v>
      </c>
      <c r="D31" s="432">
        <f>Paramètres!D12</f>
        <v>0.218</v>
      </c>
      <c r="E31" s="432">
        <f>Paramètres!E12</f>
        <v>3.2568999999999999</v>
      </c>
      <c r="F31" s="432">
        <f>Paramètres!F12</f>
        <v>0</v>
      </c>
      <c r="G31" s="689">
        <f>IFERROR(SUMPRODUCT($C$15:$F$15,C31:F31)/G$17,0)</f>
        <v>0</v>
      </c>
      <c r="H31" s="689">
        <f>IFERROR(SUMPRODUCT($C$16:$F$16,C31:F31)/H$17,0)</f>
        <v>0</v>
      </c>
      <c r="I31" s="690"/>
      <c r="J31" s="48"/>
      <c r="L31" s="1"/>
    </row>
    <row r="32" spans="1:45" ht="13.8" thickBot="1">
      <c r="J32" s="117"/>
    </row>
    <row r="33" spans="1:36" ht="26.4">
      <c r="A33" s="509">
        <f>B2</f>
        <v>2023</v>
      </c>
      <c r="B33" s="510"/>
      <c r="C33" s="539" t="str">
        <f>C3</f>
        <v>Electricité 
achetée</v>
      </c>
      <c r="D33" s="540" t="str">
        <f>D3</f>
        <v>Gaz Naturel</v>
      </c>
      <c r="E33" s="540" t="str">
        <f>E3</f>
        <v>Fuel léger</v>
      </c>
      <c r="F33" s="541" t="str">
        <f>F3</f>
        <v>Biogaz</v>
      </c>
      <c r="G33" s="541" t="s">
        <v>122</v>
      </c>
      <c r="H33" s="723" t="s">
        <v>152</v>
      </c>
      <c r="I33" s="723"/>
      <c r="K33" s="145"/>
      <c r="W33" s="145"/>
      <c r="X33" s="145"/>
      <c r="Y33" s="145"/>
      <c r="Z33" s="145"/>
      <c r="AA33" s="145"/>
      <c r="AB33" s="145"/>
      <c r="AC33" s="145"/>
      <c r="AJ33" s="145"/>
    </row>
    <row r="34" spans="1:36" ht="13.8" thickBot="1">
      <c r="A34" s="511"/>
      <c r="B34" s="512"/>
      <c r="C34" s="542"/>
      <c r="D34" s="543"/>
      <c r="E34" s="543"/>
      <c r="F34" s="544"/>
      <c r="G34" s="544"/>
      <c r="H34" s="241"/>
      <c r="I34" s="242"/>
      <c r="K34" s="145"/>
      <c r="P34"/>
      <c r="W34" s="145"/>
      <c r="X34" s="145"/>
      <c r="Y34" s="145"/>
      <c r="Z34" s="145"/>
      <c r="AA34" s="145"/>
      <c r="AB34" s="145"/>
      <c r="AC34" s="145"/>
      <c r="AJ34" s="145"/>
    </row>
    <row r="35" spans="1:36">
      <c r="A35" s="513" t="s">
        <v>112</v>
      </c>
      <c r="B35" s="514"/>
      <c r="C35" s="545">
        <f>C25*C30/1000</f>
        <v>20000</v>
      </c>
      <c r="D35" s="546">
        <f>D25*D30/1000</f>
        <v>60000</v>
      </c>
      <c r="E35" s="546">
        <f>E25*E30/1000</f>
        <v>0</v>
      </c>
      <c r="F35" s="547">
        <f>F25*F30/1000</f>
        <v>16000</v>
      </c>
      <c r="G35" s="556"/>
      <c r="H35" s="243">
        <f>SUM(C35:F35)</f>
        <v>96000</v>
      </c>
      <c r="I35" s="244" t="s">
        <v>162</v>
      </c>
      <c r="W35" s="145"/>
      <c r="X35" s="145"/>
      <c r="Y35" s="145"/>
      <c r="Z35" s="145"/>
      <c r="AA35" s="145"/>
      <c r="AB35" s="145"/>
      <c r="AC35" s="145"/>
      <c r="AJ35" s="145"/>
    </row>
    <row r="36" spans="1:36">
      <c r="A36" s="513" t="s">
        <v>163</v>
      </c>
      <c r="B36" s="514"/>
      <c r="C36" s="545">
        <f>C31*C25</f>
        <v>4320000</v>
      </c>
      <c r="D36" s="546">
        <f>D31*D25</f>
        <v>13080000</v>
      </c>
      <c r="E36" s="546">
        <f>E31*E25</f>
        <v>0</v>
      </c>
      <c r="F36" s="547">
        <f>F31*F25</f>
        <v>0</v>
      </c>
      <c r="G36" s="547">
        <f>I19</f>
        <v>10010000</v>
      </c>
      <c r="H36" s="243">
        <f>SUM(C36:G36)</f>
        <v>27410000</v>
      </c>
      <c r="I36" s="244" t="s">
        <v>20</v>
      </c>
      <c r="W36" s="145"/>
      <c r="X36" s="145"/>
      <c r="Y36" s="145"/>
      <c r="Z36" s="145"/>
      <c r="AA36" s="145"/>
      <c r="AB36" s="145"/>
      <c r="AC36" s="145"/>
      <c r="AJ36" s="145"/>
    </row>
    <row r="37" spans="1:36">
      <c r="A37" s="513" t="s">
        <v>164</v>
      </c>
      <c r="B37" s="514"/>
      <c r="C37" s="545">
        <f>IFERROR(C36/C35,0)</f>
        <v>216</v>
      </c>
      <c r="D37" s="546">
        <f t="shared" ref="D37:F37" si="42">IFERROR(D36/D35,0)</f>
        <v>218</v>
      </c>
      <c r="E37" s="546">
        <f t="shared" si="42"/>
        <v>0</v>
      </c>
      <c r="F37" s="547">
        <f t="shared" si="42"/>
        <v>0</v>
      </c>
      <c r="G37" s="556"/>
      <c r="H37" s="243">
        <f>H36/H35</f>
        <v>285.52083333333331</v>
      </c>
      <c r="I37" s="244" t="s">
        <v>165</v>
      </c>
      <c r="W37" s="145"/>
      <c r="X37" s="145"/>
      <c r="Y37" s="145"/>
      <c r="Z37" s="145"/>
      <c r="AA37" s="145"/>
      <c r="AB37" s="145"/>
      <c r="AC37" s="145"/>
      <c r="AJ37" s="145"/>
    </row>
    <row r="38" spans="1:36" ht="13.8" thickBot="1">
      <c r="A38" s="691" t="s">
        <v>166</v>
      </c>
      <c r="B38" s="692"/>
      <c r="C38" s="693">
        <f>C20*C25</f>
        <v>0</v>
      </c>
      <c r="D38" s="694">
        <f>D20*D25</f>
        <v>0</v>
      </c>
      <c r="E38" s="694">
        <f>E20*E25</f>
        <v>0</v>
      </c>
      <c r="F38" s="695">
        <f>F20*F25</f>
        <v>0</v>
      </c>
      <c r="G38" s="695">
        <f>I20*I25</f>
        <v>0</v>
      </c>
      <c r="H38" s="245">
        <f>SUM(C38:G38)</f>
        <v>0</v>
      </c>
      <c r="I38" s="246" t="s">
        <v>167</v>
      </c>
    </row>
    <row r="39" spans="1:36">
      <c r="A39" s="696"/>
      <c r="B39" s="696"/>
      <c r="C39" s="227"/>
      <c r="D39" s="227"/>
      <c r="E39" s="227"/>
      <c r="F39" s="227"/>
      <c r="G39" s="83"/>
      <c r="H39" s="84"/>
      <c r="I39" s="84"/>
      <c r="J39" s="84"/>
      <c r="W39" s="145"/>
      <c r="X39" s="145"/>
      <c r="Y39" s="145"/>
      <c r="Z39" s="145"/>
      <c r="AA39" s="145"/>
      <c r="AB39" s="145"/>
      <c r="AC39" s="145"/>
      <c r="AJ39" s="145"/>
    </row>
    <row r="40" spans="1:36" ht="13.8" thickBot="1">
      <c r="A40" s="696"/>
      <c r="B40" s="696"/>
      <c r="C40" s="227"/>
      <c r="D40" s="227"/>
      <c r="E40" s="227"/>
      <c r="F40" s="227"/>
      <c r="G40" s="83"/>
      <c r="H40" s="84"/>
      <c r="I40" s="84"/>
      <c r="J40" s="84"/>
      <c r="K40" s="81"/>
      <c r="W40" s="145"/>
      <c r="X40" s="145"/>
      <c r="Y40" s="145"/>
      <c r="Z40" s="145"/>
      <c r="AA40" s="145"/>
      <c r="AB40" s="145"/>
      <c r="AC40" s="145"/>
      <c r="AJ40" s="145"/>
    </row>
    <row r="41" spans="1:36" ht="15" thickBot="1">
      <c r="A41" s="523" t="s">
        <v>168</v>
      </c>
      <c r="B41" s="482"/>
      <c r="C41" s="482"/>
      <c r="D41" s="145"/>
      <c r="E41" s="128"/>
      <c r="F41" s="227"/>
      <c r="G41" s="85"/>
      <c r="H41" s="84"/>
      <c r="I41" s="84"/>
      <c r="J41" s="86"/>
      <c r="W41" s="145"/>
      <c r="X41" s="145"/>
      <c r="Y41" s="145"/>
      <c r="Z41" s="145"/>
      <c r="AA41" s="145"/>
      <c r="AB41" s="145"/>
      <c r="AC41" s="145"/>
      <c r="AJ41" s="145"/>
    </row>
    <row r="42" spans="1:36" ht="14.4">
      <c r="A42" s="482"/>
      <c r="B42" s="482"/>
      <c r="C42" s="482"/>
      <c r="D42" s="145"/>
      <c r="E42" s="128"/>
      <c r="F42" s="227"/>
      <c r="G42" s="145"/>
      <c r="H42" s="84"/>
      <c r="I42" s="84"/>
      <c r="J42" s="145"/>
      <c r="K42" s="81"/>
      <c r="L42" s="144"/>
      <c r="W42" s="145"/>
      <c r="X42" s="145"/>
      <c r="Y42" s="145"/>
      <c r="Z42" s="145"/>
      <c r="AA42" s="145"/>
      <c r="AB42" s="145"/>
      <c r="AC42" s="145"/>
      <c r="AJ42" s="145"/>
    </row>
    <row r="43" spans="1:36" ht="14.4">
      <c r="A43" s="527" t="s">
        <v>169</v>
      </c>
      <c r="B43" s="528">
        <f>H35/T17</f>
        <v>1</v>
      </c>
      <c r="C43" s="529"/>
      <c r="D43" s="697"/>
      <c r="E43" s="697"/>
      <c r="F43" s="697"/>
      <c r="G43" s="82"/>
      <c r="H43" s="82"/>
      <c r="I43" s="82"/>
      <c r="J43" s="82"/>
      <c r="W43" s="145"/>
      <c r="X43" s="145"/>
      <c r="Y43" s="145"/>
      <c r="Z43" s="145"/>
      <c r="AA43" s="145"/>
      <c r="AB43" s="145"/>
      <c r="AC43" s="145"/>
      <c r="AJ43" s="145"/>
    </row>
    <row r="44" spans="1:36" ht="14.4">
      <c r="A44" s="530" t="s">
        <v>170</v>
      </c>
      <c r="B44" s="531">
        <f>H36/H35</f>
        <v>285.52083333333331</v>
      </c>
      <c r="C44" s="532" t="s">
        <v>165</v>
      </c>
      <c r="D44" s="227"/>
      <c r="E44" s="227"/>
      <c r="F44" s="227"/>
      <c r="G44" s="83"/>
      <c r="H44" s="84"/>
      <c r="I44" s="84"/>
      <c r="J44" s="84"/>
      <c r="W44" s="145"/>
      <c r="X44" s="145"/>
      <c r="Y44" s="145"/>
      <c r="Z44" s="145"/>
      <c r="AA44" s="145"/>
      <c r="AB44" s="145"/>
      <c r="AC44" s="145"/>
      <c r="AJ44" s="145"/>
    </row>
    <row r="45" spans="1:36" ht="14.4">
      <c r="A45" s="530" t="s">
        <v>171</v>
      </c>
      <c r="B45" s="528">
        <f>F35/H35</f>
        <v>0.16666666666666666</v>
      </c>
      <c r="C45" s="533"/>
      <c r="D45" s="227"/>
      <c r="E45" s="227"/>
      <c r="F45" s="227"/>
      <c r="G45" s="83"/>
      <c r="H45" s="84"/>
      <c r="I45" s="84"/>
      <c r="J45" s="84"/>
      <c r="W45" s="145"/>
      <c r="X45" s="145"/>
      <c r="Y45" s="145"/>
      <c r="Z45" s="145"/>
      <c r="AA45" s="145"/>
      <c r="AB45" s="145"/>
      <c r="AC45" s="145"/>
      <c r="AJ45" s="145"/>
    </row>
    <row r="46" spans="1:36" ht="13.8" thickBot="1"/>
    <row r="47" spans="1:36" s="50" customFormat="1" ht="14.4" thickBot="1">
      <c r="A47" s="523" t="s">
        <v>172</v>
      </c>
      <c r="B47" s="145"/>
      <c r="C47" s="145"/>
      <c r="D47" s="145"/>
      <c r="E47" s="128"/>
      <c r="F47" s="128"/>
      <c r="G47" s="145"/>
      <c r="H47" s="145"/>
      <c r="I47" s="145"/>
      <c r="J47" s="145"/>
      <c r="K47" s="145"/>
      <c r="L47" s="145"/>
      <c r="M47" s="145"/>
      <c r="N47" s="145"/>
      <c r="O47" s="145"/>
      <c r="P47" s="128"/>
      <c r="Q47" s="128"/>
      <c r="R47" s="145"/>
      <c r="S47" s="145"/>
      <c r="T47" s="128"/>
      <c r="U47" s="128"/>
      <c r="V47" s="145"/>
      <c r="W47"/>
      <c r="X47"/>
      <c r="Y47"/>
      <c r="Z47"/>
      <c r="AA47"/>
      <c r="AB47"/>
      <c r="AC47"/>
      <c r="AD47" s="145"/>
      <c r="AE47" s="145"/>
      <c r="AF47" s="145"/>
      <c r="AG47" s="145"/>
      <c r="AH47" s="145"/>
      <c r="AI47" s="145"/>
      <c r="AJ47"/>
    </row>
    <row r="48" spans="1:36" s="50" customFormat="1">
      <c r="A48" s="145"/>
      <c r="B48" s="145"/>
      <c r="C48" s="145"/>
      <c r="D48" s="145"/>
      <c r="E48" s="128"/>
      <c r="F48" s="128"/>
      <c r="G48" s="145"/>
      <c r="H48" s="145"/>
      <c r="I48" s="145"/>
      <c r="J48" s="145"/>
      <c r="K48" s="145"/>
      <c r="L48" s="145"/>
      <c r="M48" s="145"/>
      <c r="N48" s="145"/>
      <c r="O48" s="145"/>
      <c r="P48" s="128"/>
      <c r="Q48" s="128"/>
      <c r="R48" s="145"/>
      <c r="S48" s="145"/>
      <c r="T48" s="128"/>
      <c r="U48" s="128"/>
      <c r="V48" s="145"/>
      <c r="W48"/>
      <c r="X48"/>
      <c r="Y48"/>
      <c r="Z48"/>
      <c r="AA48"/>
      <c r="AB48"/>
      <c r="AC48"/>
      <c r="AD48" s="145"/>
      <c r="AE48" s="145"/>
      <c r="AF48" s="145"/>
      <c r="AG48" s="145"/>
      <c r="AH48" s="145"/>
      <c r="AI48" s="145"/>
      <c r="AJ48"/>
    </row>
    <row r="49" spans="1:36" s="50" customFormat="1" ht="14.4">
      <c r="A49" s="527" t="s">
        <v>173</v>
      </c>
      <c r="B49" s="528">
        <f>1-B43</f>
        <v>0</v>
      </c>
      <c r="C49" s="145"/>
      <c r="D49" s="145"/>
      <c r="E49" s="128"/>
      <c r="F49" s="128"/>
      <c r="G49" s="145"/>
      <c r="H49" s="145"/>
      <c r="I49" s="145"/>
      <c r="J49" s="145"/>
      <c r="K49" s="145"/>
      <c r="L49" s="145"/>
      <c r="M49" s="145"/>
      <c r="N49" s="145"/>
      <c r="O49" s="145"/>
      <c r="P49" s="128"/>
      <c r="Q49" s="128"/>
      <c r="R49" s="145"/>
      <c r="S49" s="145"/>
      <c r="T49" s="128"/>
      <c r="U49" s="128"/>
      <c r="V49" s="145"/>
      <c r="W49"/>
      <c r="X49"/>
      <c r="Y49"/>
      <c r="Z49"/>
      <c r="AA49"/>
      <c r="AB49"/>
      <c r="AC49"/>
      <c r="AD49" s="145"/>
      <c r="AE49" s="145"/>
      <c r="AF49" s="145"/>
      <c r="AG49" s="145"/>
      <c r="AH49" s="145"/>
      <c r="AI49" s="145"/>
      <c r="AJ49"/>
    </row>
    <row r="50" spans="1:36" s="50" customFormat="1" ht="14.4">
      <c r="A50" s="527" t="s">
        <v>174</v>
      </c>
      <c r="B50" s="528">
        <f>H36/U17</f>
        <v>1</v>
      </c>
      <c r="C50" s="145"/>
      <c r="D50" s="145"/>
      <c r="E50" s="128"/>
      <c r="F50" s="128"/>
      <c r="G50" s="145"/>
      <c r="H50" s="145"/>
      <c r="I50" s="145"/>
      <c r="J50" s="145"/>
      <c r="K50" s="145"/>
      <c r="L50" s="145"/>
      <c r="M50" s="145"/>
      <c r="N50" s="145"/>
      <c r="O50" s="145"/>
      <c r="P50" s="128"/>
      <c r="Q50" s="128"/>
      <c r="R50" s="145"/>
      <c r="S50" s="145"/>
      <c r="T50" s="128"/>
      <c r="U50" s="128"/>
      <c r="V50" s="145"/>
      <c r="W50"/>
      <c r="X50"/>
      <c r="Y50"/>
      <c r="Z50"/>
      <c r="AA50"/>
      <c r="AB50"/>
      <c r="AC50"/>
      <c r="AD50" s="145"/>
      <c r="AE50" s="145"/>
      <c r="AF50" s="145"/>
      <c r="AG50" s="145"/>
      <c r="AH50" s="145"/>
      <c r="AI50" s="145"/>
      <c r="AJ50"/>
    </row>
    <row r="51" spans="1:36" ht="14.4">
      <c r="A51" s="527" t="s">
        <v>175</v>
      </c>
      <c r="B51" s="528">
        <f>1-B50</f>
        <v>0</v>
      </c>
    </row>
  </sheetData>
  <mergeCells count="19">
    <mergeCell ref="AW2:AX2"/>
    <mergeCell ref="AD2:AG2"/>
    <mergeCell ref="AH2:AI2"/>
    <mergeCell ref="AO2:AP2"/>
    <mergeCell ref="AS2:AV2"/>
    <mergeCell ref="C2:F2"/>
    <mergeCell ref="H33:I33"/>
    <mergeCell ref="AF3:AG3"/>
    <mergeCell ref="AU3:AV3"/>
    <mergeCell ref="AF4:AG4"/>
    <mergeCell ref="AU4:AV4"/>
    <mergeCell ref="G2:H2"/>
    <mergeCell ref="K2:N2"/>
    <mergeCell ref="P2:Q2"/>
    <mergeCell ref="R2:S2"/>
    <mergeCell ref="AA2:AB2"/>
    <mergeCell ref="T2:U2"/>
    <mergeCell ref="W2:Z2"/>
    <mergeCell ref="AK2:AN2"/>
  </mergeCells>
  <phoneticPr fontId="42" type="noConversion"/>
  <conditionalFormatting sqref="AD6:AD13">
    <cfRule type="colorScale" priority="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6:AE13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32" priority="98" operator="greaterThan">
      <formula>0.04</formula>
    </cfRule>
  </conditionalFormatting>
  <conditionalFormatting sqref="AH7">
    <cfRule type="colorScale" priority="14">
      <colorScale>
        <cfvo type="min"/>
        <cfvo type="max"/>
        <color rgb="FFFFEF9C"/>
        <color rgb="FF63BE7B"/>
      </colorScale>
    </cfRule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8:AH13 AH6">
    <cfRule type="colorScale" priority="101">
      <colorScale>
        <cfvo type="min"/>
        <cfvo type="max"/>
        <color rgb="FFFFEF9C"/>
        <color rgb="FF63BE7B"/>
      </colorScale>
    </cfRule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7">
    <cfRule type="colorScale" priority="19">
      <colorScale>
        <cfvo type="min"/>
        <cfvo type="max"/>
        <color rgb="FFFFEF9C"/>
        <color rgb="FF63BE7B"/>
      </colorScale>
    </cfRule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8:AI13 AI6">
    <cfRule type="colorScale" priority="105">
      <colorScale>
        <cfvo type="min"/>
        <cfvo type="max"/>
        <color rgb="FFFFEF9C"/>
        <color rgb="FF63BE7B"/>
      </colorScale>
    </cfRule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6:AS13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5:AT13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7">
    <cfRule type="colorScale" priority="18">
      <colorScale>
        <cfvo type="min"/>
        <cfvo type="max"/>
        <color rgb="FFFFEF9C"/>
        <color rgb="FF63BE7B"/>
      </colorScale>
    </cfRule>
  </conditionalFormatting>
  <conditionalFormatting sqref="AX8:AX13 AX6">
    <cfRule type="colorScale" priority="113">
      <colorScale>
        <cfvo type="min"/>
        <cfvo type="max"/>
        <color rgb="FFFFEF9C"/>
        <color rgb="FF63BE7B"/>
      </colorScale>
    </cfRule>
  </conditionalFormatting>
  <pageMargins left="0.74803149606299213" right="0.74803149606299213" top="0.98425196850393704" bottom="0.98425196850393704" header="0.51181102362204722" footer="0.51181102362204722"/>
  <pageSetup paperSize="9" scale="25" fitToHeight="2" orientation="landscape" horizontalDpi="1200" verticalDpi="1200" r:id="rId1"/>
  <headerFooter alignWithMargins="0">
    <oddHeader>&amp;LPIROTECH sprl&amp;Rjbv@pirotech.be</oddHeader>
    <oddFooter>&amp;L&amp;F&amp;R&amp;A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04F5-8E22-4F39-BB07-FE4F01BF94FF}">
  <sheetPr>
    <pageSetUpPr fitToPage="1"/>
  </sheetPr>
  <dimension ref="A1:AX51"/>
  <sheetViews>
    <sheetView showGridLines="0" zoomScale="90" zoomScaleNormal="90" workbookViewId="0">
      <pane xSplit="2" ySplit="4" topLeftCell="C5" activePane="bottomRight" state="frozen"/>
      <selection pane="topRight" activeCell="J49" sqref="J49"/>
      <selection pane="bottomLeft" activeCell="J49" sqref="J49"/>
      <selection pane="bottomRight" activeCell="A6" sqref="A6"/>
    </sheetView>
  </sheetViews>
  <sheetFormatPr baseColWidth="10" defaultColWidth="9.109375" defaultRowHeight="13.2" outlineLevelCol="1"/>
  <cols>
    <col min="1" max="1" width="22" customWidth="1"/>
    <col min="2" max="2" width="30.6640625" bestFit="1" customWidth="1"/>
    <col min="3" max="3" width="14.6640625" customWidth="1"/>
    <col min="4" max="4" width="10.88671875" bestFit="1" customWidth="1"/>
    <col min="5" max="5" width="9.109375" style="46" bestFit="1" customWidth="1"/>
    <col min="6" max="6" width="10.44140625" style="46" customWidth="1"/>
    <col min="7" max="8" width="13.5546875" bestFit="1" customWidth="1"/>
    <col min="9" max="9" width="12.5546875" bestFit="1" customWidth="1"/>
    <col min="10" max="10" width="3.5546875" customWidth="1"/>
    <col min="11" max="11" width="4.44140625" customWidth="1"/>
    <col min="12" max="12" width="11.88671875" bestFit="1" customWidth="1"/>
    <col min="13" max="13" width="6.88671875" bestFit="1" customWidth="1"/>
    <col min="14" max="14" width="6.5546875" bestFit="1" customWidth="1"/>
    <col min="15" max="15" width="5.44140625" customWidth="1"/>
    <col min="16" max="16" width="11.44140625" style="46" bestFit="1" customWidth="1"/>
    <col min="17" max="17" width="12.44140625" style="46" bestFit="1" customWidth="1"/>
    <col min="18" max="18" width="6.6640625" hidden="1" customWidth="1"/>
    <col min="19" max="19" width="7" hidden="1" customWidth="1"/>
    <col min="20" max="20" width="14.44140625" style="46" bestFit="1" customWidth="1"/>
    <col min="21" max="21" width="10.6640625" style="46" bestFit="1" customWidth="1"/>
    <col min="22" max="22" width="8.44140625" customWidth="1"/>
    <col min="23" max="23" width="8.44140625" customWidth="1" outlineLevel="1"/>
    <col min="24" max="24" width="8" bestFit="1" customWidth="1" outlineLevel="1"/>
    <col min="25" max="25" width="9.109375" outlineLevel="1"/>
    <col min="26" max="26" width="17.6640625" customWidth="1" outlineLevel="1"/>
    <col min="27" max="27" width="11.6640625" customWidth="1" outlineLevel="1"/>
    <col min="28" max="28" width="12" bestFit="1" customWidth="1" outlineLevel="1"/>
    <col min="29" max="29" width="12" customWidth="1" outlineLevel="1"/>
    <col min="30" max="30" width="9.5546875" bestFit="1" customWidth="1" outlineLevel="1"/>
    <col min="31" max="31" width="5.88671875" bestFit="1" customWidth="1" outlineLevel="1"/>
    <col min="32" max="32" width="5.6640625" bestFit="1" customWidth="1" outlineLevel="1"/>
    <col min="33" max="33" width="10.6640625" bestFit="1" customWidth="1" outlineLevel="1"/>
    <col min="34" max="34" width="6.88671875" bestFit="1" customWidth="1" outlineLevel="1"/>
    <col min="35" max="35" width="6.5546875" bestFit="1" customWidth="1" outlineLevel="1"/>
    <col min="36" max="36" width="11.5546875" customWidth="1"/>
    <col min="37" max="37" width="11.5546875" customWidth="1" outlineLevel="1"/>
    <col min="38" max="38" width="10.44140625" bestFit="1" customWidth="1" outlineLevel="1"/>
    <col min="39" max="42" width="9.109375" outlineLevel="1"/>
    <col min="43" max="45" width="10.44140625" bestFit="1" customWidth="1" outlineLevel="1"/>
    <col min="46" max="46" width="7.44140625" bestFit="1" customWidth="1" outlineLevel="1"/>
    <col min="47" max="47" width="6.5546875" bestFit="1" customWidth="1" outlineLevel="1"/>
    <col min="48" max="48" width="13.44140625" bestFit="1" customWidth="1" outlineLevel="1"/>
    <col min="49" max="49" width="8.33203125" customWidth="1" outlineLevel="1"/>
    <col min="50" max="50" width="6.88671875" bestFit="1" customWidth="1" outlineLevel="1"/>
  </cols>
  <sheetData>
    <row r="1" spans="1:50" s="9" customFormat="1" ht="25.2" thickBot="1">
      <c r="B1" s="14"/>
      <c r="C1" s="14" t="str">
        <f>Paramètres!B3</f>
        <v>NOM DE L'ENTITE</v>
      </c>
      <c r="E1" s="92"/>
      <c r="F1" s="92"/>
      <c r="J1" s="117"/>
      <c r="O1" s="117"/>
      <c r="P1" s="92"/>
      <c r="Q1" s="92"/>
      <c r="T1" s="92"/>
      <c r="U1" s="92"/>
      <c r="V1" s="117"/>
      <c r="W1" s="14" t="s">
        <v>112</v>
      </c>
      <c r="Z1" s="14"/>
      <c r="AK1" s="14" t="s">
        <v>113</v>
      </c>
      <c r="AM1" s="92"/>
      <c r="AN1" s="92"/>
      <c r="AO1" s="92"/>
      <c r="AP1" s="92"/>
      <c r="AQ1" s="92"/>
    </row>
    <row r="2" spans="1:50" s="60" customFormat="1" ht="30.6" thickBot="1">
      <c r="A2" s="59" t="s">
        <v>114</v>
      </c>
      <c r="B2" s="491">
        <v>2023</v>
      </c>
      <c r="C2" s="721" t="s">
        <v>5</v>
      </c>
      <c r="D2" s="721"/>
      <c r="E2" s="721"/>
      <c r="F2" s="722"/>
      <c r="G2" s="730" t="s">
        <v>115</v>
      </c>
      <c r="H2" s="731"/>
      <c r="I2" s="554" t="s">
        <v>116</v>
      </c>
      <c r="J2" s="123"/>
      <c r="K2" s="732" t="s">
        <v>117</v>
      </c>
      <c r="L2" s="733"/>
      <c r="M2" s="733"/>
      <c r="N2" s="734"/>
      <c r="O2" s="122"/>
      <c r="P2" s="735" t="s">
        <v>118</v>
      </c>
      <c r="Q2" s="736"/>
      <c r="R2" s="737"/>
      <c r="S2" s="736"/>
      <c r="T2" s="735" t="s">
        <v>119</v>
      </c>
      <c r="U2" s="736"/>
      <c r="V2" s="122"/>
      <c r="W2" s="738" t="s">
        <v>5</v>
      </c>
      <c r="X2" s="740"/>
      <c r="Y2" s="740"/>
      <c r="Z2" s="739"/>
      <c r="AA2" s="738" t="s">
        <v>115</v>
      </c>
      <c r="AB2" s="739"/>
      <c r="AC2" s="120"/>
      <c r="AD2" s="735" t="s">
        <v>120</v>
      </c>
      <c r="AE2" s="737"/>
      <c r="AF2" s="737"/>
      <c r="AG2" s="736"/>
      <c r="AH2" s="735" t="s">
        <v>121</v>
      </c>
      <c r="AI2" s="736"/>
      <c r="AJ2" s="120"/>
      <c r="AK2" s="741" t="s">
        <v>5</v>
      </c>
      <c r="AL2" s="742"/>
      <c r="AM2" s="742"/>
      <c r="AN2" s="743"/>
      <c r="AO2" s="738" t="s">
        <v>115</v>
      </c>
      <c r="AP2" s="739"/>
      <c r="AQ2" s="572" t="s">
        <v>122</v>
      </c>
      <c r="AR2" s="558"/>
      <c r="AS2" s="735"/>
      <c r="AT2" s="737"/>
      <c r="AU2" s="737"/>
      <c r="AV2" s="737"/>
      <c r="AW2" s="735" t="s">
        <v>123</v>
      </c>
      <c r="AX2" s="736"/>
    </row>
    <row r="3" spans="1:50" s="9" customFormat="1" ht="30" customHeight="1">
      <c r="A3" s="10"/>
      <c r="B3" s="443"/>
      <c r="C3" s="73" t="str">
        <f>Paramètres!C5</f>
        <v>Electricité 
achetée</v>
      </c>
      <c r="D3" s="73" t="str">
        <f>Paramètres!D5</f>
        <v>Gaz Naturel</v>
      </c>
      <c r="E3" s="73" t="str">
        <f>Paramètres!E5</f>
        <v>Fuel léger</v>
      </c>
      <c r="F3" s="73" t="str">
        <f>Paramètres!F5</f>
        <v>Biogaz</v>
      </c>
      <c r="G3" s="535" t="s">
        <v>124</v>
      </c>
      <c r="H3" s="536" t="s">
        <v>125</v>
      </c>
      <c r="I3" s="73" t="str">
        <f>Paramètres!H5</f>
        <v>Process</v>
      </c>
      <c r="J3" s="123"/>
      <c r="K3" s="447" t="s">
        <v>126</v>
      </c>
      <c r="L3" s="16" t="s">
        <v>127</v>
      </c>
      <c r="M3" s="104" t="s">
        <v>128</v>
      </c>
      <c r="N3" s="17" t="s">
        <v>129</v>
      </c>
      <c r="O3" s="117"/>
      <c r="P3" s="101" t="s">
        <v>130</v>
      </c>
      <c r="Q3" s="106" t="s">
        <v>131</v>
      </c>
      <c r="R3" s="104"/>
      <c r="S3" s="105"/>
      <c r="T3" s="87" t="str">
        <f>"CRA("&amp;B2&amp;")"</f>
        <v>CRA(2023)</v>
      </c>
      <c r="U3" s="19" t="str">
        <f>"ERA("&amp;B2&amp;")"</f>
        <v>ERA(2023)</v>
      </c>
      <c r="V3" s="117"/>
      <c r="W3" s="91" t="str">
        <f t="shared" ref="W3:AB3" si="0">C3</f>
        <v>Electricité 
achetée</v>
      </c>
      <c r="X3" s="73" t="str">
        <f t="shared" si="0"/>
        <v>Gaz Naturel</v>
      </c>
      <c r="Y3" s="73" t="str">
        <f t="shared" si="0"/>
        <v>Fuel léger</v>
      </c>
      <c r="Z3" s="105" t="str">
        <f t="shared" si="0"/>
        <v>Biogaz</v>
      </c>
      <c r="AA3" s="91" t="str">
        <f t="shared" si="0"/>
        <v>Utilité 1</v>
      </c>
      <c r="AB3" s="19" t="str">
        <f t="shared" si="0"/>
        <v>Utilité 2</v>
      </c>
      <c r="AC3" s="121"/>
      <c r="AD3" s="233" t="s">
        <v>132</v>
      </c>
      <c r="AE3" s="104" t="s">
        <v>133</v>
      </c>
      <c r="AF3" s="724" t="s">
        <v>134</v>
      </c>
      <c r="AG3" s="725"/>
      <c r="AH3" s="91" t="s">
        <v>135</v>
      </c>
      <c r="AI3" s="105" t="s">
        <v>136</v>
      </c>
      <c r="AJ3" s="121"/>
      <c r="AK3" s="91" t="str">
        <f>Paramètres!C5</f>
        <v>Electricité 
achetée</v>
      </c>
      <c r="AL3" s="73" t="str">
        <f>Paramètres!D5</f>
        <v>Gaz Naturel</v>
      </c>
      <c r="AM3" s="73" t="str">
        <f>Paramètres!E5</f>
        <v>Fuel léger</v>
      </c>
      <c r="AN3" s="105" t="str">
        <f>Paramètres!F5</f>
        <v>Biogaz</v>
      </c>
      <c r="AO3" s="91" t="str">
        <f>'2030'!G3</f>
        <v>Utilité 1</v>
      </c>
      <c r="AP3" s="19" t="str">
        <f>'2030'!H3</f>
        <v>Utilité 2</v>
      </c>
      <c r="AQ3" s="561" t="str">
        <f>'2030'!I3</f>
        <v>Process</v>
      </c>
      <c r="AR3" s="559"/>
      <c r="AS3" s="91" t="s">
        <v>132</v>
      </c>
      <c r="AT3" s="104" t="s">
        <v>133</v>
      </c>
      <c r="AU3" s="724" t="s">
        <v>137</v>
      </c>
      <c r="AV3" s="726"/>
      <c r="AW3" s="91" t="s">
        <v>135</v>
      </c>
      <c r="AX3" s="105" t="s">
        <v>136</v>
      </c>
    </row>
    <row r="4" spans="1:50" s="9" customFormat="1" ht="15" customHeight="1" thickBot="1">
      <c r="A4" s="492"/>
      <c r="B4" s="444"/>
      <c r="C4" s="446" t="str">
        <f>Paramètres!C6</f>
        <v>kWh</v>
      </c>
      <c r="D4" s="446" t="str">
        <f>Paramètres!D6</f>
        <v>kWhs</v>
      </c>
      <c r="E4" s="446" t="str">
        <f>Paramètres!E6</f>
        <v>litres</v>
      </c>
      <c r="F4" s="446" t="str">
        <f>Paramètres!F6</f>
        <v>kWhs</v>
      </c>
      <c r="G4" s="537" t="s">
        <v>138</v>
      </c>
      <c r="H4" s="538" t="s">
        <v>139</v>
      </c>
      <c r="I4" s="446" t="str">
        <f>Paramètres!H6</f>
        <v>kgCO2</v>
      </c>
      <c r="J4" s="123"/>
      <c r="K4" s="11"/>
      <c r="L4" s="15"/>
      <c r="M4" s="12"/>
      <c r="N4" s="13"/>
      <c r="O4" s="117"/>
      <c r="P4" s="102" t="s">
        <v>140</v>
      </c>
      <c r="Q4" s="107" t="s">
        <v>141</v>
      </c>
      <c r="R4" s="103"/>
      <c r="S4" s="107"/>
      <c r="T4" s="207" t="s">
        <v>142</v>
      </c>
      <c r="U4" s="107" t="s">
        <v>20</v>
      </c>
      <c r="V4" s="117"/>
      <c r="W4" s="102" t="s">
        <v>142</v>
      </c>
      <c r="X4" s="26" t="s">
        <v>142</v>
      </c>
      <c r="Y4" s="26" t="s">
        <v>142</v>
      </c>
      <c r="Z4" s="107" t="s">
        <v>142</v>
      </c>
      <c r="AA4" s="25" t="s">
        <v>142</v>
      </c>
      <c r="AB4" s="44" t="s">
        <v>142</v>
      </c>
      <c r="AC4" s="121"/>
      <c r="AD4" s="234" t="s">
        <v>142</v>
      </c>
      <c r="AE4" s="103" t="s">
        <v>133</v>
      </c>
      <c r="AF4" s="727" t="s">
        <v>140</v>
      </c>
      <c r="AG4" s="728"/>
      <c r="AH4" s="25"/>
      <c r="AI4" s="107"/>
      <c r="AJ4" s="121"/>
      <c r="AK4" s="102" t="s">
        <v>20</v>
      </c>
      <c r="AL4" s="26" t="s">
        <v>20</v>
      </c>
      <c r="AM4" s="26" t="s">
        <v>20</v>
      </c>
      <c r="AN4" s="44" t="s">
        <v>20</v>
      </c>
      <c r="AO4" s="25" t="s">
        <v>20</v>
      </c>
      <c r="AP4" s="44" t="s">
        <v>20</v>
      </c>
      <c r="AQ4" s="562" t="s">
        <v>20</v>
      </c>
      <c r="AR4" s="559"/>
      <c r="AS4" s="25" t="s">
        <v>20</v>
      </c>
      <c r="AT4" s="103" t="s">
        <v>133</v>
      </c>
      <c r="AU4" s="727" t="s">
        <v>141</v>
      </c>
      <c r="AV4" s="729"/>
      <c r="AW4" s="25"/>
      <c r="AX4" s="107"/>
    </row>
    <row r="5" spans="1:50">
      <c r="A5" s="69"/>
      <c r="B5" s="453" t="s">
        <v>143</v>
      </c>
      <c r="C5" s="472"/>
      <c r="D5" s="473"/>
      <c r="E5" s="474"/>
      <c r="F5" s="494"/>
      <c r="G5" s="495"/>
      <c r="H5" s="475"/>
      <c r="I5" s="475"/>
      <c r="J5" s="124"/>
      <c r="K5" s="7"/>
      <c r="L5" s="4"/>
      <c r="M5" s="5"/>
      <c r="N5" s="8"/>
      <c r="O5" s="117"/>
      <c r="P5" s="93"/>
      <c r="Q5" s="108"/>
      <c r="R5" s="110"/>
      <c r="S5" s="111"/>
      <c r="T5" s="109"/>
      <c r="U5" s="94"/>
      <c r="V5" s="117"/>
      <c r="W5" s="450"/>
      <c r="X5" s="445"/>
      <c r="Y5" s="445"/>
      <c r="Z5" s="451"/>
      <c r="AA5" s="568"/>
      <c r="AB5" s="569"/>
      <c r="AC5" s="121"/>
      <c r="AD5" s="62"/>
      <c r="AE5" s="71"/>
      <c r="AF5" s="72"/>
      <c r="AG5" s="114"/>
      <c r="AH5" s="672"/>
      <c r="AI5" s="673"/>
      <c r="AJ5" s="121"/>
      <c r="AK5" s="461"/>
      <c r="AL5" s="462"/>
      <c r="AM5" s="463"/>
      <c r="AN5" s="464"/>
      <c r="AO5" s="461"/>
      <c r="AP5" s="465"/>
      <c r="AQ5" s="563"/>
      <c r="AR5" s="560"/>
      <c r="AS5" s="62"/>
      <c r="AT5" s="130"/>
      <c r="AU5" s="72"/>
      <c r="AV5" s="63"/>
      <c r="AW5" s="672"/>
      <c r="AX5" s="673"/>
    </row>
    <row r="6" spans="1:50">
      <c r="A6" s="550">
        <v>1</v>
      </c>
      <c r="B6" s="485" t="s">
        <v>144</v>
      </c>
      <c r="C6" s="486">
        <v>15000000</v>
      </c>
      <c r="D6" s="486">
        <v>58000000</v>
      </c>
      <c r="E6" s="487"/>
      <c r="F6" s="498">
        <v>19000000</v>
      </c>
      <c r="G6" s="496"/>
      <c r="H6" s="488"/>
      <c r="I6" s="488">
        <v>10000000</v>
      </c>
      <c r="J6" s="125"/>
      <c r="K6" s="441">
        <f>A6</f>
        <v>1</v>
      </c>
      <c r="L6" s="490" t="s">
        <v>145</v>
      </c>
      <c r="M6" s="80">
        <v>1000</v>
      </c>
      <c r="N6" s="525" t="s">
        <v>146</v>
      </c>
      <c r="O6" s="117"/>
      <c r="P6" s="634">
        <f>'2023'!P6</f>
        <v>96</v>
      </c>
      <c r="Q6" s="517">
        <f>AU6</f>
        <v>25884</v>
      </c>
      <c r="R6" s="235"/>
      <c r="S6" s="236"/>
      <c r="T6" s="109">
        <f>P6*M6</f>
        <v>96000</v>
      </c>
      <c r="U6" s="94">
        <f>Q6*M6</f>
        <v>25884000</v>
      </c>
      <c r="V6" s="117"/>
      <c r="W6" s="457">
        <f t="shared" ref="W6:AB7" si="1">C6*C$30/1000</f>
        <v>15000</v>
      </c>
      <c r="X6" s="456">
        <f t="shared" si="1"/>
        <v>58000</v>
      </c>
      <c r="Y6" s="456">
        <f t="shared" si="1"/>
        <v>0</v>
      </c>
      <c r="Z6" s="458">
        <f t="shared" si="1"/>
        <v>19000</v>
      </c>
      <c r="AA6" s="457">
        <f t="shared" si="1"/>
        <v>0</v>
      </c>
      <c r="AB6" s="458">
        <f t="shared" si="1"/>
        <v>0</v>
      </c>
      <c r="AC6" s="121"/>
      <c r="AD6" s="209">
        <f t="shared" ref="AD6:AD13" si="2">IF($M6="","",SUM(W6:AB6))</f>
        <v>92000</v>
      </c>
      <c r="AE6" s="67">
        <f>IF(AD6="","",AD6/$AD$14)</f>
        <v>1</v>
      </c>
      <c r="AF6" s="22">
        <f t="shared" ref="AF6:AF13" si="3">IF(M6="","",IF(M6=0,0,AD6/M6))</f>
        <v>92</v>
      </c>
      <c r="AG6" s="64" t="str">
        <f t="shared" ref="AG6:AG13" si="4">IF(M6="","",CONCATENATE("MWh/",N6))</f>
        <v>MWh/tonnes</v>
      </c>
      <c r="AH6" s="674">
        <f t="shared" ref="AH6:AH13" si="5">IF(M6="","",1-(AD6/T6))</f>
        <v>4.166666666666663E-2</v>
      </c>
      <c r="AI6" s="675">
        <f t="shared" ref="AI6:AI13" si="6">IF(M6="","",(T6-AD6)/$T$17)</f>
        <v>4.1666666666666664E-2</v>
      </c>
      <c r="AJ6" s="121"/>
      <c r="AK6" s="457">
        <f>C6*C$31</f>
        <v>3240000</v>
      </c>
      <c r="AL6" s="456">
        <f t="shared" ref="AL6:AP7" si="7">D6*D$31</f>
        <v>12644000</v>
      </c>
      <c r="AM6" s="456">
        <f t="shared" si="7"/>
        <v>0</v>
      </c>
      <c r="AN6" s="458">
        <f t="shared" si="7"/>
        <v>0</v>
      </c>
      <c r="AO6" s="457">
        <f t="shared" si="7"/>
        <v>0</v>
      </c>
      <c r="AP6" s="458">
        <f t="shared" si="7"/>
        <v>0</v>
      </c>
      <c r="AQ6" s="564">
        <f>I6</f>
        <v>10000000</v>
      </c>
      <c r="AR6" s="560"/>
      <c r="AS6" s="20">
        <f>IF(M6="","",SUM(AK6:AQ6))</f>
        <v>25884000</v>
      </c>
      <c r="AT6" s="130">
        <f t="shared" ref="AT6:AT13" si="8">IF(AS6="","",AS6/$AS$14)</f>
        <v>0.99961381014906925</v>
      </c>
      <c r="AU6" s="22">
        <f t="shared" ref="AU6:AU13" si="9">IF(M6="","",IF(M6=0,0,AS6/M6))</f>
        <v>25884</v>
      </c>
      <c r="AV6" s="21" t="str">
        <f t="shared" ref="AV6:AV13" si="10">IF(M6="","",CONCATENATE("kgCO2/",N6))</f>
        <v>kgCO2/tonnes</v>
      </c>
      <c r="AW6" s="676">
        <f t="shared" ref="AW6:AW13" si="11">IF(M6="","",1-(AS6/U6))</f>
        <v>0</v>
      </c>
      <c r="AX6" s="675">
        <f t="shared" ref="AX6:AX13" si="12">IF(M6="","",(U6-AS6)/$U$17)</f>
        <v>0</v>
      </c>
    </row>
    <row r="7" spans="1:50">
      <c r="A7" s="550">
        <f>A6+1</f>
        <v>2</v>
      </c>
      <c r="B7" s="485" t="s">
        <v>147</v>
      </c>
      <c r="C7" s="486"/>
      <c r="D7" s="487"/>
      <c r="E7" s="487"/>
      <c r="F7" s="498"/>
      <c r="G7" s="496"/>
      <c r="H7" s="488"/>
      <c r="I7" s="488">
        <v>10000</v>
      </c>
      <c r="J7" s="125"/>
      <c r="K7" s="441">
        <f>A7</f>
        <v>2</v>
      </c>
      <c r="L7" s="490" t="s">
        <v>148</v>
      </c>
      <c r="M7" s="80">
        <v>10000</v>
      </c>
      <c r="N7" s="525" t="s">
        <v>146</v>
      </c>
      <c r="O7" s="117"/>
      <c r="P7" s="634">
        <f>'2023'!P7</f>
        <v>0</v>
      </c>
      <c r="Q7" s="517">
        <f>AU7</f>
        <v>1</v>
      </c>
      <c r="R7" s="235"/>
      <c r="S7" s="236"/>
      <c r="T7" s="109">
        <f>P7*M7</f>
        <v>0</v>
      </c>
      <c r="U7" s="94">
        <f>Q7*M7</f>
        <v>10000</v>
      </c>
      <c r="V7" s="117"/>
      <c r="W7" s="457">
        <f t="shared" si="1"/>
        <v>0</v>
      </c>
      <c r="X7" s="456">
        <f t="shared" si="1"/>
        <v>0</v>
      </c>
      <c r="Y7" s="456">
        <f t="shared" si="1"/>
        <v>0</v>
      </c>
      <c r="Z7" s="458">
        <f t="shared" si="1"/>
        <v>0</v>
      </c>
      <c r="AA7" s="457">
        <f t="shared" si="1"/>
        <v>0</v>
      </c>
      <c r="AB7" s="458">
        <f t="shared" si="1"/>
        <v>0</v>
      </c>
      <c r="AC7" s="121"/>
      <c r="AD7" s="209">
        <f t="shared" si="2"/>
        <v>0</v>
      </c>
      <c r="AE7" s="67">
        <f>IF(AD7="","",AD7/$AD$14)</f>
        <v>0</v>
      </c>
      <c r="AF7" s="22">
        <f t="shared" si="3"/>
        <v>0</v>
      </c>
      <c r="AG7" s="64" t="str">
        <f t="shared" si="4"/>
        <v>MWh/tonnes</v>
      </c>
      <c r="AH7" s="674" t="e">
        <f t="shared" si="5"/>
        <v>#DIV/0!</v>
      </c>
      <c r="AI7" s="675">
        <f t="shared" si="6"/>
        <v>0</v>
      </c>
      <c r="AJ7" s="121"/>
      <c r="AK7" s="457">
        <f>C7*C$31</f>
        <v>0</v>
      </c>
      <c r="AL7" s="456">
        <f t="shared" si="7"/>
        <v>0</v>
      </c>
      <c r="AM7" s="456">
        <f t="shared" si="7"/>
        <v>0</v>
      </c>
      <c r="AN7" s="458">
        <f t="shared" si="7"/>
        <v>0</v>
      </c>
      <c r="AO7" s="457">
        <f t="shared" si="7"/>
        <v>0</v>
      </c>
      <c r="AP7" s="458">
        <f t="shared" si="7"/>
        <v>0</v>
      </c>
      <c r="AQ7" s="564">
        <f>I7</f>
        <v>10000</v>
      </c>
      <c r="AR7" s="560"/>
      <c r="AS7" s="20">
        <f t="shared" ref="AS7:AS13" si="13">IF(M7="","",SUM(AK7:AQ7))</f>
        <v>10000</v>
      </c>
      <c r="AT7" s="130">
        <f t="shared" si="8"/>
        <v>3.8618985093071754E-4</v>
      </c>
      <c r="AU7" s="22">
        <f t="shared" si="9"/>
        <v>1</v>
      </c>
      <c r="AV7" s="21" t="str">
        <f t="shared" si="10"/>
        <v>kgCO2/tonnes</v>
      </c>
      <c r="AW7" s="676">
        <f t="shared" si="11"/>
        <v>0</v>
      </c>
      <c r="AX7" s="675">
        <f t="shared" si="12"/>
        <v>0</v>
      </c>
    </row>
    <row r="8" spans="1:50">
      <c r="A8" s="68"/>
      <c r="B8" s="454" t="s">
        <v>149</v>
      </c>
      <c r="C8" s="499"/>
      <c r="D8" s="500"/>
      <c r="E8" s="501"/>
      <c r="F8" s="502"/>
      <c r="G8" s="503"/>
      <c r="H8" s="504"/>
      <c r="I8" s="504"/>
      <c r="J8" s="124"/>
      <c r="K8" s="441"/>
      <c r="L8" s="6"/>
      <c r="M8" s="89"/>
      <c r="N8" s="677"/>
      <c r="O8" s="117"/>
      <c r="P8" s="518"/>
      <c r="Q8" s="519"/>
      <c r="R8" s="235"/>
      <c r="S8" s="236"/>
      <c r="T8" s="109"/>
      <c r="U8" s="94"/>
      <c r="V8" s="117"/>
      <c r="W8" s="450"/>
      <c r="X8" s="445"/>
      <c r="Y8" s="445"/>
      <c r="Z8" s="451"/>
      <c r="AA8" s="450"/>
      <c r="AB8" s="451"/>
      <c r="AC8" s="121"/>
      <c r="AD8" s="209" t="str">
        <f t="shared" si="2"/>
        <v/>
      </c>
      <c r="AE8" s="67"/>
      <c r="AF8" s="22" t="str">
        <f t="shared" si="3"/>
        <v/>
      </c>
      <c r="AG8" s="64" t="str">
        <f t="shared" si="4"/>
        <v/>
      </c>
      <c r="AH8" s="674" t="str">
        <f t="shared" si="5"/>
        <v/>
      </c>
      <c r="AI8" s="675" t="str">
        <f t="shared" si="6"/>
        <v/>
      </c>
      <c r="AJ8" s="121"/>
      <c r="AK8" s="466"/>
      <c r="AL8" s="467"/>
      <c r="AM8" s="468"/>
      <c r="AN8" s="469"/>
      <c r="AO8" s="466"/>
      <c r="AP8" s="470"/>
      <c r="AQ8" s="565"/>
      <c r="AR8" s="560"/>
      <c r="AS8" s="20" t="str">
        <f t="shared" si="13"/>
        <v/>
      </c>
      <c r="AT8" s="130" t="str">
        <f t="shared" si="8"/>
        <v/>
      </c>
      <c r="AU8" s="22" t="str">
        <f t="shared" si="9"/>
        <v/>
      </c>
      <c r="AV8" s="21" t="str">
        <f t="shared" si="10"/>
        <v/>
      </c>
      <c r="AW8" s="676" t="str">
        <f t="shared" si="11"/>
        <v/>
      </c>
      <c r="AX8" s="675" t="str">
        <f t="shared" si="12"/>
        <v/>
      </c>
    </row>
    <row r="9" spans="1:50">
      <c r="A9" s="550">
        <f>A7+1</f>
        <v>3</v>
      </c>
      <c r="B9" s="485"/>
      <c r="C9" s="486"/>
      <c r="D9" s="487"/>
      <c r="E9" s="487"/>
      <c r="F9" s="498"/>
      <c r="G9" s="496"/>
      <c r="H9" s="488"/>
      <c r="I9" s="488"/>
      <c r="J9" s="126"/>
      <c r="K9" s="441">
        <f>A9</f>
        <v>3</v>
      </c>
      <c r="L9" s="490"/>
      <c r="M9" s="80"/>
      <c r="N9" s="525"/>
      <c r="O9" s="117"/>
      <c r="P9" s="516"/>
      <c r="Q9" s="517"/>
      <c r="R9" s="235"/>
      <c r="S9" s="236"/>
      <c r="T9" s="109">
        <f>P9*M9</f>
        <v>0</v>
      </c>
      <c r="U9" s="94">
        <f>Q9*M9</f>
        <v>0</v>
      </c>
      <c r="V9" s="117"/>
      <c r="W9" s="457">
        <f t="shared" ref="W9:AB10" si="14">C9*C$30/1000</f>
        <v>0</v>
      </c>
      <c r="X9" s="456">
        <f t="shared" si="14"/>
        <v>0</v>
      </c>
      <c r="Y9" s="456">
        <f t="shared" si="14"/>
        <v>0</v>
      </c>
      <c r="Z9" s="458">
        <f t="shared" si="14"/>
        <v>0</v>
      </c>
      <c r="AA9" s="457">
        <f t="shared" si="14"/>
        <v>0</v>
      </c>
      <c r="AB9" s="458">
        <f t="shared" si="14"/>
        <v>0</v>
      </c>
      <c r="AC9" s="121"/>
      <c r="AD9" s="209" t="str">
        <f t="shared" si="2"/>
        <v/>
      </c>
      <c r="AE9" s="67" t="str">
        <f>IF(AD9="","",AD9/$AD$14)</f>
        <v/>
      </c>
      <c r="AF9" s="22" t="str">
        <f t="shared" si="3"/>
        <v/>
      </c>
      <c r="AG9" s="64" t="str">
        <f t="shared" si="4"/>
        <v/>
      </c>
      <c r="AH9" s="674" t="str">
        <f t="shared" si="5"/>
        <v/>
      </c>
      <c r="AI9" s="675" t="str">
        <f t="shared" si="6"/>
        <v/>
      </c>
      <c r="AJ9" s="121"/>
      <c r="AK9" s="457">
        <f>C9*C$31</f>
        <v>0</v>
      </c>
      <c r="AL9" s="456">
        <f t="shared" ref="AL9:AP10" si="15">D9*D$31</f>
        <v>0</v>
      </c>
      <c r="AM9" s="456">
        <f t="shared" si="15"/>
        <v>0</v>
      </c>
      <c r="AN9" s="458">
        <f t="shared" si="15"/>
        <v>0</v>
      </c>
      <c r="AO9" s="457">
        <f t="shared" si="15"/>
        <v>0</v>
      </c>
      <c r="AP9" s="458">
        <f t="shared" si="15"/>
        <v>0</v>
      </c>
      <c r="AQ9" s="564">
        <f>I9</f>
        <v>0</v>
      </c>
      <c r="AR9" s="560"/>
      <c r="AS9" s="20" t="str">
        <f t="shared" si="13"/>
        <v/>
      </c>
      <c r="AT9" s="130" t="str">
        <f t="shared" si="8"/>
        <v/>
      </c>
      <c r="AU9" s="22" t="str">
        <f t="shared" si="9"/>
        <v/>
      </c>
      <c r="AV9" s="21" t="str">
        <f t="shared" si="10"/>
        <v/>
      </c>
      <c r="AW9" s="676" t="str">
        <f t="shared" si="11"/>
        <v/>
      </c>
      <c r="AX9" s="675" t="str">
        <f t="shared" si="12"/>
        <v/>
      </c>
    </row>
    <row r="10" spans="1:50">
      <c r="A10" s="550">
        <f>A9+1</f>
        <v>4</v>
      </c>
      <c r="B10" s="485"/>
      <c r="C10" s="486"/>
      <c r="D10" s="487"/>
      <c r="E10" s="487"/>
      <c r="F10" s="498"/>
      <c r="G10" s="496"/>
      <c r="H10" s="488"/>
      <c r="I10" s="488"/>
      <c r="J10" s="126"/>
      <c r="K10" s="441">
        <f>A10</f>
        <v>4</v>
      </c>
      <c r="L10" s="490"/>
      <c r="M10" s="80"/>
      <c r="N10" s="525"/>
      <c r="O10" s="117"/>
      <c r="P10" s="516"/>
      <c r="Q10" s="517"/>
      <c r="R10" s="235"/>
      <c r="S10" s="235"/>
      <c r="T10" s="109">
        <f>P10*M10</f>
        <v>0</v>
      </c>
      <c r="U10" s="94">
        <f>Q10*M10</f>
        <v>0</v>
      </c>
      <c r="V10" s="117"/>
      <c r="W10" s="457">
        <f t="shared" si="14"/>
        <v>0</v>
      </c>
      <c r="X10" s="456">
        <f t="shared" si="14"/>
        <v>0</v>
      </c>
      <c r="Y10" s="456">
        <f t="shared" si="14"/>
        <v>0</v>
      </c>
      <c r="Z10" s="458">
        <f t="shared" si="14"/>
        <v>0</v>
      </c>
      <c r="AA10" s="457">
        <f t="shared" si="14"/>
        <v>0</v>
      </c>
      <c r="AB10" s="458">
        <f t="shared" si="14"/>
        <v>0</v>
      </c>
      <c r="AC10" s="121"/>
      <c r="AD10" s="209" t="str">
        <f t="shared" si="2"/>
        <v/>
      </c>
      <c r="AE10" s="67" t="str">
        <f>IF(AD10="","",AD10/$AD$14)</f>
        <v/>
      </c>
      <c r="AF10" s="22" t="str">
        <f t="shared" si="3"/>
        <v/>
      </c>
      <c r="AG10" s="64" t="str">
        <f t="shared" si="4"/>
        <v/>
      </c>
      <c r="AH10" s="674" t="str">
        <f t="shared" si="5"/>
        <v/>
      </c>
      <c r="AI10" s="675" t="str">
        <f t="shared" si="6"/>
        <v/>
      </c>
      <c r="AJ10" s="121"/>
      <c r="AK10" s="457">
        <f>C10*C$31</f>
        <v>0</v>
      </c>
      <c r="AL10" s="456">
        <f t="shared" si="15"/>
        <v>0</v>
      </c>
      <c r="AM10" s="456">
        <f t="shared" si="15"/>
        <v>0</v>
      </c>
      <c r="AN10" s="458">
        <f t="shared" si="15"/>
        <v>0</v>
      </c>
      <c r="AO10" s="457">
        <f t="shared" si="15"/>
        <v>0</v>
      </c>
      <c r="AP10" s="458">
        <f t="shared" si="15"/>
        <v>0</v>
      </c>
      <c r="AQ10" s="564">
        <f>I10</f>
        <v>0</v>
      </c>
      <c r="AR10" s="560"/>
      <c r="AS10" s="20" t="str">
        <f t="shared" si="13"/>
        <v/>
      </c>
      <c r="AT10" s="130" t="str">
        <f t="shared" si="8"/>
        <v/>
      </c>
      <c r="AU10" s="22" t="str">
        <f t="shared" si="9"/>
        <v/>
      </c>
      <c r="AV10" s="21" t="str">
        <f t="shared" si="10"/>
        <v/>
      </c>
      <c r="AW10" s="676" t="str">
        <f t="shared" si="11"/>
        <v/>
      </c>
      <c r="AX10" s="675" t="str">
        <f t="shared" si="12"/>
        <v/>
      </c>
    </row>
    <row r="11" spans="1:50">
      <c r="A11" s="68"/>
      <c r="B11" s="454" t="s">
        <v>150</v>
      </c>
      <c r="C11" s="499"/>
      <c r="D11" s="500"/>
      <c r="E11" s="501"/>
      <c r="F11" s="502"/>
      <c r="G11" s="503"/>
      <c r="H11" s="504"/>
      <c r="I11" s="504"/>
      <c r="J11" s="124"/>
      <c r="K11" s="441"/>
      <c r="L11" s="6"/>
      <c r="M11" s="460"/>
      <c r="N11" s="678"/>
      <c r="O11" s="497"/>
      <c r="P11" s="518"/>
      <c r="Q11" s="520"/>
      <c r="R11" s="435"/>
      <c r="S11" s="436"/>
      <c r="T11" s="109"/>
      <c r="U11" s="94"/>
      <c r="V11" s="117"/>
      <c r="W11" s="450"/>
      <c r="X11" s="445"/>
      <c r="Y11" s="445"/>
      <c r="Z11" s="451"/>
      <c r="AA11" s="450"/>
      <c r="AB11" s="451"/>
      <c r="AC11" s="121"/>
      <c r="AD11" s="209" t="str">
        <f t="shared" si="2"/>
        <v/>
      </c>
      <c r="AE11" s="67"/>
      <c r="AF11" s="22" t="str">
        <f t="shared" si="3"/>
        <v/>
      </c>
      <c r="AG11" s="64" t="str">
        <f t="shared" si="4"/>
        <v/>
      </c>
      <c r="AH11" s="674" t="str">
        <f t="shared" si="5"/>
        <v/>
      </c>
      <c r="AI11" s="675" t="str">
        <f t="shared" si="6"/>
        <v/>
      </c>
      <c r="AJ11" s="121"/>
      <c r="AK11" s="466"/>
      <c r="AL11" s="467"/>
      <c r="AM11" s="468"/>
      <c r="AN11" s="469"/>
      <c r="AO11" s="471"/>
      <c r="AP11" s="470"/>
      <c r="AQ11" s="565"/>
      <c r="AR11" s="560"/>
      <c r="AS11" s="20" t="str">
        <f t="shared" si="13"/>
        <v/>
      </c>
      <c r="AT11" s="130" t="str">
        <f t="shared" si="8"/>
        <v/>
      </c>
      <c r="AU11" s="22" t="str">
        <f t="shared" si="9"/>
        <v/>
      </c>
      <c r="AV11" s="21" t="str">
        <f t="shared" si="10"/>
        <v/>
      </c>
      <c r="AW11" s="676" t="str">
        <f t="shared" si="11"/>
        <v/>
      </c>
      <c r="AX11" s="675" t="str">
        <f t="shared" si="12"/>
        <v/>
      </c>
    </row>
    <row r="12" spans="1:50">
      <c r="A12" s="550">
        <f>A10+1</f>
        <v>5</v>
      </c>
      <c r="B12" s="485"/>
      <c r="C12" s="486"/>
      <c r="D12" s="487"/>
      <c r="E12" s="487"/>
      <c r="F12" s="498"/>
      <c r="G12" s="496"/>
      <c r="H12" s="488"/>
      <c r="I12" s="488"/>
      <c r="J12" s="126"/>
      <c r="K12" s="441">
        <f>A12</f>
        <v>5</v>
      </c>
      <c r="L12" s="490"/>
      <c r="M12" s="80"/>
      <c r="N12" s="525"/>
      <c r="O12" s="117"/>
      <c r="P12" s="516"/>
      <c r="Q12" s="517"/>
      <c r="R12" s="235"/>
      <c r="S12" s="236"/>
      <c r="T12" s="109">
        <f>P12*M12</f>
        <v>0</v>
      </c>
      <c r="U12" s="94">
        <f>Q12*M12</f>
        <v>0</v>
      </c>
      <c r="V12" s="117"/>
      <c r="W12" s="457">
        <f t="shared" ref="W12:AB13" si="16">C12*C$30/1000</f>
        <v>0</v>
      </c>
      <c r="X12" s="456">
        <f t="shared" si="16"/>
        <v>0</v>
      </c>
      <c r="Y12" s="456">
        <f t="shared" si="16"/>
        <v>0</v>
      </c>
      <c r="Z12" s="458">
        <f t="shared" si="16"/>
        <v>0</v>
      </c>
      <c r="AA12" s="457">
        <f t="shared" si="16"/>
        <v>0</v>
      </c>
      <c r="AB12" s="458">
        <f t="shared" si="16"/>
        <v>0</v>
      </c>
      <c r="AC12" s="121"/>
      <c r="AD12" s="209" t="str">
        <f t="shared" si="2"/>
        <v/>
      </c>
      <c r="AE12" s="67" t="str">
        <f>IF(AD12="","",AD12/$AD$14)</f>
        <v/>
      </c>
      <c r="AF12" s="22" t="str">
        <f t="shared" si="3"/>
        <v/>
      </c>
      <c r="AG12" s="64" t="str">
        <f t="shared" si="4"/>
        <v/>
      </c>
      <c r="AH12" s="674" t="str">
        <f t="shared" si="5"/>
        <v/>
      </c>
      <c r="AI12" s="675" t="str">
        <f t="shared" si="6"/>
        <v/>
      </c>
      <c r="AJ12" s="121"/>
      <c r="AK12" s="457">
        <f>C12*C$31</f>
        <v>0</v>
      </c>
      <c r="AL12" s="456">
        <f t="shared" ref="AL12:AP13" si="17">D12*D$31</f>
        <v>0</v>
      </c>
      <c r="AM12" s="456">
        <f t="shared" si="17"/>
        <v>0</v>
      </c>
      <c r="AN12" s="458">
        <f t="shared" si="17"/>
        <v>0</v>
      </c>
      <c r="AO12" s="457">
        <f t="shared" si="17"/>
        <v>0</v>
      </c>
      <c r="AP12" s="458">
        <f t="shared" si="17"/>
        <v>0</v>
      </c>
      <c r="AQ12" s="564">
        <f>I12</f>
        <v>0</v>
      </c>
      <c r="AR12" s="560"/>
      <c r="AS12" s="20" t="str">
        <f t="shared" si="13"/>
        <v/>
      </c>
      <c r="AT12" s="130" t="str">
        <f t="shared" si="8"/>
        <v/>
      </c>
      <c r="AU12" s="22" t="str">
        <f t="shared" si="9"/>
        <v/>
      </c>
      <c r="AV12" s="21" t="str">
        <f t="shared" si="10"/>
        <v/>
      </c>
      <c r="AW12" s="676" t="str">
        <f t="shared" si="11"/>
        <v/>
      </c>
      <c r="AX12" s="675" t="str">
        <f t="shared" si="12"/>
        <v/>
      </c>
    </row>
    <row r="13" spans="1:50" ht="13.8" thickBot="1">
      <c r="A13" s="550">
        <f>A12+1</f>
        <v>6</v>
      </c>
      <c r="B13" s="485"/>
      <c r="C13" s="486"/>
      <c r="D13" s="487"/>
      <c r="E13" s="487"/>
      <c r="F13" s="498"/>
      <c r="G13" s="496"/>
      <c r="H13" s="488"/>
      <c r="I13" s="488"/>
      <c r="J13" s="126"/>
      <c r="K13" s="442">
        <f>A13</f>
        <v>6</v>
      </c>
      <c r="L13" s="679"/>
      <c r="M13" s="515"/>
      <c r="N13" s="680"/>
      <c r="O13" s="117"/>
      <c r="P13" s="521"/>
      <c r="Q13" s="522"/>
      <c r="R13" s="433"/>
      <c r="S13" s="434"/>
      <c r="T13" s="483">
        <f>P13*M13</f>
        <v>0</v>
      </c>
      <c r="U13" s="484">
        <f>Q13*M13</f>
        <v>0</v>
      </c>
      <c r="V13" s="117"/>
      <c r="W13" s="457">
        <f t="shared" si="16"/>
        <v>0</v>
      </c>
      <c r="X13" s="456">
        <f t="shared" si="16"/>
        <v>0</v>
      </c>
      <c r="Y13" s="456">
        <f t="shared" si="16"/>
        <v>0</v>
      </c>
      <c r="Z13" s="458">
        <f t="shared" si="16"/>
        <v>0</v>
      </c>
      <c r="AA13" s="457">
        <f t="shared" si="16"/>
        <v>0</v>
      </c>
      <c r="AB13" s="458">
        <f t="shared" si="16"/>
        <v>0</v>
      </c>
      <c r="AC13" s="121"/>
      <c r="AD13" s="231" t="str">
        <f t="shared" si="2"/>
        <v/>
      </c>
      <c r="AE13" s="70" t="str">
        <f>IF(AD13="","",AD13/$AD$14)</f>
        <v/>
      </c>
      <c r="AF13" s="23" t="str">
        <f t="shared" si="3"/>
        <v/>
      </c>
      <c r="AG13" s="65" t="str">
        <f t="shared" si="4"/>
        <v/>
      </c>
      <c r="AH13" s="681" t="str">
        <f t="shared" si="5"/>
        <v/>
      </c>
      <c r="AI13" s="682" t="str">
        <f t="shared" si="6"/>
        <v/>
      </c>
      <c r="AJ13" s="121"/>
      <c r="AK13" s="457">
        <f>C13*C$31</f>
        <v>0</v>
      </c>
      <c r="AL13" s="456">
        <f t="shared" si="17"/>
        <v>0</v>
      </c>
      <c r="AM13" s="456">
        <f t="shared" si="17"/>
        <v>0</v>
      </c>
      <c r="AN13" s="458">
        <f t="shared" si="17"/>
        <v>0</v>
      </c>
      <c r="AO13" s="457">
        <f t="shared" si="17"/>
        <v>0</v>
      </c>
      <c r="AP13" s="458">
        <f t="shared" si="17"/>
        <v>0</v>
      </c>
      <c r="AQ13" s="564">
        <f>I13</f>
        <v>0</v>
      </c>
      <c r="AR13" s="560"/>
      <c r="AS13" s="557" t="str">
        <f t="shared" si="13"/>
        <v/>
      </c>
      <c r="AT13" s="425" t="str">
        <f t="shared" si="8"/>
        <v/>
      </c>
      <c r="AU13" s="23" t="str">
        <f t="shared" si="9"/>
        <v/>
      </c>
      <c r="AV13" s="426" t="str">
        <f t="shared" si="10"/>
        <v/>
      </c>
      <c r="AW13" s="683" t="str">
        <f t="shared" si="11"/>
        <v/>
      </c>
      <c r="AX13" s="682" t="str">
        <f t="shared" si="12"/>
        <v/>
      </c>
    </row>
    <row r="14" spans="1:50" ht="13.8" thickBot="1">
      <c r="A14" s="68"/>
      <c r="B14" s="454" t="s">
        <v>151</v>
      </c>
      <c r="C14" s="499"/>
      <c r="D14" s="500"/>
      <c r="E14" s="501"/>
      <c r="F14" s="502"/>
      <c r="G14" s="503"/>
      <c r="H14" s="504"/>
      <c r="I14" s="504"/>
      <c r="J14" s="124"/>
      <c r="K14" s="3"/>
      <c r="R14" s="112" t="str">
        <f>IF(K14="","",IF(#REF!=FALSE,1,#REF!/#REF!))</f>
        <v/>
      </c>
      <c r="S14" s="142" t="str">
        <f>IF(K14="","",IF(#REF!=FALSE,1,#REF!/#REF!))</f>
        <v/>
      </c>
      <c r="V14" s="117"/>
      <c r="W14" s="450"/>
      <c r="X14" s="445"/>
      <c r="Y14" s="445"/>
      <c r="Z14" s="451"/>
      <c r="AA14" s="450"/>
      <c r="AB14" s="451"/>
      <c r="AC14" s="121"/>
      <c r="AD14" s="230">
        <f>SUM(AD5:AD13)</f>
        <v>92000</v>
      </c>
      <c r="AE14" s="66">
        <f>SUM(AE5:AE13)</f>
        <v>1</v>
      </c>
      <c r="AI14" s="129">
        <f>SUM(AI6:AI13)</f>
        <v>4.1666666666666664E-2</v>
      </c>
      <c r="AJ14" s="232"/>
      <c r="AK14" s="466"/>
      <c r="AL14" s="467"/>
      <c r="AM14" s="468"/>
      <c r="AN14" s="470"/>
      <c r="AO14" s="466"/>
      <c r="AP14" s="470"/>
      <c r="AQ14" s="565"/>
      <c r="AR14" s="560"/>
      <c r="AS14" s="18">
        <f>SUM(AS5:AS13)</f>
        <v>25894000</v>
      </c>
      <c r="AT14" s="131">
        <f>SUM(AT5:AT13)</f>
        <v>1</v>
      </c>
      <c r="AX14" s="129">
        <f>SUM(AX6:AX13)</f>
        <v>0</v>
      </c>
    </row>
    <row r="15" spans="1:50" ht="13.8" thickBot="1">
      <c r="A15" s="550">
        <f>A13+1</f>
        <v>7</v>
      </c>
      <c r="B15" s="485"/>
      <c r="C15" s="486"/>
      <c r="D15" s="487"/>
      <c r="E15" s="487"/>
      <c r="F15" s="498"/>
      <c r="G15" s="496"/>
      <c r="H15" s="488"/>
      <c r="I15" s="488"/>
      <c r="J15" s="126"/>
      <c r="K15" s="3"/>
      <c r="R15" s="112" t="str">
        <f>IF(K15="","",IF(#REF!=FALSE,1,#REF!/#REF!))</f>
        <v/>
      </c>
      <c r="S15" s="142" t="str">
        <f>IF(K15="","",IF(#REF!=FALSE,1,#REF!/#REF!))</f>
        <v/>
      </c>
      <c r="V15" s="117"/>
      <c r="W15" s="457">
        <f t="shared" ref="W15:AB16" si="18">C15*C$30/1000</f>
        <v>0</v>
      </c>
      <c r="X15" s="456">
        <f t="shared" si="18"/>
        <v>0</v>
      </c>
      <c r="Y15" s="456">
        <f t="shared" si="18"/>
        <v>0</v>
      </c>
      <c r="Z15" s="458">
        <f t="shared" si="18"/>
        <v>0</v>
      </c>
      <c r="AA15" s="457">
        <f t="shared" si="18"/>
        <v>0</v>
      </c>
      <c r="AB15" s="458">
        <f t="shared" si="18"/>
        <v>0</v>
      </c>
      <c r="AC15" s="121"/>
      <c r="AJ15" s="208"/>
      <c r="AK15" s="457">
        <f>C15*C$31</f>
        <v>0</v>
      </c>
      <c r="AL15" s="456">
        <f t="shared" ref="AL15:AP16" si="19">D15*D$31</f>
        <v>0</v>
      </c>
      <c r="AM15" s="456">
        <f t="shared" si="19"/>
        <v>0</v>
      </c>
      <c r="AN15" s="458">
        <f t="shared" si="19"/>
        <v>0</v>
      </c>
      <c r="AO15" s="457">
        <f t="shared" si="19"/>
        <v>0</v>
      </c>
      <c r="AP15" s="458">
        <f t="shared" si="19"/>
        <v>0</v>
      </c>
      <c r="AQ15" s="564"/>
      <c r="AR15" s="560"/>
    </row>
    <row r="16" spans="1:50" ht="13.8" thickBot="1">
      <c r="A16" s="550">
        <f>A15+1</f>
        <v>8</v>
      </c>
      <c r="B16" s="489"/>
      <c r="C16" s="493"/>
      <c r="D16" s="505"/>
      <c r="E16" s="505"/>
      <c r="F16" s="506"/>
      <c r="G16" s="507"/>
      <c r="H16" s="508"/>
      <c r="I16" s="508"/>
      <c r="J16" s="126"/>
      <c r="K16" s="3"/>
      <c r="R16" s="113" t="str">
        <f>IF(K16="","",IF(#REF!=FALSE,1,#REF!/#REF!))</f>
        <v/>
      </c>
      <c r="S16" s="143" t="str">
        <f>IF(K16="","",IF(#REF!=FALSE,1,#REF!/#REF!))</f>
        <v/>
      </c>
      <c r="V16" s="117"/>
      <c r="W16" s="459">
        <f t="shared" si="18"/>
        <v>0</v>
      </c>
      <c r="X16" s="570">
        <f t="shared" si="18"/>
        <v>0</v>
      </c>
      <c r="Y16" s="570">
        <f t="shared" si="18"/>
        <v>0</v>
      </c>
      <c r="Z16" s="571">
        <f t="shared" si="18"/>
        <v>0</v>
      </c>
      <c r="AA16" s="457">
        <f t="shared" si="18"/>
        <v>0</v>
      </c>
      <c r="AB16" s="458">
        <f t="shared" si="18"/>
        <v>0</v>
      </c>
      <c r="AC16" s="99" t="s">
        <v>152</v>
      </c>
      <c r="AJ16" s="208"/>
      <c r="AK16" s="457">
        <f>C16*C$31</f>
        <v>0</v>
      </c>
      <c r="AL16" s="456">
        <f t="shared" si="19"/>
        <v>0</v>
      </c>
      <c r="AM16" s="456">
        <f t="shared" si="19"/>
        <v>0</v>
      </c>
      <c r="AN16" s="458">
        <f t="shared" si="19"/>
        <v>0</v>
      </c>
      <c r="AO16" s="457">
        <f t="shared" si="19"/>
        <v>0</v>
      </c>
      <c r="AP16" s="458">
        <f t="shared" si="19"/>
        <v>0</v>
      </c>
      <c r="AQ16" s="566"/>
      <c r="AR16" s="567" t="s">
        <v>152</v>
      </c>
    </row>
    <row r="17" spans="1:45" ht="13.8" thickBot="1">
      <c r="A17" s="551"/>
      <c r="B17" s="452" t="s">
        <v>152</v>
      </c>
      <c r="C17" s="88">
        <f t="shared" ref="C17:I17" si="20">SUM(C5:C16)</f>
        <v>15000000</v>
      </c>
      <c r="D17" s="88">
        <f t="shared" si="20"/>
        <v>58000000</v>
      </c>
      <c r="E17" s="88">
        <f t="shared" si="20"/>
        <v>0</v>
      </c>
      <c r="F17" s="88">
        <f t="shared" si="20"/>
        <v>19000000</v>
      </c>
      <c r="G17" s="88">
        <f t="shared" si="20"/>
        <v>0</v>
      </c>
      <c r="H17" s="140">
        <f t="shared" si="20"/>
        <v>0</v>
      </c>
      <c r="I17" s="140">
        <f t="shared" si="20"/>
        <v>10010000</v>
      </c>
      <c r="J17" s="127"/>
      <c r="K17" s="3"/>
      <c r="T17" s="115">
        <f>SUM(T6:T13)</f>
        <v>96000</v>
      </c>
      <c r="U17" s="116">
        <f>SUM(U6:U13)</f>
        <v>25894000</v>
      </c>
      <c r="V17" s="117"/>
      <c r="W17" s="96">
        <f t="shared" ref="W17:AB17" si="21">SUM(W5:W13)</f>
        <v>15000</v>
      </c>
      <c r="X17" s="96">
        <f t="shared" si="21"/>
        <v>58000</v>
      </c>
      <c r="Y17" s="99">
        <f t="shared" si="21"/>
        <v>0</v>
      </c>
      <c r="Z17" s="99">
        <f t="shared" si="21"/>
        <v>19000</v>
      </c>
      <c r="AA17" s="96">
        <f t="shared" si="21"/>
        <v>0</v>
      </c>
      <c r="AB17" s="100">
        <f t="shared" si="21"/>
        <v>0</v>
      </c>
      <c r="AC17" s="99">
        <f>SUM(W17:AB17)</f>
        <v>92000</v>
      </c>
      <c r="AD17" s="46"/>
      <c r="AJ17" s="208"/>
      <c r="AK17" s="96">
        <f t="shared" ref="AK17:AQ17" si="22">SUM(AK5:AK13)</f>
        <v>3240000</v>
      </c>
      <c r="AL17" s="97">
        <f t="shared" si="22"/>
        <v>12644000</v>
      </c>
      <c r="AM17" s="98">
        <f t="shared" si="22"/>
        <v>0</v>
      </c>
      <c r="AN17" s="99">
        <f t="shared" si="22"/>
        <v>0</v>
      </c>
      <c r="AO17" s="97">
        <f t="shared" si="22"/>
        <v>0</v>
      </c>
      <c r="AP17" s="97">
        <f t="shared" si="22"/>
        <v>0</v>
      </c>
      <c r="AQ17" s="97">
        <f t="shared" si="22"/>
        <v>10010000</v>
      </c>
      <c r="AR17" s="99">
        <f>SUM(AK17:AQ17)</f>
        <v>25894000</v>
      </c>
      <c r="AS17" s="46"/>
    </row>
    <row r="18" spans="1:45" ht="16.5" customHeight="1" thickBot="1">
      <c r="C18" s="119"/>
      <c r="D18" s="119"/>
      <c r="E18" s="119"/>
      <c r="F18" s="119"/>
      <c r="G18" s="141"/>
      <c r="H18" s="141"/>
      <c r="I18" s="141"/>
      <c r="J18" s="3"/>
      <c r="K18" s="3"/>
      <c r="V18" s="117"/>
      <c r="W18" s="96">
        <f>SUM(W5:W16)</f>
        <v>15000</v>
      </c>
      <c r="X18" s="96">
        <f>SUM(X5:X16)</f>
        <v>58000</v>
      </c>
      <c r="Y18" s="99">
        <f>SUM(Y5:Y16)</f>
        <v>0</v>
      </c>
      <c r="Z18" s="100">
        <f>SUM(Z5:Z16)</f>
        <v>19000</v>
      </c>
      <c r="AA18" s="46"/>
      <c r="AB18" s="46"/>
      <c r="AC18" s="99">
        <f>SUM(W18:Z18)</f>
        <v>92000</v>
      </c>
      <c r="AD18" s="99">
        <f>H35</f>
        <v>92000</v>
      </c>
      <c r="AJ18" s="208"/>
      <c r="AK18" s="96">
        <f>SUM(AK5:AK16)</f>
        <v>3240000</v>
      </c>
      <c r="AL18" s="98">
        <f>SUM(AL5:AL16)</f>
        <v>12644000</v>
      </c>
      <c r="AM18" s="100">
        <f>SUM(AM5:AM16)</f>
        <v>0</v>
      </c>
      <c r="AN18" s="100">
        <f>SUM(AN5:AN16)</f>
        <v>0</v>
      </c>
      <c r="AO18" s="46"/>
      <c r="AP18" s="46"/>
      <c r="AQ18" s="100">
        <f>SUM(AQ5:AQ16)</f>
        <v>10010000</v>
      </c>
      <c r="AR18" s="99">
        <f>SUM(AK18:AQ18)</f>
        <v>25894000</v>
      </c>
      <c r="AS18" s="99">
        <f>H36</f>
        <v>25894000</v>
      </c>
    </row>
    <row r="19" spans="1:45">
      <c r="A19" s="524" t="s">
        <v>153</v>
      </c>
      <c r="B19" s="431"/>
      <c r="C19" s="427">
        <v>15000000</v>
      </c>
      <c r="D19" s="427">
        <v>58000000</v>
      </c>
      <c r="E19" s="427">
        <v>0</v>
      </c>
      <c r="F19" s="427">
        <v>19000000</v>
      </c>
      <c r="G19" s="427"/>
      <c r="H19" s="427"/>
      <c r="I19" s="427">
        <v>10010000</v>
      </c>
      <c r="J19" s="61"/>
      <c r="K19" s="1"/>
      <c r="N19" s="1"/>
      <c r="P19" s="45"/>
    </row>
    <row r="20" spans="1:45">
      <c r="A20" s="524" t="s">
        <v>154</v>
      </c>
      <c r="B20" s="431"/>
      <c r="C20" s="428"/>
      <c r="D20" s="428"/>
      <c r="E20" s="428"/>
      <c r="F20" s="428"/>
      <c r="G20" s="684">
        <f>IFERROR((SUMPRODUCT($C$15:$F$15,C20:F20)/G$17),0)</f>
        <v>0</v>
      </c>
      <c r="H20" s="684">
        <f>IFERROR((SUMPRODUCT($C$16:$F$16,C20:F20))/H$17,0)</f>
        <v>0</v>
      </c>
      <c r="I20" s="428"/>
      <c r="J20" s="48"/>
      <c r="K20" s="1"/>
      <c r="N20" s="1"/>
      <c r="P20" s="45"/>
    </row>
    <row r="21" spans="1:45">
      <c r="A21" s="145"/>
      <c r="B21" s="534"/>
      <c r="C21" s="548"/>
      <c r="D21" s="548"/>
      <c r="E21" s="548"/>
      <c r="F21" s="548"/>
      <c r="G21" s="685"/>
      <c r="H21" s="685"/>
      <c r="I21" s="685"/>
      <c r="J21" s="48"/>
      <c r="K21" s="1"/>
      <c r="N21" s="1"/>
      <c r="P21" s="45"/>
    </row>
    <row r="22" spans="1:45">
      <c r="A22" s="524" t="s">
        <v>155</v>
      </c>
      <c r="B22" s="431"/>
      <c r="C22" s="427"/>
      <c r="D22" s="427"/>
      <c r="E22" s="427"/>
      <c r="F22" s="427"/>
      <c r="G22" s="427"/>
      <c r="H22" s="427"/>
      <c r="I22" s="555"/>
      <c r="J22" s="46"/>
      <c r="Q22" s="249"/>
    </row>
    <row r="23" spans="1:45">
      <c r="A23" s="524" t="s">
        <v>156</v>
      </c>
      <c r="B23" s="431"/>
      <c r="C23" s="549"/>
      <c r="D23" s="549"/>
      <c r="E23" s="427"/>
      <c r="F23" s="427"/>
      <c r="G23" s="46"/>
      <c r="H23" s="48"/>
      <c r="I23" s="48"/>
      <c r="J23" s="46"/>
      <c r="Q23" s="249"/>
    </row>
    <row r="24" spans="1:45">
      <c r="A24" s="145"/>
      <c r="B24" s="534"/>
      <c r="C24" s="686"/>
      <c r="D24" s="687"/>
      <c r="E24" s="687"/>
      <c r="F24" s="687"/>
      <c r="G24" s="46"/>
      <c r="H24" s="48"/>
      <c r="I24" s="48"/>
      <c r="J24" s="46"/>
      <c r="Q24" s="249"/>
    </row>
    <row r="25" spans="1:45">
      <c r="A25" s="430" t="s">
        <v>157</v>
      </c>
      <c r="B25" s="431"/>
      <c r="C25" s="552">
        <f>C19-C22</f>
        <v>15000000</v>
      </c>
      <c r="D25" s="552">
        <f>D19-D22</f>
        <v>58000000</v>
      </c>
      <c r="E25" s="552">
        <f>E19-E22-E23</f>
        <v>0</v>
      </c>
      <c r="F25" s="552">
        <f t="shared" ref="F25" si="23">F19-F22-F23</f>
        <v>19000000</v>
      </c>
      <c r="G25" s="46"/>
      <c r="H25" s="48"/>
      <c r="I25" s="552">
        <f t="shared" ref="I25" si="24">I19-I22-I23</f>
        <v>10010000</v>
      </c>
      <c r="J25" s="46"/>
      <c r="Q25" s="249"/>
    </row>
    <row r="26" spans="1:45">
      <c r="A26" s="145"/>
      <c r="B26" s="534"/>
      <c r="C26" s="686"/>
      <c r="D26" s="687"/>
      <c r="E26" s="687"/>
      <c r="F26" s="687"/>
      <c r="G26" s="46"/>
      <c r="H26" s="48"/>
      <c r="I26" s="48"/>
      <c r="J26" s="46"/>
      <c r="Q26" s="249"/>
    </row>
    <row r="27" spans="1:45">
      <c r="A27" s="524" t="s">
        <v>158</v>
      </c>
      <c r="B27" s="431"/>
      <c r="C27" s="429">
        <f>C17-C25</f>
        <v>0</v>
      </c>
      <c r="D27" s="429">
        <f>D25-D17</f>
        <v>0</v>
      </c>
      <c r="E27" s="429">
        <f>E25-E17</f>
        <v>0</v>
      </c>
      <c r="F27" s="429">
        <f>F25-F17</f>
        <v>0</v>
      </c>
      <c r="G27" s="47"/>
      <c r="H27" s="48"/>
      <c r="I27" s="48"/>
      <c r="J27" s="45"/>
      <c r="K27" s="1"/>
    </row>
    <row r="28" spans="1:45">
      <c r="A28" s="524" t="s">
        <v>159</v>
      </c>
      <c r="B28" s="431"/>
      <c r="C28" s="553">
        <f>IFERROR(0,(C27/C25))</f>
        <v>0</v>
      </c>
      <c r="D28" s="553">
        <f>IFERROR(0,(D27/D25))</f>
        <v>0</v>
      </c>
      <c r="E28" s="553">
        <f>IFERROR(0,(E27/E25))</f>
        <v>0</v>
      </c>
      <c r="F28" s="553">
        <f>IFERROR(0,(F27/F25))</f>
        <v>0</v>
      </c>
      <c r="G28" s="48"/>
      <c r="H28" s="48"/>
      <c r="I28" s="48"/>
      <c r="J28" s="46"/>
      <c r="L28" s="1"/>
      <c r="M28" s="1"/>
    </row>
    <row r="29" spans="1:45">
      <c r="A29" s="534"/>
      <c r="B29" s="534"/>
      <c r="C29" s="95"/>
      <c r="D29" s="95"/>
      <c r="E29" s="95"/>
      <c r="F29" s="95"/>
      <c r="G29" s="48"/>
      <c r="H29" s="48"/>
      <c r="I29" s="48"/>
      <c r="J29" s="46"/>
      <c r="L29" s="1"/>
      <c r="M29" s="1"/>
    </row>
    <row r="30" spans="1:45">
      <c r="A30" s="524" t="s">
        <v>160</v>
      </c>
      <c r="B30" s="179"/>
      <c r="C30" s="526">
        <f>Paramètres!C10</f>
        <v>1</v>
      </c>
      <c r="D30" s="526">
        <f>Paramètres!D10</f>
        <v>1</v>
      </c>
      <c r="E30" s="526">
        <f>Paramètres!E10</f>
        <v>10.6</v>
      </c>
      <c r="F30" s="526">
        <f>Paramètres!F10</f>
        <v>1</v>
      </c>
      <c r="G30" s="526">
        <f>IFERROR(SUMPRODUCT($C$15:$F$15,C30:F30)/G$17,0)</f>
        <v>0</v>
      </c>
      <c r="H30" s="526">
        <f>IFERROR(SUMPRODUCT($C$16:$F$16,C30:F30)/H$17,0)</f>
        <v>0</v>
      </c>
      <c r="I30" s="688"/>
      <c r="J30" s="48"/>
      <c r="L30" s="1"/>
    </row>
    <row r="31" spans="1:45">
      <c r="A31" s="524" t="s">
        <v>161</v>
      </c>
      <c r="B31" s="179"/>
      <c r="C31" s="432">
        <f>Paramètres!C12</f>
        <v>0.216</v>
      </c>
      <c r="D31" s="432">
        <f>Paramètres!D12</f>
        <v>0.218</v>
      </c>
      <c r="E31" s="432">
        <f>Paramètres!E12</f>
        <v>3.2568999999999999</v>
      </c>
      <c r="F31" s="432">
        <f>Paramètres!F12</f>
        <v>0</v>
      </c>
      <c r="G31" s="689">
        <f>IFERROR(SUMPRODUCT($C$15:$F$15,C31:F31)/G$17,0)</f>
        <v>0</v>
      </c>
      <c r="H31" s="689">
        <f>IFERROR(SUMPRODUCT($C$16:$F$16,C31:F31)/H$17,0)</f>
        <v>0</v>
      </c>
      <c r="I31" s="690"/>
      <c r="J31" s="48"/>
      <c r="L31" s="1"/>
    </row>
    <row r="32" spans="1:45" ht="13.8" thickBot="1">
      <c r="J32" s="117"/>
    </row>
    <row r="33" spans="1:36" ht="26.4">
      <c r="A33" s="509">
        <f>B2</f>
        <v>2023</v>
      </c>
      <c r="B33" s="510"/>
      <c r="C33" s="539" t="str">
        <f>C3</f>
        <v>Electricité 
achetée</v>
      </c>
      <c r="D33" s="540" t="str">
        <f>D3</f>
        <v>Gaz Naturel</v>
      </c>
      <c r="E33" s="540" t="str">
        <f>E3</f>
        <v>Fuel léger</v>
      </c>
      <c r="F33" s="541" t="str">
        <f>F3</f>
        <v>Biogaz</v>
      </c>
      <c r="G33" s="541" t="s">
        <v>122</v>
      </c>
      <c r="H33" s="723" t="s">
        <v>152</v>
      </c>
      <c r="I33" s="723"/>
      <c r="K33" s="145"/>
      <c r="W33" s="145"/>
      <c r="X33" s="145"/>
      <c r="Y33" s="145"/>
      <c r="Z33" s="145"/>
      <c r="AA33" s="145"/>
      <c r="AB33" s="145"/>
      <c r="AC33" s="145"/>
      <c r="AJ33" s="145"/>
    </row>
    <row r="34" spans="1:36" ht="13.8" thickBot="1">
      <c r="A34" s="511"/>
      <c r="B34" s="512"/>
      <c r="C34" s="542"/>
      <c r="D34" s="543"/>
      <c r="E34" s="543"/>
      <c r="F34" s="544"/>
      <c r="G34" s="544"/>
      <c r="H34" s="241"/>
      <c r="I34" s="242"/>
      <c r="K34" s="145"/>
      <c r="P34"/>
      <c r="W34" s="145"/>
      <c r="X34" s="145"/>
      <c r="Y34" s="145"/>
      <c r="Z34" s="145"/>
      <c r="AA34" s="145"/>
      <c r="AB34" s="145"/>
      <c r="AC34" s="145"/>
      <c r="AJ34" s="145"/>
    </row>
    <row r="35" spans="1:36">
      <c r="A35" s="513" t="s">
        <v>112</v>
      </c>
      <c r="B35" s="514"/>
      <c r="C35" s="545">
        <f>C25*C30/1000</f>
        <v>15000</v>
      </c>
      <c r="D35" s="546">
        <f>D25*D30/1000</f>
        <v>58000</v>
      </c>
      <c r="E35" s="546">
        <f>E25*E30/1000</f>
        <v>0</v>
      </c>
      <c r="F35" s="547">
        <f>F25*F30/1000</f>
        <v>19000</v>
      </c>
      <c r="G35" s="556"/>
      <c r="H35" s="243">
        <f>SUM(C35:F35)</f>
        <v>92000</v>
      </c>
      <c r="I35" s="244" t="s">
        <v>162</v>
      </c>
      <c r="W35" s="145"/>
      <c r="X35" s="145"/>
      <c r="Y35" s="145"/>
      <c r="Z35" s="145"/>
      <c r="AA35" s="145"/>
      <c r="AB35" s="145"/>
      <c r="AC35" s="145"/>
      <c r="AJ35" s="145"/>
    </row>
    <row r="36" spans="1:36">
      <c r="A36" s="513" t="s">
        <v>163</v>
      </c>
      <c r="B36" s="514"/>
      <c r="C36" s="545">
        <f>C31*C25</f>
        <v>3240000</v>
      </c>
      <c r="D36" s="546">
        <f>D31*D25</f>
        <v>12644000</v>
      </c>
      <c r="E36" s="546">
        <f>E31*E25</f>
        <v>0</v>
      </c>
      <c r="F36" s="547">
        <f>F31*F25</f>
        <v>0</v>
      </c>
      <c r="G36" s="547">
        <f>I19</f>
        <v>10010000</v>
      </c>
      <c r="H36" s="243">
        <f>SUM(C36:G36)</f>
        <v>25894000</v>
      </c>
      <c r="I36" s="244" t="s">
        <v>20</v>
      </c>
      <c r="W36" s="145"/>
      <c r="X36" s="145"/>
      <c r="Y36" s="145"/>
      <c r="Z36" s="145"/>
      <c r="AA36" s="145"/>
      <c r="AB36" s="145"/>
      <c r="AC36" s="145"/>
      <c r="AJ36" s="145"/>
    </row>
    <row r="37" spans="1:36">
      <c r="A37" s="513" t="s">
        <v>164</v>
      </c>
      <c r="B37" s="514"/>
      <c r="C37" s="545">
        <f>IFERROR(C36/C35,0)</f>
        <v>216</v>
      </c>
      <c r="D37" s="546">
        <f t="shared" ref="D37:F37" si="25">IFERROR(D36/D35,0)</f>
        <v>218</v>
      </c>
      <c r="E37" s="546">
        <f t="shared" si="25"/>
        <v>0</v>
      </c>
      <c r="F37" s="547">
        <f t="shared" si="25"/>
        <v>0</v>
      </c>
      <c r="G37" s="556"/>
      <c r="H37" s="243">
        <f>H36/H35</f>
        <v>281.45652173913044</v>
      </c>
      <c r="I37" s="244" t="s">
        <v>165</v>
      </c>
      <c r="W37" s="145"/>
      <c r="X37" s="145"/>
      <c r="Y37" s="145"/>
      <c r="Z37" s="145"/>
      <c r="AA37" s="145"/>
      <c r="AB37" s="145"/>
      <c r="AC37" s="145"/>
      <c r="AJ37" s="145"/>
    </row>
    <row r="38" spans="1:36" ht="13.8" thickBot="1">
      <c r="A38" s="691" t="s">
        <v>166</v>
      </c>
      <c r="B38" s="692"/>
      <c r="C38" s="693">
        <f>C20*C25</f>
        <v>0</v>
      </c>
      <c r="D38" s="694">
        <f>D20*D25</f>
        <v>0</v>
      </c>
      <c r="E38" s="694">
        <f>E20*E25</f>
        <v>0</v>
      </c>
      <c r="F38" s="695">
        <f>F20*F25</f>
        <v>0</v>
      </c>
      <c r="G38" s="695">
        <f>I20*I25</f>
        <v>0</v>
      </c>
      <c r="H38" s="245">
        <f>SUM(C38:G38)</f>
        <v>0</v>
      </c>
      <c r="I38" s="246" t="s">
        <v>167</v>
      </c>
    </row>
    <row r="39" spans="1:36">
      <c r="A39" s="696"/>
      <c r="B39" s="696"/>
      <c r="C39" s="227"/>
      <c r="D39" s="227"/>
      <c r="E39" s="227"/>
      <c r="F39" s="227"/>
      <c r="G39" s="83"/>
      <c r="H39" s="84"/>
      <c r="I39" s="84"/>
      <c r="J39" s="84"/>
      <c r="W39" s="145"/>
      <c r="X39" s="145"/>
      <c r="Y39" s="145"/>
      <c r="Z39" s="145"/>
      <c r="AA39" s="145"/>
      <c r="AB39" s="145"/>
      <c r="AC39" s="145"/>
      <c r="AJ39" s="145"/>
    </row>
    <row r="40" spans="1:36" ht="13.8" thickBot="1">
      <c r="A40" s="696"/>
      <c r="B40" s="696"/>
      <c r="C40" s="227"/>
      <c r="D40" s="227"/>
      <c r="E40" s="227"/>
      <c r="F40" s="227"/>
      <c r="G40" s="83"/>
      <c r="H40" s="84"/>
      <c r="I40" s="84"/>
      <c r="J40" s="84"/>
      <c r="K40" s="81"/>
      <c r="W40" s="145"/>
      <c r="X40" s="145"/>
      <c r="Y40" s="145"/>
      <c r="Z40" s="145"/>
      <c r="AA40" s="145"/>
      <c r="AB40" s="145"/>
      <c r="AC40" s="145"/>
      <c r="AJ40" s="145"/>
    </row>
    <row r="41" spans="1:36" ht="15" thickBot="1">
      <c r="A41" s="523" t="s">
        <v>168</v>
      </c>
      <c r="B41" s="482"/>
      <c r="C41" s="482"/>
      <c r="D41" s="145"/>
      <c r="E41" s="128"/>
      <c r="F41" s="227"/>
      <c r="G41" s="85"/>
      <c r="H41" s="84"/>
      <c r="I41" s="84"/>
      <c r="J41" s="86"/>
      <c r="W41" s="145"/>
      <c r="X41" s="145"/>
      <c r="Y41" s="145"/>
      <c r="Z41" s="145"/>
      <c r="AA41" s="145"/>
      <c r="AB41" s="145"/>
      <c r="AC41" s="145"/>
      <c r="AJ41" s="145"/>
    </row>
    <row r="42" spans="1:36" ht="14.4">
      <c r="A42" s="482"/>
      <c r="B42" s="482"/>
      <c r="C42" s="482"/>
      <c r="D42" s="145"/>
      <c r="E42" s="128"/>
      <c r="F42" s="227"/>
      <c r="G42" s="145"/>
      <c r="H42" s="84"/>
      <c r="I42" s="84"/>
      <c r="J42" s="145"/>
      <c r="K42" s="81"/>
      <c r="L42" s="144"/>
      <c r="W42" s="145"/>
      <c r="X42" s="145"/>
      <c r="Y42" s="145"/>
      <c r="Z42" s="145"/>
      <c r="AA42" s="145"/>
      <c r="AB42" s="145"/>
      <c r="AC42" s="145"/>
      <c r="AJ42" s="145"/>
    </row>
    <row r="43" spans="1:36" ht="14.4">
      <c r="A43" s="527" t="s">
        <v>169</v>
      </c>
      <c r="B43" s="528">
        <f>H35/T17</f>
        <v>0.95833333333333337</v>
      </c>
      <c r="C43" s="529"/>
      <c r="D43" s="697"/>
      <c r="E43" s="697"/>
      <c r="F43" s="697"/>
      <c r="G43" s="82"/>
      <c r="H43" s="82"/>
      <c r="I43" s="82"/>
      <c r="J43" s="82"/>
      <c r="W43" s="145"/>
      <c r="X43" s="145"/>
      <c r="Y43" s="145"/>
      <c r="Z43" s="145"/>
      <c r="AA43" s="145"/>
      <c r="AB43" s="145"/>
      <c r="AC43" s="145"/>
      <c r="AJ43" s="145"/>
    </row>
    <row r="44" spans="1:36" ht="14.4">
      <c r="A44" s="530" t="s">
        <v>170</v>
      </c>
      <c r="B44" s="531">
        <f>H36/H35</f>
        <v>281.45652173913044</v>
      </c>
      <c r="C44" s="532" t="s">
        <v>165</v>
      </c>
      <c r="D44" s="227"/>
      <c r="E44" s="227"/>
      <c r="F44" s="227"/>
      <c r="G44" s="83"/>
      <c r="H44" s="84"/>
      <c r="I44" s="84"/>
      <c r="J44" s="84"/>
      <c r="W44" s="145"/>
      <c r="X44" s="145"/>
      <c r="Y44" s="145"/>
      <c r="Z44" s="145"/>
      <c r="AA44" s="145"/>
      <c r="AB44" s="145"/>
      <c r="AC44" s="145"/>
      <c r="AJ44" s="145"/>
    </row>
    <row r="45" spans="1:36" ht="14.4">
      <c r="A45" s="530" t="s">
        <v>171</v>
      </c>
      <c r="B45" s="528">
        <f>F35/H35</f>
        <v>0.20652173913043478</v>
      </c>
      <c r="C45" s="533"/>
      <c r="D45" s="227"/>
      <c r="E45" s="227"/>
      <c r="F45" s="227"/>
      <c r="G45" s="83"/>
      <c r="H45" s="84"/>
      <c r="I45" s="84"/>
      <c r="J45" s="84"/>
      <c r="W45" s="145"/>
      <c r="X45" s="145"/>
      <c r="Y45" s="145"/>
      <c r="Z45" s="145"/>
      <c r="AA45" s="145"/>
      <c r="AB45" s="145"/>
      <c r="AC45" s="145"/>
      <c r="AJ45" s="145"/>
    </row>
    <row r="46" spans="1:36" ht="13.8" thickBot="1"/>
    <row r="47" spans="1:36" s="50" customFormat="1" ht="14.4" thickBot="1">
      <c r="A47" s="523" t="s">
        <v>172</v>
      </c>
      <c r="B47" s="145"/>
      <c r="C47" s="145"/>
      <c r="D47" s="145"/>
      <c r="E47" s="128"/>
      <c r="F47" s="128"/>
      <c r="G47" s="145"/>
      <c r="H47" s="145"/>
      <c r="I47" s="145"/>
      <c r="J47" s="145"/>
      <c r="K47" s="145"/>
      <c r="L47" s="145"/>
      <c r="M47" s="145"/>
      <c r="N47" s="145"/>
      <c r="O47" s="145"/>
      <c r="P47" s="128"/>
      <c r="Q47" s="128"/>
      <c r="R47" s="145"/>
      <c r="S47" s="145"/>
      <c r="T47" s="128"/>
      <c r="U47" s="128"/>
      <c r="V47" s="145"/>
      <c r="W47"/>
      <c r="X47"/>
      <c r="Y47"/>
      <c r="Z47"/>
      <c r="AA47"/>
      <c r="AB47"/>
      <c r="AC47"/>
      <c r="AD47" s="145"/>
      <c r="AE47" s="145"/>
      <c r="AF47" s="145"/>
      <c r="AG47" s="145"/>
      <c r="AH47" s="145"/>
      <c r="AI47" s="145"/>
      <c r="AJ47"/>
    </row>
    <row r="48" spans="1:36" s="50" customFormat="1">
      <c r="A48" s="145"/>
      <c r="B48" s="145"/>
      <c r="C48" s="145"/>
      <c r="D48" s="145"/>
      <c r="E48" s="128"/>
      <c r="F48" s="128"/>
      <c r="G48" s="145"/>
      <c r="H48" s="145"/>
      <c r="I48" s="145"/>
      <c r="J48" s="145"/>
      <c r="K48" s="145"/>
      <c r="L48" s="145"/>
      <c r="M48" s="145"/>
      <c r="N48" s="145"/>
      <c r="O48" s="145"/>
      <c r="P48" s="128"/>
      <c r="Q48" s="128"/>
      <c r="R48" s="145"/>
      <c r="S48" s="145"/>
      <c r="T48" s="128"/>
      <c r="U48" s="128"/>
      <c r="V48" s="145"/>
      <c r="W48"/>
      <c r="X48"/>
      <c r="Y48"/>
      <c r="Z48"/>
      <c r="AA48"/>
      <c r="AB48"/>
      <c r="AC48"/>
      <c r="AD48" s="145"/>
      <c r="AE48" s="145"/>
      <c r="AF48" s="145"/>
      <c r="AG48" s="145"/>
      <c r="AH48" s="145"/>
      <c r="AI48" s="145"/>
      <c r="AJ48"/>
    </row>
    <row r="49" spans="1:36" s="50" customFormat="1" ht="14.4">
      <c r="A49" s="527" t="s">
        <v>173</v>
      </c>
      <c r="B49" s="528">
        <f>1-B43</f>
        <v>4.166666666666663E-2</v>
      </c>
      <c r="C49" s="145"/>
      <c r="D49" s="145"/>
      <c r="E49" s="128"/>
      <c r="F49" s="128"/>
      <c r="G49" s="145"/>
      <c r="H49" s="145"/>
      <c r="I49" s="145"/>
      <c r="J49" s="145"/>
      <c r="K49" s="145"/>
      <c r="L49" s="145"/>
      <c r="M49" s="145"/>
      <c r="N49" s="145"/>
      <c r="O49" s="145"/>
      <c r="P49" s="128"/>
      <c r="Q49" s="128"/>
      <c r="R49" s="145"/>
      <c r="S49" s="145"/>
      <c r="T49" s="128"/>
      <c r="U49" s="128"/>
      <c r="V49" s="145"/>
      <c r="W49"/>
      <c r="X49"/>
      <c r="Y49"/>
      <c r="Z49"/>
      <c r="AA49"/>
      <c r="AB49"/>
      <c r="AC49"/>
      <c r="AD49" s="145"/>
      <c r="AE49" s="145"/>
      <c r="AF49" s="145"/>
      <c r="AG49" s="145"/>
      <c r="AH49" s="145"/>
      <c r="AI49" s="145"/>
      <c r="AJ49"/>
    </row>
    <row r="50" spans="1:36" s="50" customFormat="1" ht="14.4">
      <c r="A50" s="527" t="s">
        <v>174</v>
      </c>
      <c r="B50" s="528">
        <f>H36/U17</f>
        <v>1</v>
      </c>
      <c r="C50" s="145"/>
      <c r="D50" s="145"/>
      <c r="E50" s="128"/>
      <c r="F50" s="128"/>
      <c r="G50" s="145"/>
      <c r="H50" s="145"/>
      <c r="I50" s="145"/>
      <c r="J50" s="145"/>
      <c r="K50" s="145"/>
      <c r="L50" s="145"/>
      <c r="M50" s="145"/>
      <c r="N50" s="145"/>
      <c r="O50" s="145"/>
      <c r="P50" s="128"/>
      <c r="Q50" s="128"/>
      <c r="R50" s="145"/>
      <c r="S50" s="145"/>
      <c r="T50" s="128"/>
      <c r="U50" s="128"/>
      <c r="V50" s="145"/>
      <c r="W50"/>
      <c r="X50"/>
      <c r="Y50"/>
      <c r="Z50"/>
      <c r="AA50"/>
      <c r="AB50"/>
      <c r="AC50"/>
      <c r="AD50" s="145"/>
      <c r="AE50" s="145"/>
      <c r="AF50" s="145"/>
      <c r="AG50" s="145"/>
      <c r="AH50" s="145"/>
      <c r="AI50" s="145"/>
      <c r="AJ50"/>
    </row>
    <row r="51" spans="1:36" ht="14.4">
      <c r="A51" s="527" t="s">
        <v>175</v>
      </c>
      <c r="B51" s="528">
        <f>1-B50</f>
        <v>0</v>
      </c>
    </row>
  </sheetData>
  <mergeCells count="19">
    <mergeCell ref="C2:F2"/>
    <mergeCell ref="G2:H2"/>
    <mergeCell ref="K2:N2"/>
    <mergeCell ref="P2:Q2"/>
    <mergeCell ref="R2:S2"/>
    <mergeCell ref="H33:I33"/>
    <mergeCell ref="AS2:AV2"/>
    <mergeCell ref="AW2:AX2"/>
    <mergeCell ref="AF3:AG3"/>
    <mergeCell ref="AU3:AV3"/>
    <mergeCell ref="AF4:AG4"/>
    <mergeCell ref="AU4:AV4"/>
    <mergeCell ref="W2:Z2"/>
    <mergeCell ref="AA2:AB2"/>
    <mergeCell ref="AD2:AG2"/>
    <mergeCell ref="AH2:AI2"/>
    <mergeCell ref="AK2:AN2"/>
    <mergeCell ref="AO2:AP2"/>
    <mergeCell ref="T2:U2"/>
  </mergeCells>
  <phoneticPr fontId="42" type="noConversion"/>
  <conditionalFormatting sqref="AD6:AD13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6:AE13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31" priority="8" operator="greaterThan">
      <formula>0.04</formula>
    </cfRule>
  </conditionalFormatting>
  <conditionalFormatting sqref="AH7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8:AH13 AH6">
    <cfRule type="colorScale" priority="9">
      <colorScale>
        <cfvo type="min"/>
        <cfvo type="max"/>
        <color rgb="FFFFEF9C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7">
    <cfRule type="colorScale" priority="4">
      <colorScale>
        <cfvo type="min"/>
        <cfvo type="max"/>
        <color rgb="FFFFEF9C"/>
        <color rgb="FF63BE7B"/>
      </colorScale>
    </cfRule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8:AI13 AI6">
    <cfRule type="colorScale" priority="11">
      <colorScale>
        <cfvo type="min"/>
        <cfvo type="max"/>
        <color rgb="FFFFEF9C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6:AS13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5:AT1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7">
    <cfRule type="colorScale" priority="3">
      <colorScale>
        <cfvo type="min"/>
        <cfvo type="max"/>
        <color rgb="FFFFEF9C"/>
        <color rgb="FF63BE7B"/>
      </colorScale>
    </cfRule>
  </conditionalFormatting>
  <conditionalFormatting sqref="AX8:AX13 AX6">
    <cfRule type="colorScale" priority="15">
      <colorScale>
        <cfvo type="min"/>
        <cfvo type="max"/>
        <color rgb="FFFFEF9C"/>
        <color rgb="FF63BE7B"/>
      </colorScale>
    </cfRule>
  </conditionalFormatting>
  <pageMargins left="0.74803149606299213" right="0.74803149606299213" top="0.98425196850393704" bottom="0.98425196850393704" header="0.51181102362204722" footer="0.51181102362204722"/>
  <pageSetup paperSize="9" scale="26" fitToHeight="2" orientation="landscape" horizontalDpi="1200" verticalDpi="1200" r:id="rId1"/>
  <headerFooter alignWithMargins="0">
    <oddHeader>&amp;LPIROTECH sprl&amp;Rjbv@pirotech.be</oddHeader>
    <oddFooter>&amp;L&amp;F&amp;R&amp;A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71378-2512-426E-91AF-9C80A322A6B7}">
  <dimension ref="B1:WQK44"/>
  <sheetViews>
    <sheetView topLeftCell="A6" zoomScaleNormal="100" workbookViewId="0">
      <selection activeCell="L42" sqref="L42"/>
    </sheetView>
  </sheetViews>
  <sheetFormatPr baseColWidth="10" defaultColWidth="8.88671875" defaultRowHeight="14.4" outlineLevelCol="1"/>
  <cols>
    <col min="1" max="1" width="2.6640625" style="585" customWidth="1"/>
    <col min="2" max="2" width="5.44140625" style="585" customWidth="1"/>
    <col min="3" max="3" width="35.44140625" style="585" customWidth="1"/>
    <col min="4" max="4" width="25.44140625" style="585" customWidth="1"/>
    <col min="5" max="5" width="8.5546875" style="585" customWidth="1"/>
    <col min="6" max="6" width="11" style="585" customWidth="1"/>
    <col min="7" max="7" width="11.44140625" style="585" customWidth="1"/>
    <col min="8" max="8" width="15.44140625" style="585" hidden="1" customWidth="1"/>
    <col min="9" max="9" width="9.21875" style="585" customWidth="1"/>
    <col min="10" max="10" width="10.44140625" style="585" customWidth="1"/>
    <col min="11" max="11" width="8.5546875" style="585" customWidth="1"/>
    <col min="12" max="12" width="29.88671875" style="585" bestFit="1" customWidth="1"/>
    <col min="13" max="13" width="30.5546875" style="585" customWidth="1"/>
    <col min="14" max="14" width="21.44140625" style="585" bestFit="1" customWidth="1"/>
    <col min="15" max="32" width="8.88671875" style="585" customWidth="1" outlineLevel="1"/>
    <col min="33" max="16384" width="8.88671875" style="585"/>
  </cols>
  <sheetData>
    <row r="1" spans="2:32 16001:16001" ht="9.6" customHeight="1"/>
    <row r="2" spans="2:32 16001:16001" ht="21" customHeight="1">
      <c r="C2" s="752" t="s">
        <v>176</v>
      </c>
      <c r="D2" s="752"/>
      <c r="E2" s="614"/>
      <c r="F2" s="614">
        <v>2023</v>
      </c>
      <c r="G2" s="614">
        <v>2005</v>
      </c>
      <c r="H2" s="587"/>
    </row>
    <row r="3" spans="2:32 16001:16001">
      <c r="C3" s="756" t="s">
        <v>177</v>
      </c>
      <c r="D3" s="757"/>
      <c r="E3" s="615"/>
      <c r="F3" s="615"/>
      <c r="G3" s="615"/>
      <c r="H3" s="587"/>
    </row>
    <row r="4" spans="2:32 16001:16001">
      <c r="C4" s="747" t="s">
        <v>178</v>
      </c>
      <c r="D4" s="747"/>
      <c r="E4" s="636" t="s">
        <v>179</v>
      </c>
      <c r="F4" s="616">
        <f>'2023'!D36/1000</f>
        <v>13080</v>
      </c>
      <c r="G4" s="616">
        <v>16132</v>
      </c>
      <c r="H4" s="588"/>
    </row>
    <row r="5" spans="2:32 16001:16001">
      <c r="C5" s="747" t="s">
        <v>180</v>
      </c>
      <c r="D5" s="747"/>
      <c r="E5" s="636" t="s">
        <v>179</v>
      </c>
      <c r="F5" s="616">
        <f>'2023'!G36/1000</f>
        <v>10010</v>
      </c>
      <c r="G5" s="616">
        <v>10020</v>
      </c>
      <c r="H5" s="588"/>
    </row>
    <row r="6" spans="2:32 16001:16001">
      <c r="C6" s="748" t="s">
        <v>181</v>
      </c>
      <c r="D6" s="749"/>
      <c r="E6" s="637"/>
      <c r="F6" s="617"/>
      <c r="G6" s="617"/>
      <c r="H6" s="588"/>
    </row>
    <row r="7" spans="2:32 16001:16001">
      <c r="C7" s="759" t="s">
        <v>182</v>
      </c>
      <c r="D7" s="759"/>
      <c r="E7" s="638" t="s">
        <v>179</v>
      </c>
      <c r="F7" s="618">
        <f>'2023'!C36/1000</f>
        <v>4320</v>
      </c>
      <c r="G7" s="618">
        <f>F7</f>
        <v>4320</v>
      </c>
      <c r="H7" s="588"/>
    </row>
    <row r="8" spans="2:32 16001:16001">
      <c r="C8" s="750" t="s">
        <v>183</v>
      </c>
      <c r="D8" s="751"/>
      <c r="E8" s="639"/>
      <c r="F8" s="619"/>
      <c r="G8" s="619"/>
      <c r="H8" s="588"/>
    </row>
    <row r="9" spans="2:32 16001:16001">
      <c r="C9" s="760" t="s">
        <v>184</v>
      </c>
      <c r="D9" s="760"/>
      <c r="E9" s="640" t="s">
        <v>142</v>
      </c>
      <c r="F9" s="620">
        <f>'2023'!T17</f>
        <v>96000</v>
      </c>
      <c r="G9" s="620">
        <v>107000</v>
      </c>
      <c r="H9" s="588"/>
    </row>
    <row r="10" spans="2:32 16001:16001">
      <c r="C10" s="760" t="s">
        <v>185</v>
      </c>
      <c r="D10" s="760"/>
      <c r="E10" s="640" t="s">
        <v>142</v>
      </c>
      <c r="F10" s="620">
        <f>'2023'!H35</f>
        <v>96000</v>
      </c>
      <c r="G10" s="620">
        <v>107000</v>
      </c>
      <c r="H10" s="588"/>
    </row>
    <row r="11" spans="2:32 16001:16001">
      <c r="C11" s="760" t="s">
        <v>186</v>
      </c>
      <c r="D11" s="760"/>
      <c r="E11" s="640" t="s">
        <v>142</v>
      </c>
      <c r="F11" s="620">
        <f>'2023'!F35</f>
        <v>16000</v>
      </c>
      <c r="G11" s="620">
        <v>0</v>
      </c>
      <c r="H11" s="588"/>
      <c r="O11" s="608" t="s">
        <v>187</v>
      </c>
      <c r="P11" s="607"/>
      <c r="Q11" s="607"/>
    </row>
    <row r="12" spans="2:32 16001:16001">
      <c r="O12" s="753" t="str">
        <f>F13</f>
        <v>Gain combustibles 
(tCO2)</v>
      </c>
      <c r="P12" s="754"/>
      <c r="Q12" s="755"/>
      <c r="R12" s="744" t="s">
        <v>188</v>
      </c>
      <c r="S12" s="745"/>
      <c r="T12" s="746"/>
      <c r="U12" s="744" t="s">
        <v>189</v>
      </c>
      <c r="V12" s="745"/>
      <c r="W12" s="746"/>
      <c r="X12" s="744" t="str">
        <f>I13</f>
        <v>Gain élec 
(tCO2)</v>
      </c>
      <c r="Y12" s="745"/>
      <c r="Z12" s="746"/>
      <c r="AA12" s="744" t="str">
        <f>J13</f>
        <v>Gain énergie 
(MWh)</v>
      </c>
      <c r="AB12" s="745"/>
      <c r="AC12" s="746"/>
      <c r="AD12" s="744" t="str">
        <f>K13</f>
        <v>Gain SER 
(MWh)</v>
      </c>
      <c r="AE12" s="745"/>
      <c r="AF12" s="746"/>
    </row>
    <row r="13" spans="2:32 16001:16001" ht="69">
      <c r="B13" s="600"/>
      <c r="C13" s="606" t="s">
        <v>190</v>
      </c>
      <c r="D13" s="606" t="s">
        <v>191</v>
      </c>
      <c r="E13" s="605" t="s">
        <v>79</v>
      </c>
      <c r="F13" s="631" t="s">
        <v>192</v>
      </c>
      <c r="G13" s="604" t="s">
        <v>193</v>
      </c>
      <c r="H13" s="604"/>
      <c r="I13" s="631" t="s">
        <v>194</v>
      </c>
      <c r="J13" s="631" t="s">
        <v>195</v>
      </c>
      <c r="K13" s="631" t="s">
        <v>196</v>
      </c>
      <c r="L13" s="604" t="s">
        <v>197</v>
      </c>
      <c r="M13" s="604" t="s">
        <v>198</v>
      </c>
      <c r="N13" s="604" t="s">
        <v>199</v>
      </c>
      <c r="O13" s="603">
        <v>2030</v>
      </c>
      <c r="P13" s="602">
        <v>2040</v>
      </c>
      <c r="Q13" s="601">
        <v>2050</v>
      </c>
      <c r="R13" s="603">
        <v>2030</v>
      </c>
      <c r="S13" s="602">
        <v>2040</v>
      </c>
      <c r="T13" s="601">
        <v>2050</v>
      </c>
      <c r="U13" s="603">
        <v>2030</v>
      </c>
      <c r="V13" s="602">
        <v>2040</v>
      </c>
      <c r="W13" s="601">
        <v>2050</v>
      </c>
      <c r="X13" s="603">
        <v>2030</v>
      </c>
      <c r="Y13" s="602">
        <v>2040</v>
      </c>
      <c r="Z13" s="601">
        <v>2050</v>
      </c>
      <c r="AA13" s="603">
        <v>2030</v>
      </c>
      <c r="AB13" s="602">
        <v>2040</v>
      </c>
      <c r="AC13" s="601">
        <v>2050</v>
      </c>
      <c r="AD13" s="603">
        <v>2030</v>
      </c>
      <c r="AE13" s="602">
        <v>2040</v>
      </c>
      <c r="AF13" s="601">
        <v>2050</v>
      </c>
      <c r="WQK13" s="585">
        <f>SUM(A13:WQJ13)</f>
        <v>36720</v>
      </c>
    </row>
    <row r="14" spans="2:32 16001:16001">
      <c r="B14" s="599" t="str">
        <f>AA0!$F$5</f>
        <v>AA0</v>
      </c>
      <c r="C14" s="597">
        <f>AA0!$B$9</f>
        <v>0</v>
      </c>
      <c r="D14" s="597">
        <f>AA0!$B$13</f>
        <v>0</v>
      </c>
      <c r="E14" s="599">
        <f>AA0!$C$37</f>
        <v>2030</v>
      </c>
      <c r="F14" s="598">
        <f>AA0!$G$83/1000</f>
        <v>0</v>
      </c>
      <c r="G14" s="598">
        <f>AA0!$C$54/1000</f>
        <v>0</v>
      </c>
      <c r="H14" s="598"/>
      <c r="I14" s="598">
        <f>AA0!$G$82/1000</f>
        <v>0</v>
      </c>
      <c r="J14" s="598">
        <f>AA0!$G$77</f>
        <v>0</v>
      </c>
      <c r="K14" s="598">
        <f>AA0!$G$72</f>
        <v>0</v>
      </c>
      <c r="L14" s="597" t="str">
        <f>AA0!$C$31</f>
        <v>NA</v>
      </c>
      <c r="M14" s="597" t="str">
        <f>AA0!$C$33</f>
        <v>NA</v>
      </c>
      <c r="N14" s="597" t="str">
        <f>AA0!$C$35</f>
        <v>NA</v>
      </c>
      <c r="O14" s="596">
        <f t="shared" ref="O14:O22" si="0">IF(E14=2030,F14,0)</f>
        <v>0</v>
      </c>
      <c r="P14" s="595">
        <f t="shared" ref="P14:P22" si="1">IF(E14=2040,F14,0)</f>
        <v>0</v>
      </c>
      <c r="Q14" s="594">
        <f t="shared" ref="Q14:Q22" si="2">IF(E14=2050,F14,0)</f>
        <v>0</v>
      </c>
      <c r="R14" s="596">
        <f t="shared" ref="R14:R22" si="3">IF(E14=2030,G14,0)</f>
        <v>0</v>
      </c>
      <c r="S14" s="595">
        <f t="shared" ref="S14:S22" si="4">IF(E14=2040,G14,0)</f>
        <v>0</v>
      </c>
      <c r="T14" s="594">
        <f t="shared" ref="T14:T22" si="5">IF(E14=2050,G14,0)</f>
        <v>0</v>
      </c>
      <c r="U14" s="596">
        <f t="shared" ref="U14:U22" si="6">IF(E14=2030,H14,0)</f>
        <v>0</v>
      </c>
      <c r="V14" s="595">
        <f t="shared" ref="V14:V22" si="7">IF(E14=2040,H14,0)</f>
        <v>0</v>
      </c>
      <c r="W14" s="594">
        <f t="shared" ref="W14:W22" si="8">IF(E14=2050,H14,0)</f>
        <v>0</v>
      </c>
      <c r="X14" s="596">
        <f t="shared" ref="X14:X22" si="9">IF(E14=2030,I14,0)</f>
        <v>0</v>
      </c>
      <c r="Y14" s="595">
        <f t="shared" ref="Y14:Y22" si="10">IF(E14=2040,I14,0)</f>
        <v>0</v>
      </c>
      <c r="Z14" s="594">
        <f t="shared" ref="Z14:Z22" si="11">IF(E14=2050,I14,0)</f>
        <v>0</v>
      </c>
      <c r="AA14" s="596">
        <f t="shared" ref="AA14:AA22" si="12">IF(E14=2030,J14,0)</f>
        <v>0</v>
      </c>
      <c r="AB14" s="595">
        <f t="shared" ref="AB14:AB22" si="13">IF(E14=2040,J14,0)</f>
        <v>0</v>
      </c>
      <c r="AC14" s="594">
        <f t="shared" ref="AC14:AC22" si="14">IF(E14=2050,J14,0)</f>
        <v>0</v>
      </c>
      <c r="AD14" s="596">
        <f t="shared" ref="AD14:AD24" si="15">IF(E14=2030,K14,0)</f>
        <v>0</v>
      </c>
      <c r="AE14" s="595">
        <f t="shared" ref="AE14:AE24" si="16">IF(E14=2040,K14,0)</f>
        <v>0</v>
      </c>
      <c r="AF14" s="594">
        <f>IF(E14=2050,K14,0)</f>
        <v>0</v>
      </c>
    </row>
    <row r="15" spans="2:32 16001:16001">
      <c r="B15" s="599" t="str">
        <f>'AA1'!$F$5</f>
        <v>AA1</v>
      </c>
      <c r="C15" s="597" t="str">
        <f>'AA1'!$B$9</f>
        <v>Extension PV</v>
      </c>
      <c r="D15" s="597" t="str">
        <f>'AA1'!$B$13</f>
        <v>SER PV, éolien, géothermie, solaire</v>
      </c>
      <c r="E15" s="599">
        <f>'AA1'!$C$37</f>
        <v>2030</v>
      </c>
      <c r="F15" s="598">
        <f>'AA1'!$G$83/1000</f>
        <v>0</v>
      </c>
      <c r="G15" s="598">
        <f>'AA1'!$C$54/1000</f>
        <v>0</v>
      </c>
      <c r="H15" s="598"/>
      <c r="I15" s="598">
        <f>'AA1'!$G$82/1000</f>
        <v>648</v>
      </c>
      <c r="J15" s="598">
        <f>'AA1'!$G$77</f>
        <v>3000</v>
      </c>
      <c r="K15" s="598">
        <f>'AA1'!$G$72</f>
        <v>3000</v>
      </c>
      <c r="L15" s="597" t="str">
        <f>'AA1'!$C$31</f>
        <v>Permis  environnement/unique</v>
      </c>
      <c r="M15" s="597" t="str">
        <f>'AA1'!$C$33</f>
        <v>NA</v>
      </c>
      <c r="N15" s="597" t="str">
        <f>'AA1'!$C$35</f>
        <v>NA</v>
      </c>
      <c r="O15" s="596">
        <f t="shared" si="0"/>
        <v>0</v>
      </c>
      <c r="P15" s="595">
        <f t="shared" si="1"/>
        <v>0</v>
      </c>
      <c r="Q15" s="594">
        <f t="shared" si="2"/>
        <v>0</v>
      </c>
      <c r="R15" s="596">
        <f t="shared" si="3"/>
        <v>0</v>
      </c>
      <c r="S15" s="595">
        <f t="shared" si="4"/>
        <v>0</v>
      </c>
      <c r="T15" s="594">
        <f t="shared" si="5"/>
        <v>0</v>
      </c>
      <c r="U15" s="596">
        <f t="shared" si="6"/>
        <v>0</v>
      </c>
      <c r="V15" s="595">
        <f t="shared" si="7"/>
        <v>0</v>
      </c>
      <c r="W15" s="594">
        <f t="shared" si="8"/>
        <v>0</v>
      </c>
      <c r="X15" s="596">
        <f t="shared" si="9"/>
        <v>648</v>
      </c>
      <c r="Y15" s="595">
        <f t="shared" si="10"/>
        <v>0</v>
      </c>
      <c r="Z15" s="594">
        <f t="shared" si="11"/>
        <v>0</v>
      </c>
      <c r="AA15" s="596">
        <f t="shared" si="12"/>
        <v>3000</v>
      </c>
      <c r="AB15" s="595">
        <f t="shared" si="13"/>
        <v>0</v>
      </c>
      <c r="AC15" s="594">
        <f t="shared" si="14"/>
        <v>0</v>
      </c>
      <c r="AD15" s="596">
        <f t="shared" si="15"/>
        <v>3000</v>
      </c>
      <c r="AE15" s="595">
        <f t="shared" si="16"/>
        <v>0</v>
      </c>
      <c r="AF15" s="594">
        <f>IF(E15=2050,K15,0)</f>
        <v>0</v>
      </c>
    </row>
    <row r="16" spans="2:32 16001:16001">
      <c r="B16" s="599" t="str">
        <f>'AA2'!$F$5</f>
        <v>AA2</v>
      </c>
      <c r="C16" s="597" t="str">
        <f>'AA2'!$B$9</f>
        <v>Electrification 30 GWh de GN</v>
      </c>
      <c r="D16" s="597" t="str">
        <f>'AA2'!$B$13</f>
        <v>Electrication</v>
      </c>
      <c r="E16" s="599">
        <f>'AA2'!$C$37</f>
        <v>2040</v>
      </c>
      <c r="F16" s="598">
        <f>'AA2'!$G$83/1000</f>
        <v>6540</v>
      </c>
      <c r="G16" s="598">
        <f>'AA2'!$C$54/1000</f>
        <v>0</v>
      </c>
      <c r="H16" s="598"/>
      <c r="I16" s="598">
        <f>'AA2'!$G$82/1000</f>
        <v>-5851.44</v>
      </c>
      <c r="J16" s="598">
        <f>'AA2'!$G$77</f>
        <v>2910</v>
      </c>
      <c r="K16" s="598"/>
      <c r="L16" s="597" t="str">
        <f>'AA2'!$C$31</f>
        <v>Faisabilité technologie à démontrer</v>
      </c>
      <c r="M16" s="597" t="str">
        <f>'AA2'!$C$33</f>
        <v>Coût électricité</v>
      </c>
      <c r="N16" s="597" t="str">
        <f>'AA2'!$C$35</f>
        <v>Infrastructure GRT</v>
      </c>
      <c r="O16" s="596">
        <f t="shared" si="0"/>
        <v>0</v>
      </c>
      <c r="P16" s="595">
        <f t="shared" si="1"/>
        <v>6540</v>
      </c>
      <c r="Q16" s="594">
        <f t="shared" si="2"/>
        <v>0</v>
      </c>
      <c r="R16" s="596">
        <f t="shared" si="3"/>
        <v>0</v>
      </c>
      <c r="S16" s="595">
        <f t="shared" si="4"/>
        <v>0</v>
      </c>
      <c r="T16" s="594">
        <f t="shared" si="5"/>
        <v>0</v>
      </c>
      <c r="U16" s="596">
        <f t="shared" si="6"/>
        <v>0</v>
      </c>
      <c r="V16" s="595">
        <f t="shared" si="7"/>
        <v>0</v>
      </c>
      <c r="W16" s="594">
        <f t="shared" si="8"/>
        <v>0</v>
      </c>
      <c r="X16" s="596">
        <f t="shared" si="9"/>
        <v>0</v>
      </c>
      <c r="Y16" s="595">
        <f t="shared" si="10"/>
        <v>-5851.44</v>
      </c>
      <c r="Z16" s="594">
        <f t="shared" si="11"/>
        <v>0</v>
      </c>
      <c r="AA16" s="596">
        <f t="shared" si="12"/>
        <v>0</v>
      </c>
      <c r="AB16" s="595">
        <f t="shared" si="13"/>
        <v>2910</v>
      </c>
      <c r="AC16" s="594">
        <f t="shared" si="14"/>
        <v>0</v>
      </c>
      <c r="AD16" s="596">
        <f t="shared" si="15"/>
        <v>0</v>
      </c>
      <c r="AE16" s="595">
        <f t="shared" si="16"/>
        <v>0</v>
      </c>
      <c r="AF16" s="594">
        <f>IF(E16=2050,K16,0)</f>
        <v>0</v>
      </c>
    </row>
    <row r="17" spans="2:32">
      <c r="B17" s="599" t="str">
        <f>'AA3'!$F$5</f>
        <v>AA3</v>
      </c>
      <c r="C17" s="597" t="str">
        <f>'AA3'!$B$9</f>
        <v>Eolienne</v>
      </c>
      <c r="D17" s="597" t="str">
        <f>'AA3'!$B$13</f>
        <v>SER PV, éolien, géothermie, solaire</v>
      </c>
      <c r="E17" s="599">
        <f>'AA3'!$C$37</f>
        <v>2040</v>
      </c>
      <c r="F17" s="598">
        <f>'AA3'!$G$83/1000</f>
        <v>0</v>
      </c>
      <c r="G17" s="598">
        <f>'AA3'!$C$54/1000</f>
        <v>0</v>
      </c>
      <c r="H17" s="598"/>
      <c r="I17" s="598">
        <f>'AA3'!$G$82/1000</f>
        <v>1296</v>
      </c>
      <c r="J17" s="598">
        <f>'AA3'!$G$77</f>
        <v>0</v>
      </c>
      <c r="K17" s="598">
        <f>'AA3'!$G$72</f>
        <v>6000</v>
      </c>
      <c r="L17" s="597" t="str">
        <f>'AA3'!$C$31</f>
        <v>Permis  environnement/unique</v>
      </c>
      <c r="M17" s="597" t="str">
        <f>'AA3'!$C$33</f>
        <v>NA</v>
      </c>
      <c r="N17" s="597" t="str">
        <f>'AA3'!$C$35</f>
        <v>NA</v>
      </c>
      <c r="O17" s="596">
        <f t="shared" si="0"/>
        <v>0</v>
      </c>
      <c r="P17" s="595">
        <f t="shared" si="1"/>
        <v>0</v>
      </c>
      <c r="Q17" s="594">
        <f t="shared" si="2"/>
        <v>0</v>
      </c>
      <c r="R17" s="596">
        <f t="shared" si="3"/>
        <v>0</v>
      </c>
      <c r="S17" s="595">
        <f t="shared" si="4"/>
        <v>0</v>
      </c>
      <c r="T17" s="594">
        <f t="shared" si="5"/>
        <v>0</v>
      </c>
      <c r="U17" s="596">
        <f t="shared" si="6"/>
        <v>0</v>
      </c>
      <c r="V17" s="595">
        <f t="shared" si="7"/>
        <v>0</v>
      </c>
      <c r="W17" s="594">
        <f t="shared" si="8"/>
        <v>0</v>
      </c>
      <c r="X17" s="596">
        <f t="shared" si="9"/>
        <v>0</v>
      </c>
      <c r="Y17" s="595">
        <f t="shared" si="10"/>
        <v>1296</v>
      </c>
      <c r="Z17" s="594">
        <f t="shared" si="11"/>
        <v>0</v>
      </c>
      <c r="AA17" s="596">
        <f t="shared" si="12"/>
        <v>0</v>
      </c>
      <c r="AB17" s="595">
        <f t="shared" si="13"/>
        <v>0</v>
      </c>
      <c r="AC17" s="594">
        <f t="shared" si="14"/>
        <v>0</v>
      </c>
      <c r="AD17" s="596">
        <f t="shared" si="15"/>
        <v>0</v>
      </c>
      <c r="AE17" s="595">
        <f t="shared" si="16"/>
        <v>6000</v>
      </c>
      <c r="AF17" s="594">
        <f t="shared" ref="AF17:AF24" si="17">IF(E17=2050,K17,0)</f>
        <v>0</v>
      </c>
    </row>
    <row r="18" spans="2:32">
      <c r="B18" s="599" t="str">
        <f>'AA4'!$F$5</f>
        <v>AA4</v>
      </c>
      <c r="C18" s="597" t="str">
        <f>'AA4'!$B$9</f>
        <v>Capture carbone process</v>
      </c>
      <c r="D18" s="597" t="str">
        <f>'AA4'!$B$13</f>
        <v>CCU</v>
      </c>
      <c r="E18" s="599">
        <f>'AA4'!$C$37</f>
        <v>2050</v>
      </c>
      <c r="F18" s="598">
        <f>'AA4'!$G$83/1000</f>
        <v>0</v>
      </c>
      <c r="G18" s="598">
        <f>'AA4'!$C$54/1000</f>
        <v>9000</v>
      </c>
      <c r="H18" s="598"/>
      <c r="I18" s="598">
        <f>'AA4'!$G$82/1000</f>
        <v>0</v>
      </c>
      <c r="J18" s="598">
        <f>'AA4'!$G$77</f>
        <v>0</v>
      </c>
      <c r="K18" s="598"/>
      <c r="L18" s="597" t="str">
        <f>'AA4'!$C$31</f>
        <v>Faisabilité technologie à démontrer</v>
      </c>
      <c r="M18" s="597" t="str">
        <f>'AA4'!$C$33</f>
        <v>Rentabilité économique à démontrer</v>
      </c>
      <c r="N18" s="597" t="str">
        <f>'AA4'!$C$35</f>
        <v>NA</v>
      </c>
      <c r="O18" s="596">
        <f t="shared" si="0"/>
        <v>0</v>
      </c>
      <c r="P18" s="595">
        <f t="shared" si="1"/>
        <v>0</v>
      </c>
      <c r="Q18" s="594">
        <f t="shared" si="2"/>
        <v>0</v>
      </c>
      <c r="R18" s="596">
        <f t="shared" si="3"/>
        <v>0</v>
      </c>
      <c r="S18" s="595">
        <f t="shared" si="4"/>
        <v>0</v>
      </c>
      <c r="T18" s="594">
        <f t="shared" si="5"/>
        <v>9000</v>
      </c>
      <c r="U18" s="596">
        <f t="shared" si="6"/>
        <v>0</v>
      </c>
      <c r="V18" s="595">
        <f t="shared" si="7"/>
        <v>0</v>
      </c>
      <c r="W18" s="594">
        <f t="shared" si="8"/>
        <v>0</v>
      </c>
      <c r="X18" s="596">
        <f t="shared" si="9"/>
        <v>0</v>
      </c>
      <c r="Y18" s="595">
        <f t="shared" si="10"/>
        <v>0</v>
      </c>
      <c r="Z18" s="594">
        <f t="shared" si="11"/>
        <v>0</v>
      </c>
      <c r="AA18" s="596">
        <f t="shared" si="12"/>
        <v>0</v>
      </c>
      <c r="AB18" s="595">
        <f t="shared" si="13"/>
        <v>0</v>
      </c>
      <c r="AC18" s="594">
        <f t="shared" si="14"/>
        <v>0</v>
      </c>
      <c r="AD18" s="596">
        <f t="shared" si="15"/>
        <v>0</v>
      </c>
      <c r="AE18" s="595">
        <f t="shared" si="16"/>
        <v>0</v>
      </c>
      <c r="AF18" s="594">
        <f t="shared" si="17"/>
        <v>0</v>
      </c>
    </row>
    <row r="19" spans="2:32">
      <c r="B19" s="599" t="str">
        <f>'AA5'!$F$5</f>
        <v>AA5</v>
      </c>
      <c r="C19" s="597" t="str">
        <f>'AA5'!$B$9</f>
        <v>Efficacité energie 1 :- 2GWh GN</v>
      </c>
      <c r="D19" s="597" t="str">
        <f>'AA5'!$B$13</f>
        <v>Efficacité Energétique</v>
      </c>
      <c r="E19" s="599">
        <f>'AA5'!$C$37</f>
        <v>2030</v>
      </c>
      <c r="F19" s="598">
        <f>'AA5'!$G$83/1000</f>
        <v>436</v>
      </c>
      <c r="G19" s="598">
        <f>'AA5'!$C$54/1000</f>
        <v>0</v>
      </c>
      <c r="H19" s="598"/>
      <c r="I19" s="598">
        <f>'AA5'!$G$82/1000</f>
        <v>0</v>
      </c>
      <c r="J19" s="598">
        <f>'AA5'!$G$77</f>
        <v>2000</v>
      </c>
      <c r="K19" s="598"/>
      <c r="L19" s="597" t="str">
        <f>'AA5'!$C$31</f>
        <v>NA</v>
      </c>
      <c r="M19" s="597" t="str">
        <f>'AA5'!$C$33</f>
        <v>NA</v>
      </c>
      <c r="N19" s="597" t="str">
        <f>'AA5'!$C$35</f>
        <v>NA</v>
      </c>
      <c r="O19" s="596">
        <f t="shared" si="0"/>
        <v>436</v>
      </c>
      <c r="P19" s="595">
        <f t="shared" si="1"/>
        <v>0</v>
      </c>
      <c r="Q19" s="594">
        <f t="shared" si="2"/>
        <v>0</v>
      </c>
      <c r="R19" s="596">
        <f t="shared" si="3"/>
        <v>0</v>
      </c>
      <c r="S19" s="595">
        <f t="shared" si="4"/>
        <v>0</v>
      </c>
      <c r="T19" s="594">
        <f t="shared" si="5"/>
        <v>0</v>
      </c>
      <c r="U19" s="596">
        <f t="shared" si="6"/>
        <v>0</v>
      </c>
      <c r="V19" s="595">
        <f t="shared" si="7"/>
        <v>0</v>
      </c>
      <c r="W19" s="594">
        <f t="shared" si="8"/>
        <v>0</v>
      </c>
      <c r="X19" s="596">
        <f t="shared" si="9"/>
        <v>0</v>
      </c>
      <c r="Y19" s="595">
        <f t="shared" si="10"/>
        <v>0</v>
      </c>
      <c r="Z19" s="594">
        <f t="shared" si="11"/>
        <v>0</v>
      </c>
      <c r="AA19" s="596">
        <f t="shared" si="12"/>
        <v>2000</v>
      </c>
      <c r="AB19" s="595">
        <f t="shared" si="13"/>
        <v>0</v>
      </c>
      <c r="AC19" s="594">
        <f t="shared" si="14"/>
        <v>0</v>
      </c>
      <c r="AD19" s="596">
        <f t="shared" si="15"/>
        <v>0</v>
      </c>
      <c r="AE19" s="595">
        <f t="shared" si="16"/>
        <v>0</v>
      </c>
      <c r="AF19" s="594">
        <f t="shared" si="17"/>
        <v>0</v>
      </c>
    </row>
    <row r="20" spans="2:32">
      <c r="B20" s="599" t="str">
        <f>'AA6'!$F$5</f>
        <v>AA6</v>
      </c>
      <c r="C20" s="597" t="str">
        <f>'AA6'!$B$9</f>
        <v>Efficacité energie 2 :- 2GWh Elec</v>
      </c>
      <c r="D20" s="597" t="str">
        <f>'AA6'!$B$13</f>
        <v>Efficacité Energétique</v>
      </c>
      <c r="E20" s="599">
        <f>'AA6'!$C$37</f>
        <v>2030</v>
      </c>
      <c r="F20" s="598">
        <f>'AA6'!$G$83/1000</f>
        <v>0</v>
      </c>
      <c r="G20" s="598">
        <f>'AA6'!$C$54/1000</f>
        <v>0</v>
      </c>
      <c r="H20" s="598"/>
      <c r="I20" s="598">
        <f>'AA6'!$G$82/1000</f>
        <v>432</v>
      </c>
      <c r="J20" s="598">
        <f>'AA6'!$G$77</f>
        <v>2000</v>
      </c>
      <c r="K20" s="598"/>
      <c r="L20" s="597" t="str">
        <f>'AA6'!$C$31</f>
        <v>NA</v>
      </c>
      <c r="M20" s="597" t="str">
        <f>'AA6'!$C$33</f>
        <v>NA</v>
      </c>
      <c r="N20" s="597" t="str">
        <f>'AA6'!$C$35</f>
        <v>NA</v>
      </c>
      <c r="O20" s="596">
        <f t="shared" si="0"/>
        <v>0</v>
      </c>
      <c r="P20" s="595">
        <f t="shared" si="1"/>
        <v>0</v>
      </c>
      <c r="Q20" s="594">
        <f t="shared" si="2"/>
        <v>0</v>
      </c>
      <c r="R20" s="596">
        <f t="shared" si="3"/>
        <v>0</v>
      </c>
      <c r="S20" s="595">
        <f t="shared" si="4"/>
        <v>0</v>
      </c>
      <c r="T20" s="594">
        <f t="shared" si="5"/>
        <v>0</v>
      </c>
      <c r="U20" s="596">
        <f t="shared" si="6"/>
        <v>0</v>
      </c>
      <c r="V20" s="595">
        <f t="shared" si="7"/>
        <v>0</v>
      </c>
      <c r="W20" s="594">
        <f t="shared" si="8"/>
        <v>0</v>
      </c>
      <c r="X20" s="596">
        <f t="shared" si="9"/>
        <v>432</v>
      </c>
      <c r="Y20" s="595">
        <f t="shared" si="10"/>
        <v>0</v>
      </c>
      <c r="Z20" s="594">
        <f t="shared" si="11"/>
        <v>0</v>
      </c>
      <c r="AA20" s="596">
        <f t="shared" si="12"/>
        <v>2000</v>
      </c>
      <c r="AB20" s="595">
        <f t="shared" si="13"/>
        <v>0</v>
      </c>
      <c r="AC20" s="594">
        <f t="shared" si="14"/>
        <v>0</v>
      </c>
      <c r="AD20" s="596">
        <f t="shared" si="15"/>
        <v>0</v>
      </c>
      <c r="AE20" s="595">
        <f t="shared" si="16"/>
        <v>0</v>
      </c>
      <c r="AF20" s="594">
        <f t="shared" si="17"/>
        <v>0</v>
      </c>
    </row>
    <row r="21" spans="2:32">
      <c r="B21" s="599" t="str">
        <f>'AA7'!$F$5</f>
        <v>AA7</v>
      </c>
      <c r="C21" s="597" t="str">
        <f>'AA7'!$B$9</f>
        <v>Remplacement fluide frigorigène</v>
      </c>
      <c r="D21" s="597" t="str">
        <f>'AA7'!$B$13</f>
        <v>Fluide frigorigène</v>
      </c>
      <c r="E21" s="599">
        <f>'AA7'!$C$37</f>
        <v>2030</v>
      </c>
      <c r="F21" s="598">
        <f>'AA7'!$G$83/1000</f>
        <v>0</v>
      </c>
      <c r="G21" s="598">
        <f>'AA7'!$C$54/1000</f>
        <v>10</v>
      </c>
      <c r="H21" s="598"/>
      <c r="I21" s="598">
        <f>'AA7'!$G$82/1000</f>
        <v>0</v>
      </c>
      <c r="J21" s="598">
        <f>'AA7'!$G$77</f>
        <v>0</v>
      </c>
      <c r="K21" s="598"/>
      <c r="L21" s="597" t="str">
        <f>'AA7'!$C$31</f>
        <v>NA</v>
      </c>
      <c r="M21" s="597" t="str">
        <f>'AA7'!$C$33</f>
        <v>NA</v>
      </c>
      <c r="N21" s="597" t="str">
        <f>'AA7'!$C$35</f>
        <v>NA</v>
      </c>
      <c r="O21" s="596">
        <f t="shared" si="0"/>
        <v>0</v>
      </c>
      <c r="P21" s="595">
        <f t="shared" si="1"/>
        <v>0</v>
      </c>
      <c r="Q21" s="594">
        <f t="shared" si="2"/>
        <v>0</v>
      </c>
      <c r="R21" s="596">
        <f t="shared" si="3"/>
        <v>10</v>
      </c>
      <c r="S21" s="595">
        <f t="shared" si="4"/>
        <v>0</v>
      </c>
      <c r="T21" s="594">
        <f t="shared" si="5"/>
        <v>0</v>
      </c>
      <c r="U21" s="596">
        <f t="shared" si="6"/>
        <v>0</v>
      </c>
      <c r="V21" s="595">
        <f t="shared" si="7"/>
        <v>0</v>
      </c>
      <c r="W21" s="594">
        <f t="shared" si="8"/>
        <v>0</v>
      </c>
      <c r="X21" s="596">
        <f t="shared" si="9"/>
        <v>0</v>
      </c>
      <c r="Y21" s="595">
        <f t="shared" si="10"/>
        <v>0</v>
      </c>
      <c r="Z21" s="594">
        <f t="shared" si="11"/>
        <v>0</v>
      </c>
      <c r="AA21" s="596">
        <f t="shared" si="12"/>
        <v>0</v>
      </c>
      <c r="AB21" s="595">
        <f t="shared" si="13"/>
        <v>0</v>
      </c>
      <c r="AC21" s="594">
        <f t="shared" si="14"/>
        <v>0</v>
      </c>
      <c r="AD21" s="596">
        <f t="shared" si="15"/>
        <v>0</v>
      </c>
      <c r="AE21" s="595">
        <f t="shared" si="16"/>
        <v>0</v>
      </c>
      <c r="AF21" s="594">
        <f t="shared" si="17"/>
        <v>0</v>
      </c>
    </row>
    <row r="22" spans="2:32">
      <c r="B22" s="599" t="str">
        <f>'AA8'!$F$5</f>
        <v>AA8</v>
      </c>
      <c r="C22" s="597" t="str">
        <f>'AA8'!$B$9</f>
        <v>PPA sur gaz naturel</v>
      </c>
      <c r="D22" s="597" t="str">
        <f>'AA8'!$B$13</f>
        <v>PPA</v>
      </c>
      <c r="E22" s="599">
        <f>'AA8'!$C$37</f>
        <v>2040</v>
      </c>
      <c r="F22" s="598">
        <f>'AA8'!$G$83/1000</f>
        <v>6104</v>
      </c>
      <c r="G22" s="598">
        <f>'AA8'!$C$54/1000</f>
        <v>0</v>
      </c>
      <c r="H22" s="598"/>
      <c r="I22" s="598">
        <f>'AA8'!$G$82/1000</f>
        <v>0</v>
      </c>
      <c r="J22" s="598">
        <f>'AA8'!$G$77</f>
        <v>0</v>
      </c>
      <c r="K22" s="598">
        <f>'AA8'!G73</f>
        <v>28000</v>
      </c>
      <c r="L22" s="597" t="str">
        <f>'AA8'!$C$31</f>
        <v>Rentabilité économique à démontrer</v>
      </c>
      <c r="M22" s="597" t="str">
        <f>'AA8'!$C$33</f>
        <v>Disponibilité SER</v>
      </c>
      <c r="N22" s="597" t="str">
        <f>'AA8'!$C$35</f>
        <v>NA</v>
      </c>
      <c r="O22" s="596">
        <f t="shared" si="0"/>
        <v>0</v>
      </c>
      <c r="P22" s="595">
        <f t="shared" si="1"/>
        <v>6104</v>
      </c>
      <c r="Q22" s="594">
        <f t="shared" si="2"/>
        <v>0</v>
      </c>
      <c r="R22" s="596">
        <f t="shared" si="3"/>
        <v>0</v>
      </c>
      <c r="S22" s="595">
        <f t="shared" si="4"/>
        <v>0</v>
      </c>
      <c r="T22" s="594">
        <f t="shared" si="5"/>
        <v>0</v>
      </c>
      <c r="U22" s="596">
        <f t="shared" si="6"/>
        <v>0</v>
      </c>
      <c r="V22" s="595">
        <f t="shared" si="7"/>
        <v>0</v>
      </c>
      <c r="W22" s="594">
        <f t="shared" si="8"/>
        <v>0</v>
      </c>
      <c r="X22" s="596">
        <f t="shared" si="9"/>
        <v>0</v>
      </c>
      <c r="Y22" s="595">
        <f t="shared" si="10"/>
        <v>0</v>
      </c>
      <c r="Z22" s="594">
        <f t="shared" si="11"/>
        <v>0</v>
      </c>
      <c r="AA22" s="596">
        <f t="shared" si="12"/>
        <v>0</v>
      </c>
      <c r="AB22" s="595">
        <f t="shared" si="13"/>
        <v>0</v>
      </c>
      <c r="AC22" s="594">
        <f t="shared" si="14"/>
        <v>0</v>
      </c>
      <c r="AD22" s="596">
        <f t="shared" si="15"/>
        <v>0</v>
      </c>
      <c r="AE22" s="595">
        <f t="shared" si="16"/>
        <v>28000</v>
      </c>
      <c r="AF22" s="594">
        <f t="shared" si="17"/>
        <v>0</v>
      </c>
    </row>
    <row r="23" spans="2:32">
      <c r="B23" s="599" t="str">
        <f>'AA9'!$F$5</f>
        <v>AA9</v>
      </c>
      <c r="C23" s="597">
        <f>'AA9'!$B$9</f>
        <v>0</v>
      </c>
      <c r="D23" s="597">
        <f>'AA9'!$B$13</f>
        <v>0</v>
      </c>
      <c r="E23" s="599">
        <f>'AA9'!$C$37</f>
        <v>2030</v>
      </c>
      <c r="F23" s="598">
        <f>'AA9'!$G$83/1000</f>
        <v>0</v>
      </c>
      <c r="G23" s="598">
        <f>'AA9'!$C$54/1000</f>
        <v>0</v>
      </c>
      <c r="H23" s="598"/>
      <c r="I23" s="598">
        <f>'AA9'!$G$82/1000</f>
        <v>0</v>
      </c>
      <c r="J23" s="598">
        <f>'AA9'!$G$77</f>
        <v>0</v>
      </c>
      <c r="K23" s="598">
        <f>'AA9'!G74</f>
        <v>0</v>
      </c>
      <c r="L23" s="597" t="str">
        <f>'AA9'!$C$31</f>
        <v>NA</v>
      </c>
      <c r="M23" s="597" t="str">
        <f>'AA9'!$C$33</f>
        <v>NA</v>
      </c>
      <c r="N23" s="597" t="str">
        <f>'AA9'!$C$35</f>
        <v>NA</v>
      </c>
      <c r="O23" s="596">
        <f>IF(E23=2030,F23,0)</f>
        <v>0</v>
      </c>
      <c r="P23" s="595">
        <f>IF(E23=2040,F23,0)</f>
        <v>0</v>
      </c>
      <c r="Q23" s="594">
        <f>IF(E23=2050,F23,0)</f>
        <v>0</v>
      </c>
      <c r="R23" s="596">
        <f>IF(E23=2030,G23,0)</f>
        <v>0</v>
      </c>
      <c r="S23" s="595">
        <f>IF(E23=2040,G23,0)</f>
        <v>0</v>
      </c>
      <c r="T23" s="594">
        <f>IF(E23=2050,G23,0)</f>
        <v>0</v>
      </c>
      <c r="U23" s="596">
        <f>IF(E23=2030,H23,0)</f>
        <v>0</v>
      </c>
      <c r="V23" s="595">
        <f>IF(E23=2040,H23,0)</f>
        <v>0</v>
      </c>
      <c r="W23" s="594">
        <f>IF(E23=2050,H23,0)</f>
        <v>0</v>
      </c>
      <c r="X23" s="596">
        <f>IF(E23=2030,I23,0)</f>
        <v>0</v>
      </c>
      <c r="Y23" s="595">
        <f>IF(E23=2040,I23,0)</f>
        <v>0</v>
      </c>
      <c r="Z23" s="594">
        <f>IF(E23=2050,I23,0)</f>
        <v>0</v>
      </c>
      <c r="AA23" s="596">
        <f>IF(E23=2030,J23,0)</f>
        <v>0</v>
      </c>
      <c r="AB23" s="595">
        <f>IF(E23=2040,J23,0)</f>
        <v>0</v>
      </c>
      <c r="AC23" s="594">
        <f>IF(E23=2050,J23,0)</f>
        <v>0</v>
      </c>
      <c r="AD23" s="596">
        <f t="shared" si="15"/>
        <v>0</v>
      </c>
      <c r="AE23" s="595">
        <f t="shared" si="16"/>
        <v>0</v>
      </c>
      <c r="AF23" s="594">
        <f t="shared" si="17"/>
        <v>0</v>
      </c>
    </row>
    <row r="24" spans="2:32">
      <c r="B24" s="600"/>
      <c r="C24" s="597"/>
      <c r="D24" s="597"/>
      <c r="E24" s="599"/>
      <c r="F24" s="598"/>
      <c r="G24" s="598"/>
      <c r="H24" s="598"/>
      <c r="I24" s="598"/>
      <c r="J24" s="598"/>
      <c r="K24" s="598"/>
      <c r="L24" s="597"/>
      <c r="M24" s="597"/>
      <c r="N24" s="597"/>
      <c r="O24" s="596">
        <f>IF(E24=2030,F24,0)</f>
        <v>0</v>
      </c>
      <c r="P24" s="595">
        <f>IF(E24=2040,F24,0)</f>
        <v>0</v>
      </c>
      <c r="Q24" s="594">
        <f>IF(E24=2050,F24,0)</f>
        <v>0</v>
      </c>
      <c r="R24" s="596">
        <f>IF(E24=2030,G24,0)</f>
        <v>0</v>
      </c>
      <c r="S24" s="595">
        <f>IF(E24=2040,G24,0)</f>
        <v>0</v>
      </c>
      <c r="T24" s="594">
        <f>IF(E24=2050,G24,0)</f>
        <v>0</v>
      </c>
      <c r="U24" s="596">
        <f>IF(E24=2030,H24,0)</f>
        <v>0</v>
      </c>
      <c r="V24" s="595">
        <f>IF(E24=2040,H24,0)</f>
        <v>0</v>
      </c>
      <c r="W24" s="594">
        <f>IF(E24=2050,H24,0)</f>
        <v>0</v>
      </c>
      <c r="X24" s="596">
        <f>IF(E24=2030,I24,0)</f>
        <v>0</v>
      </c>
      <c r="Y24" s="595">
        <f>IF(E24=2040,I24,0)</f>
        <v>0</v>
      </c>
      <c r="Z24" s="594">
        <f>IF(E24=2050,I24,0)</f>
        <v>0</v>
      </c>
      <c r="AA24" s="596">
        <f>IF(E24=2030,J24,0)</f>
        <v>0</v>
      </c>
      <c r="AB24" s="595">
        <f>IF(E24=2040,J24,0)</f>
        <v>0</v>
      </c>
      <c r="AC24" s="594">
        <f>IF(E24=2050,J24,0)</f>
        <v>0</v>
      </c>
      <c r="AD24" s="596">
        <f t="shared" si="15"/>
        <v>0</v>
      </c>
      <c r="AE24" s="595">
        <f t="shared" si="16"/>
        <v>0</v>
      </c>
      <c r="AF24" s="594">
        <f t="shared" si="17"/>
        <v>0</v>
      </c>
    </row>
    <row r="25" spans="2:32">
      <c r="E25" s="589"/>
      <c r="F25" s="588"/>
      <c r="G25" s="588"/>
      <c r="H25" s="588"/>
      <c r="I25" s="588"/>
      <c r="J25" s="588"/>
      <c r="K25" s="588"/>
      <c r="O25" s="596"/>
      <c r="P25" s="595"/>
      <c r="Q25" s="594"/>
      <c r="R25" s="596"/>
      <c r="S25" s="595"/>
      <c r="T25" s="594"/>
      <c r="U25" s="596"/>
      <c r="V25" s="595"/>
      <c r="W25" s="594"/>
      <c r="X25" s="596"/>
      <c r="Y25" s="595"/>
      <c r="Z25" s="594"/>
      <c r="AA25" s="596"/>
      <c r="AB25" s="595"/>
      <c r="AC25" s="594"/>
      <c r="AD25" s="596"/>
      <c r="AE25" s="595"/>
      <c r="AF25" s="594"/>
    </row>
    <row r="26" spans="2:32" hidden="1">
      <c r="E26" s="589"/>
      <c r="F26" s="588"/>
      <c r="G26" s="588"/>
      <c r="H26" s="588"/>
      <c r="I26" s="588"/>
      <c r="J26" s="588"/>
      <c r="K26" s="588"/>
      <c r="O26" s="593">
        <f t="shared" ref="O26:AF26" si="18">SUM(O15:O24)</f>
        <v>436</v>
      </c>
      <c r="P26" s="592">
        <f t="shared" si="18"/>
        <v>12644</v>
      </c>
      <c r="Q26" s="591">
        <f t="shared" si="18"/>
        <v>0</v>
      </c>
      <c r="R26" s="593">
        <f t="shared" si="18"/>
        <v>10</v>
      </c>
      <c r="S26" s="592">
        <f t="shared" si="18"/>
        <v>0</v>
      </c>
      <c r="T26" s="591">
        <f t="shared" si="18"/>
        <v>9000</v>
      </c>
      <c r="U26" s="593">
        <f t="shared" si="18"/>
        <v>0</v>
      </c>
      <c r="V26" s="592">
        <f t="shared" si="18"/>
        <v>0</v>
      </c>
      <c r="W26" s="591">
        <f t="shared" si="18"/>
        <v>0</v>
      </c>
      <c r="X26" s="593">
        <f t="shared" si="18"/>
        <v>1080</v>
      </c>
      <c r="Y26" s="592">
        <f t="shared" si="18"/>
        <v>-4555.4399999999996</v>
      </c>
      <c r="Z26" s="591">
        <f t="shared" si="18"/>
        <v>0</v>
      </c>
      <c r="AA26" s="593">
        <f t="shared" si="18"/>
        <v>7000</v>
      </c>
      <c r="AB26" s="592">
        <f t="shared" si="18"/>
        <v>2910</v>
      </c>
      <c r="AC26" s="591">
        <f t="shared" si="18"/>
        <v>0</v>
      </c>
      <c r="AD26" s="593">
        <f t="shared" si="18"/>
        <v>3000</v>
      </c>
      <c r="AE26" s="592">
        <f t="shared" si="18"/>
        <v>34000</v>
      </c>
      <c r="AF26" s="591">
        <f t="shared" si="18"/>
        <v>0</v>
      </c>
    </row>
    <row r="27" spans="2:32" hidden="1">
      <c r="C27" s="587"/>
      <c r="K27" s="590"/>
    </row>
    <row r="28" spans="2:32" hidden="1"/>
    <row r="29" spans="2:32" hidden="1">
      <c r="C29" s="761"/>
      <c r="D29" s="761"/>
      <c r="E29" s="589"/>
      <c r="F29" s="588"/>
    </row>
    <row r="30" spans="2:32" hidden="1">
      <c r="C30" s="758"/>
      <c r="D30" s="758"/>
      <c r="E30" s="589"/>
      <c r="F30" s="588"/>
    </row>
    <row r="31" spans="2:32" hidden="1">
      <c r="C31" s="758"/>
      <c r="D31" s="758"/>
      <c r="E31" s="589"/>
      <c r="F31" s="588"/>
    </row>
    <row r="32" spans="2:32" ht="9.6" customHeight="1">
      <c r="E32" s="589"/>
    </row>
    <row r="33" spans="4:11">
      <c r="D33" s="587" t="s">
        <v>200</v>
      </c>
    </row>
    <row r="34" spans="4:11">
      <c r="F34" s="587">
        <v>2005</v>
      </c>
      <c r="G34" s="587">
        <v>2023</v>
      </c>
      <c r="I34" s="587">
        <v>2030</v>
      </c>
      <c r="J34" s="587">
        <v>2040</v>
      </c>
      <c r="K34" s="587">
        <v>2050</v>
      </c>
    </row>
    <row r="35" spans="4:11">
      <c r="D35" s="587" t="s">
        <v>201</v>
      </c>
      <c r="E35" s="587" t="s">
        <v>202</v>
      </c>
      <c r="F35" s="588">
        <f>G4+G5</f>
        <v>26152</v>
      </c>
      <c r="G35" s="588">
        <f>F4+F5</f>
        <v>23090</v>
      </c>
      <c r="I35" s="588">
        <f>G35-O26-R26-U26</f>
        <v>22644</v>
      </c>
      <c r="J35" s="588">
        <f>I35-P26-S26-V26</f>
        <v>10000</v>
      </c>
      <c r="K35" s="588">
        <f>J35-Q26-T26-W26</f>
        <v>1000</v>
      </c>
    </row>
    <row r="36" spans="4:11">
      <c r="D36" s="587" t="s">
        <v>203</v>
      </c>
      <c r="E36" s="587" t="s">
        <v>202</v>
      </c>
      <c r="F36" s="588">
        <f>G7</f>
        <v>4320</v>
      </c>
      <c r="G36" s="588">
        <f>F7</f>
        <v>4320</v>
      </c>
      <c r="I36" s="588">
        <f>G36-X26</f>
        <v>3240</v>
      </c>
      <c r="J36" s="588">
        <f>I36-Y26</f>
        <v>7795.44</v>
      </c>
      <c r="K36" s="588">
        <f>J36-Z26</f>
        <v>7795.44</v>
      </c>
    </row>
    <row r="37" spans="4:11">
      <c r="D37" s="587" t="s">
        <v>204</v>
      </c>
      <c r="E37" s="587" t="s">
        <v>202</v>
      </c>
      <c r="F37" s="588">
        <f>F35+F36</f>
        <v>30472</v>
      </c>
      <c r="G37" s="588">
        <f>G35+G36</f>
        <v>27410</v>
      </c>
      <c r="I37" s="588">
        <f>I35+I36</f>
        <v>25884</v>
      </c>
      <c r="J37" s="588">
        <f>J35+J36</f>
        <v>17795.439999999999</v>
      </c>
      <c r="K37" s="588">
        <f>K35+K36</f>
        <v>8795.4399999999987</v>
      </c>
    </row>
    <row r="38" spans="4:11">
      <c r="D38" s="587" t="s">
        <v>205</v>
      </c>
      <c r="E38" s="587" t="s">
        <v>142</v>
      </c>
      <c r="F38" s="588">
        <f>G10</f>
        <v>107000</v>
      </c>
      <c r="G38" s="588">
        <f>F9</f>
        <v>96000</v>
      </c>
      <c r="I38" s="588">
        <f>G38-AA26</f>
        <v>89000</v>
      </c>
      <c r="J38" s="588">
        <f>I38-AB26</f>
        <v>86090</v>
      </c>
      <c r="K38" s="588">
        <f>J38-AC26</f>
        <v>86090</v>
      </c>
    </row>
    <row r="39" spans="4:11">
      <c r="D39" s="587" t="s">
        <v>206</v>
      </c>
      <c r="E39" s="587" t="s">
        <v>142</v>
      </c>
      <c r="F39" s="588">
        <f>G11</f>
        <v>0</v>
      </c>
      <c r="G39" s="588">
        <f>F11</f>
        <v>16000</v>
      </c>
      <c r="I39" s="588">
        <f>G39+AD26</f>
        <v>19000</v>
      </c>
      <c r="J39" s="588">
        <f>I39+AE26</f>
        <v>53000</v>
      </c>
      <c r="K39" s="588">
        <f>J39+AF26</f>
        <v>53000</v>
      </c>
    </row>
    <row r="41" spans="4:11">
      <c r="D41" s="587" t="s">
        <v>207</v>
      </c>
      <c r="F41" s="587">
        <v>2005</v>
      </c>
      <c r="G41" s="587">
        <v>2023</v>
      </c>
      <c r="I41" s="587">
        <v>2030</v>
      </c>
      <c r="J41" s="587">
        <v>2040</v>
      </c>
      <c r="K41" s="587">
        <v>2050</v>
      </c>
    </row>
    <row r="42" spans="4:11">
      <c r="D42" s="587" t="s">
        <v>208</v>
      </c>
      <c r="F42" s="586"/>
      <c r="G42" s="586">
        <f>G38/F10</f>
        <v>1</v>
      </c>
      <c r="I42" s="586">
        <f>I38/G38</f>
        <v>0.92708333333333337</v>
      </c>
      <c r="J42" s="586">
        <f>J38/F9</f>
        <v>0.89677083333333329</v>
      </c>
      <c r="K42" s="586">
        <f>K38/F9</f>
        <v>0.89677083333333329</v>
      </c>
    </row>
    <row r="43" spans="4:11">
      <c r="D43" s="587" t="s">
        <v>209</v>
      </c>
      <c r="F43" s="632"/>
      <c r="G43" s="632">
        <f>(G35+G36)/G38</f>
        <v>0.28552083333333333</v>
      </c>
      <c r="I43" s="632">
        <f>(I35+I36)/I38</f>
        <v>0.29083146067415733</v>
      </c>
      <c r="J43" s="632">
        <f>(J35+J36)/J38</f>
        <v>0.20670739923336043</v>
      </c>
      <c r="K43" s="632">
        <f>(K35+K36)/K38</f>
        <v>0.10216564060866533</v>
      </c>
    </row>
    <row r="44" spans="4:11">
      <c r="D44" s="587" t="s">
        <v>210</v>
      </c>
      <c r="F44" s="586"/>
      <c r="G44" s="586">
        <f>G39/G38</f>
        <v>0.16666666666666666</v>
      </c>
      <c r="I44" s="586">
        <f>I39/I38</f>
        <v>0.21348314606741572</v>
      </c>
      <c r="J44" s="586">
        <f>J39/J38</f>
        <v>0.6156348007898711</v>
      </c>
      <c r="K44" s="586">
        <f>K39/K38</f>
        <v>0.6156348007898711</v>
      </c>
    </row>
  </sheetData>
  <autoFilter ref="B13:N24" xr:uid="{3052E13C-FBA5-4A11-93DE-9AAEF9152B21}"/>
  <mergeCells count="19">
    <mergeCell ref="C2:D2"/>
    <mergeCell ref="O12:Q12"/>
    <mergeCell ref="R12:T12"/>
    <mergeCell ref="C3:D3"/>
    <mergeCell ref="C31:D31"/>
    <mergeCell ref="C4:D4"/>
    <mergeCell ref="C7:D7"/>
    <mergeCell ref="C9:D9"/>
    <mergeCell ref="C10:D10"/>
    <mergeCell ref="C11:D11"/>
    <mergeCell ref="C30:D30"/>
    <mergeCell ref="C29:D29"/>
    <mergeCell ref="AA12:AC12"/>
    <mergeCell ref="AD12:AF12"/>
    <mergeCell ref="X12:Z12"/>
    <mergeCell ref="C5:D5"/>
    <mergeCell ref="U12:W12"/>
    <mergeCell ref="C6:D6"/>
    <mergeCell ref="C8:D8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6A988497-87D2-4A91-984E-6CA963427732}">
          <x14:formula1>
            <xm:f>Paramètres!$A$57:$A$83</xm:f>
          </x14:formula1>
          <xm:sqref>D14:D24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1556C-A474-44FC-9452-811F10F5EC0A}">
  <dimension ref="A1:Y29"/>
  <sheetViews>
    <sheetView zoomScale="85" zoomScaleNormal="85" zoomScaleSheetLayoutView="70" workbookViewId="0">
      <pane xSplit="2" ySplit="4" topLeftCell="C5" activePane="bottomRight" state="frozen"/>
      <selection pane="topRight" activeCell="B9" sqref="B9:H9"/>
      <selection pane="bottomLeft" activeCell="B9" sqref="B9:H9"/>
      <selection pane="bottomRight" activeCell="C35" sqref="C35"/>
    </sheetView>
  </sheetViews>
  <sheetFormatPr baseColWidth="10" defaultColWidth="11.44140625" defaultRowHeight="13.2"/>
  <cols>
    <col min="1" max="1" width="7.88671875" hidden="1" customWidth="1"/>
    <col min="2" max="2" width="11.6640625" style="149" bestFit="1" customWidth="1"/>
    <col min="3" max="3" width="30.88671875" bestFit="1" customWidth="1"/>
    <col min="4" max="4" width="8.88671875" bestFit="1" customWidth="1"/>
    <col min="5" max="5" width="8" bestFit="1" customWidth="1"/>
    <col min="6" max="6" width="22.33203125" style="46" bestFit="1" customWidth="1"/>
    <col min="7" max="8" width="10.33203125" style="46" bestFit="1" customWidth="1"/>
    <col min="9" max="9" width="8" bestFit="1" customWidth="1"/>
    <col min="10" max="10" width="6.6640625" bestFit="1" customWidth="1"/>
    <col min="11" max="11" width="7.88671875" style="46" bestFit="1" customWidth="1"/>
    <col min="12" max="12" width="10" style="46" bestFit="1" customWidth="1"/>
    <col min="13" max="13" width="9.6640625" bestFit="1" customWidth="1"/>
    <col min="14" max="14" width="11.109375" bestFit="1" customWidth="1"/>
    <col min="15" max="15" width="9.5546875" bestFit="1" customWidth="1"/>
    <col min="16" max="16" width="10.88671875" bestFit="1" customWidth="1"/>
    <col min="17" max="17" width="16.6640625" bestFit="1" customWidth="1"/>
    <col min="18" max="18" width="26.33203125" bestFit="1" customWidth="1"/>
    <col min="19" max="20" width="10" bestFit="1" customWidth="1"/>
    <col min="21" max="21" width="8.5546875" customWidth="1"/>
    <col min="22" max="22" width="23.109375" bestFit="1" customWidth="1"/>
    <col min="23" max="23" width="10.88671875" bestFit="1" customWidth="1"/>
    <col min="24" max="24" width="6" style="46" bestFit="1" customWidth="1"/>
    <col min="25" max="25" width="5.5546875" style="46" bestFit="1" customWidth="1"/>
    <col min="26" max="26" width="12.109375" bestFit="1" customWidth="1"/>
  </cols>
  <sheetData>
    <row r="1" spans="1:25" ht="78.75" customHeight="1">
      <c r="A1" s="177" t="s">
        <v>211</v>
      </c>
      <c r="B1" s="762" t="s">
        <v>212</v>
      </c>
      <c r="C1" s="175" t="s">
        <v>213</v>
      </c>
      <c r="D1" s="764" t="s">
        <v>214</v>
      </c>
      <c r="E1" s="765"/>
      <c r="F1" s="768"/>
      <c r="G1" s="176"/>
      <c r="H1" s="176"/>
      <c r="I1" s="766" t="s">
        <v>215</v>
      </c>
      <c r="J1" s="767"/>
      <c r="K1" s="175" t="s">
        <v>216</v>
      </c>
      <c r="L1" s="175" t="s">
        <v>217</v>
      </c>
      <c r="M1" s="764" t="s">
        <v>218</v>
      </c>
      <c r="N1" s="765"/>
      <c r="O1" s="765"/>
      <c r="P1" s="175" t="s">
        <v>219</v>
      </c>
      <c r="Q1" s="175" t="s">
        <v>220</v>
      </c>
      <c r="R1" s="175" t="s">
        <v>221</v>
      </c>
      <c r="S1" s="175" t="s">
        <v>222</v>
      </c>
      <c r="T1" s="175" t="s">
        <v>223</v>
      </c>
    </row>
    <row r="2" spans="1:25">
      <c r="A2" s="174"/>
      <c r="B2" s="763"/>
      <c r="C2" s="173"/>
      <c r="D2" s="172"/>
      <c r="E2" s="171" t="s">
        <v>224</v>
      </c>
      <c r="F2" s="171" t="s">
        <v>225</v>
      </c>
      <c r="G2" s="171"/>
      <c r="H2" s="171"/>
      <c r="I2" s="172"/>
      <c r="J2" s="171"/>
      <c r="K2" s="170"/>
      <c r="L2" s="170"/>
      <c r="M2" s="170"/>
      <c r="N2" s="170"/>
      <c r="O2" s="170"/>
      <c r="P2" s="170"/>
      <c r="Q2" s="170" t="s">
        <v>226</v>
      </c>
      <c r="R2" s="170"/>
      <c r="S2" s="170"/>
      <c r="T2" s="170"/>
    </row>
    <row r="3" spans="1:25" ht="16.2" thickBot="1">
      <c r="A3" s="169"/>
      <c r="B3" s="168"/>
      <c r="C3" s="167"/>
      <c r="D3" s="166" t="s">
        <v>227</v>
      </c>
      <c r="E3" s="166" t="s">
        <v>228</v>
      </c>
      <c r="F3" s="166" t="s">
        <v>133</v>
      </c>
      <c r="G3" s="166" t="s">
        <v>229</v>
      </c>
      <c r="H3" s="166" t="s">
        <v>230</v>
      </c>
      <c r="I3" s="166" t="s">
        <v>231</v>
      </c>
      <c r="J3" s="166" t="s">
        <v>232</v>
      </c>
      <c r="K3" s="166" t="s">
        <v>233</v>
      </c>
      <c r="L3" s="166" t="s">
        <v>234</v>
      </c>
      <c r="M3" s="166"/>
      <c r="N3" s="166"/>
      <c r="O3" s="166"/>
      <c r="P3" s="166"/>
      <c r="Q3" s="166" t="s">
        <v>235</v>
      </c>
      <c r="R3" s="166"/>
      <c r="S3" s="166"/>
      <c r="T3" s="166"/>
    </row>
    <row r="4" spans="1:25" s="145" customFormat="1" hidden="1">
      <c r="A4" s="165">
        <v>1</v>
      </c>
      <c r="B4" s="164" t="s">
        <v>236</v>
      </c>
      <c r="C4" s="163">
        <v>3</v>
      </c>
      <c r="D4" s="163" t="s">
        <v>214</v>
      </c>
      <c r="E4" s="163" t="s">
        <v>237</v>
      </c>
      <c r="F4" s="163" t="s">
        <v>238</v>
      </c>
      <c r="G4" s="163" t="s">
        <v>239</v>
      </c>
      <c r="H4" s="163" t="s">
        <v>239</v>
      </c>
      <c r="I4" s="163">
        <v>4</v>
      </c>
      <c r="J4" s="163">
        <v>5</v>
      </c>
      <c r="K4" s="163" t="s">
        <v>240</v>
      </c>
      <c r="L4" s="163" t="s">
        <v>217</v>
      </c>
      <c r="M4" s="162">
        <v>11</v>
      </c>
      <c r="N4" s="162">
        <v>13</v>
      </c>
      <c r="O4" s="162">
        <v>15</v>
      </c>
      <c r="P4" s="162">
        <v>26</v>
      </c>
      <c r="Q4" s="162">
        <v>27</v>
      </c>
      <c r="R4" s="161">
        <v>28</v>
      </c>
      <c r="S4" s="151"/>
      <c r="T4" s="151"/>
      <c r="U4" s="151"/>
      <c r="V4" s="151"/>
      <c r="X4" s="128"/>
      <c r="Y4" s="128"/>
    </row>
    <row r="5" spans="1:25" ht="13.8" thickBot="1">
      <c r="A5" s="156">
        <v>7</v>
      </c>
      <c r="B5" s="160" t="str">
        <f>'AA1'!$F$5</f>
        <v>AA1</v>
      </c>
      <c r="C5" s="154" t="str">
        <f>'AA1'!$B$9</f>
        <v>Extension PV</v>
      </c>
      <c r="D5" s="159">
        <f>'AA1'!$G$61</f>
        <v>0</v>
      </c>
      <c r="E5" s="153">
        <f>'AA1'!$N$18</f>
        <v>0</v>
      </c>
      <c r="F5" s="419" t="str">
        <f>'AA1'!$N$17</f>
        <v>PROJET NON RENTABLE</v>
      </c>
      <c r="G5" s="158" t="str">
        <f>'AA1'!$F$27</f>
        <v>B</v>
      </c>
      <c r="H5" s="158" t="str">
        <f>'AA1'!$B$13</f>
        <v>SER PV, éolien, géothermie, solaire</v>
      </c>
      <c r="I5" s="159">
        <f>'AA1'!F$23</f>
        <v>0</v>
      </c>
      <c r="J5" s="159">
        <f>'AA1'!$G$67</f>
        <v>0</v>
      </c>
      <c r="K5" s="157">
        <f>'AA1'!$G$77</f>
        <v>3000</v>
      </c>
      <c r="L5" s="157">
        <f>'AA1'!$G$87</f>
        <v>648000</v>
      </c>
      <c r="M5" s="157"/>
      <c r="N5" s="157"/>
      <c r="O5" s="157"/>
      <c r="P5" s="157"/>
      <c r="Q5" s="157"/>
      <c r="R5" s="157"/>
      <c r="S5" s="152">
        <f>K5/$D$12</f>
        <v>3.125E-2</v>
      </c>
      <c r="T5" s="152">
        <f>L5/$F$12</f>
        <v>2.3641006931776724E-2</v>
      </c>
      <c r="U5" s="151"/>
      <c r="V5" s="151"/>
    </row>
    <row r="6" spans="1:25" ht="13.8" thickBot="1">
      <c r="A6" s="156">
        <v>7</v>
      </c>
      <c r="B6" s="160" t="str">
        <f>'AA1'!$F$5</f>
        <v>AA1</v>
      </c>
      <c r="C6" s="154" t="str">
        <f>'AA1'!$B$9</f>
        <v>Extension PV</v>
      </c>
      <c r="D6" s="159">
        <f>'AA1'!$G$61</f>
        <v>0</v>
      </c>
      <c r="E6" s="153">
        <f>'AA1'!$N$18</f>
        <v>0</v>
      </c>
      <c r="F6" s="419" t="str">
        <f>'AA1'!$N$17</f>
        <v>PROJET NON RENTABLE</v>
      </c>
      <c r="G6" s="158" t="str">
        <f>'AA1'!$F$27</f>
        <v>B</v>
      </c>
      <c r="H6" s="158" t="str">
        <f>'AA1'!$B$13</f>
        <v>SER PV, éolien, géothermie, solaire</v>
      </c>
      <c r="I6" s="159">
        <f>'AA1'!F$23</f>
        <v>0</v>
      </c>
      <c r="J6" s="159">
        <f>'AA1'!$G$67</f>
        <v>0</v>
      </c>
      <c r="K6" s="157">
        <f>'AA1'!$G$77</f>
        <v>3000</v>
      </c>
      <c r="L6" s="157">
        <f>'AA1'!$G$87</f>
        <v>648000</v>
      </c>
      <c r="M6" s="157"/>
      <c r="N6" s="157"/>
      <c r="O6" s="157"/>
      <c r="P6" s="157"/>
      <c r="Q6" s="157"/>
      <c r="R6" s="157"/>
      <c r="S6" s="152">
        <f>K6/$D$12</f>
        <v>3.125E-2</v>
      </c>
      <c r="T6" s="152">
        <f>L6/$F$12</f>
        <v>2.3641006931776724E-2</v>
      </c>
      <c r="U6" s="151"/>
      <c r="V6" s="151"/>
    </row>
    <row r="7" spans="1:25">
      <c r="A7" s="156">
        <v>3</v>
      </c>
      <c r="B7" s="573"/>
      <c r="C7" s="574"/>
      <c r="D7" s="575"/>
      <c r="E7" s="576"/>
      <c r="F7" s="577"/>
      <c r="G7" s="577"/>
      <c r="H7" s="577"/>
      <c r="I7" s="575"/>
      <c r="J7" s="575"/>
      <c r="K7" s="578"/>
      <c r="L7" s="578"/>
      <c r="M7" s="578"/>
      <c r="N7" s="578"/>
      <c r="O7" s="578"/>
      <c r="P7" s="578"/>
      <c r="Q7" s="577"/>
      <c r="R7" s="574"/>
      <c r="S7" s="579"/>
      <c r="T7" s="580"/>
      <c r="U7" s="151"/>
      <c r="V7" s="151"/>
    </row>
    <row r="8" spans="1:25">
      <c r="A8" s="156">
        <v>11</v>
      </c>
      <c r="B8" s="150"/>
      <c r="U8" s="151"/>
      <c r="V8" s="151"/>
    </row>
    <row r="9" spans="1:25" ht="15.6">
      <c r="A9" s="156">
        <v>9</v>
      </c>
      <c r="B9" s="150"/>
      <c r="U9" s="151"/>
      <c r="V9" s="148" t="s">
        <v>37</v>
      </c>
      <c r="W9" s="200" t="s">
        <v>239</v>
      </c>
      <c r="X9" s="147" t="s">
        <v>241</v>
      </c>
      <c r="Y9"/>
    </row>
    <row r="10" spans="1:25" ht="16.2">
      <c r="A10" s="156">
        <v>8</v>
      </c>
      <c r="B10" s="150"/>
      <c r="C10" s="220"/>
      <c r="D10" s="221" t="s">
        <v>242</v>
      </c>
      <c r="E10" s="221" t="s">
        <v>243</v>
      </c>
      <c r="F10" s="221" t="s">
        <v>244</v>
      </c>
      <c r="G10" s="185" t="s">
        <v>245</v>
      </c>
      <c r="H10" s="185" t="s">
        <v>245</v>
      </c>
      <c r="U10" s="151"/>
      <c r="V10" s="146" t="s">
        <v>246</v>
      </c>
      <c r="W10" s="200" t="s">
        <v>85</v>
      </c>
      <c r="X10" s="581">
        <v>1</v>
      </c>
      <c r="Y10"/>
    </row>
    <row r="11" spans="1:25" ht="15.6">
      <c r="A11" s="156">
        <v>1</v>
      </c>
      <c r="B11" s="150"/>
      <c r="C11" s="222" t="s">
        <v>247</v>
      </c>
      <c r="D11" s="223">
        <f>'2023'!H35</f>
        <v>96000</v>
      </c>
      <c r="E11" s="224"/>
      <c r="F11" s="223">
        <f>'2023'!H36</f>
        <v>27410000</v>
      </c>
      <c r="G11" s="218"/>
      <c r="H11" s="218"/>
      <c r="U11" s="151"/>
      <c r="V11" s="202" t="s">
        <v>248</v>
      </c>
      <c r="W11" s="200" t="s">
        <v>85</v>
      </c>
      <c r="X11" s="480">
        <v>0</v>
      </c>
      <c r="Y11"/>
    </row>
    <row r="12" spans="1:25" ht="15.6">
      <c r="A12" s="156"/>
      <c r="B12" s="150"/>
      <c r="C12" s="222" t="s">
        <v>249</v>
      </c>
      <c r="D12" s="223">
        <f>'2023'!T17</f>
        <v>96000</v>
      </c>
      <c r="E12" s="221"/>
      <c r="F12" s="223">
        <f>'2023'!U17</f>
        <v>27410000</v>
      </c>
      <c r="G12" s="221"/>
      <c r="H12" s="221"/>
      <c r="U12" s="151"/>
      <c r="V12" s="202" t="s">
        <v>250</v>
      </c>
      <c r="W12" s="200" t="s">
        <v>85</v>
      </c>
      <c r="X12" s="480">
        <v>0</v>
      </c>
      <c r="Y12"/>
    </row>
    <row r="13" spans="1:25" ht="16.2" thickBot="1">
      <c r="A13" s="155">
        <v>6</v>
      </c>
      <c r="B13" s="150"/>
      <c r="C13" s="226" t="s">
        <v>251</v>
      </c>
      <c r="D13" s="223">
        <f>D12-D11</f>
        <v>0</v>
      </c>
      <c r="E13" s="225">
        <f>1-D11/D12</f>
        <v>0</v>
      </c>
      <c r="F13" s="223">
        <f>F12-F11</f>
        <v>0</v>
      </c>
      <c r="G13" s="225">
        <f>1-F11/F12</f>
        <v>0</v>
      </c>
      <c r="H13" s="225" t="e">
        <f>1-G11/G12</f>
        <v>#DIV/0!</v>
      </c>
      <c r="U13" s="151"/>
      <c r="V13" s="582" t="s">
        <v>252</v>
      </c>
      <c r="W13" s="200" t="s">
        <v>85</v>
      </c>
      <c r="X13" s="481">
        <v>0</v>
      </c>
      <c r="Y13"/>
    </row>
    <row r="14" spans="1:25" ht="15.6">
      <c r="B14" s="150"/>
      <c r="C14" s="219"/>
      <c r="D14" s="221"/>
      <c r="E14" s="2"/>
      <c r="F14" s="221"/>
      <c r="G14" s="218"/>
      <c r="H14" s="218"/>
      <c r="U14" s="151"/>
      <c r="V14" s="200" t="s">
        <v>253</v>
      </c>
      <c r="W14" s="200" t="s">
        <v>85</v>
      </c>
      <c r="X14" s="583">
        <v>1</v>
      </c>
      <c r="Y14"/>
    </row>
    <row r="15" spans="1:25" ht="15.6">
      <c r="B15" s="150"/>
      <c r="C15" s="222" t="s">
        <v>254</v>
      </c>
      <c r="D15" s="223">
        <f>SUM($K$6:$K$6)</f>
        <v>3000</v>
      </c>
      <c r="E15" s="225">
        <f>D15/D12</f>
        <v>3.125E-2</v>
      </c>
      <c r="F15" s="223">
        <f>SUM($L$6:$L$6)</f>
        <v>648000</v>
      </c>
      <c r="G15" s="225">
        <f>F15/F12</f>
        <v>2.3641006931776724E-2</v>
      </c>
      <c r="H15" s="225" t="e">
        <f>G15/G12</f>
        <v>#DIV/0!</v>
      </c>
      <c r="V15" s="200" t="s">
        <v>255</v>
      </c>
      <c r="W15" s="201"/>
      <c r="X15" s="583">
        <v>1</v>
      </c>
      <c r="Y15"/>
    </row>
    <row r="16" spans="1:25" ht="15.6">
      <c r="B16" s="150"/>
      <c r="V16" s="200" t="s">
        <v>256</v>
      </c>
      <c r="W16" s="201"/>
      <c r="X16" s="480">
        <v>0</v>
      </c>
      <c r="Y16"/>
    </row>
    <row r="17" spans="2:25" ht="15.6">
      <c r="V17" s="200" t="s">
        <v>257</v>
      </c>
      <c r="W17" s="201"/>
      <c r="X17" s="480">
        <v>0</v>
      </c>
      <c r="Y17"/>
    </row>
    <row r="18" spans="2:25" ht="15.6">
      <c r="V18" s="200" t="s">
        <v>258</v>
      </c>
      <c r="W18" s="201"/>
      <c r="X18" s="481">
        <v>0</v>
      </c>
      <c r="Y18"/>
    </row>
    <row r="19" spans="2:25" ht="15.6">
      <c r="V19" s="203" t="s">
        <v>259</v>
      </c>
      <c r="W19" s="204"/>
      <c r="X19" s="584">
        <v>1</v>
      </c>
      <c r="Y19"/>
    </row>
    <row r="20" spans="2:25">
      <c r="X20"/>
      <c r="Y20"/>
    </row>
    <row r="21" spans="2:25">
      <c r="X21"/>
      <c r="Y21"/>
    </row>
    <row r="22" spans="2:25">
      <c r="X22"/>
      <c r="Y22"/>
    </row>
    <row r="23" spans="2:25">
      <c r="B23" s="117"/>
      <c r="X23"/>
    </row>
    <row r="24" spans="2:25">
      <c r="X24"/>
    </row>
    <row r="25" spans="2:25">
      <c r="X25"/>
    </row>
    <row r="26" spans="2:25">
      <c r="X26"/>
    </row>
    <row r="27" spans="2:25">
      <c r="X27"/>
    </row>
    <row r="28" spans="2:25">
      <c r="X28"/>
    </row>
    <row r="29" spans="2:25">
      <c r="X29"/>
    </row>
  </sheetData>
  <mergeCells count="4">
    <mergeCell ref="B1:B2"/>
    <mergeCell ref="M1:O1"/>
    <mergeCell ref="I1:J1"/>
    <mergeCell ref="D1:F1"/>
  </mergeCells>
  <printOptions horizontalCentered="1" verticalCentered="1" gridLines="1"/>
  <pageMargins left="0.39370078740157483" right="0.39370078740157483" top="0.98425196850393704" bottom="0.98425196850393704" header="0.51181102362204722" footer="0.51181102362204722"/>
  <pageSetup paperSize="9" orientation="landscape" horizontalDpi="1200" verticalDpi="1200" r:id="rId2"/>
  <headerFooter alignWithMargins="0">
    <oddHeader>&amp;C&amp;"Arial,Gras"&amp;14ECONOTEC / 3J-CONSULT
&amp;"Arial,Normal"&amp;12Fiches de description d'améliorations</oddHeader>
    <oddFooter>&amp;L&amp;D&amp;CFichier : &amp;F&amp;ROnglet : &amp;A</oddFooter>
  </headerFooter>
  <colBreaks count="1" manualBreakCount="1">
    <brk id="2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5734C-EBEE-4838-A538-2800CB397996}">
  <dimension ref="B1:AR116"/>
  <sheetViews>
    <sheetView topLeftCell="A12" zoomScaleNormal="100" workbookViewId="0">
      <selection activeCell="C37" sqref="C37"/>
    </sheetView>
  </sheetViews>
  <sheetFormatPr baseColWidth="10" defaultColWidth="11.44140625" defaultRowHeight="13.2"/>
  <cols>
    <col min="1" max="1" width="1.88671875" customWidth="1"/>
    <col min="2" max="2" width="16.88671875" customWidth="1"/>
    <col min="6" max="6" width="14" bestFit="1" customWidth="1"/>
    <col min="7" max="7" width="11.88671875" customWidth="1"/>
    <col min="8" max="8" width="12.6640625" bestFit="1" customWidth="1"/>
    <col min="10" max="10" width="49" bestFit="1" customWidth="1"/>
    <col min="11" max="11" width="31.109375" bestFit="1" customWidth="1"/>
    <col min="12" max="12" width="41.44140625" bestFit="1" customWidth="1"/>
    <col min="13" max="13" width="35.5546875" bestFit="1" customWidth="1"/>
    <col min="14" max="14" width="10.109375" bestFit="1" customWidth="1"/>
    <col min="15" max="15" width="9.6640625" bestFit="1" customWidth="1"/>
    <col min="16" max="18" width="5" bestFit="1" customWidth="1"/>
    <col min="19" max="29" width="5.33203125" bestFit="1" customWidth="1"/>
    <col min="30" max="44" width="2.88671875" bestFit="1" customWidth="1"/>
  </cols>
  <sheetData>
    <row r="1" spans="2:44" ht="21">
      <c r="B1" s="772" t="str">
        <f>Entête!C15</f>
        <v>NOM DE L'ENTITE</v>
      </c>
      <c r="C1" s="773"/>
      <c r="D1" s="773"/>
      <c r="E1" s="773"/>
      <c r="F1" s="773"/>
      <c r="G1" s="773"/>
      <c r="H1" s="774"/>
      <c r="J1" s="250"/>
      <c r="K1" s="250"/>
      <c r="L1" s="250"/>
      <c r="M1" s="251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</row>
    <row r="2" spans="2:44" ht="21">
      <c r="B2" s="775"/>
      <c r="C2" s="776"/>
      <c r="D2" s="776"/>
      <c r="E2" s="776"/>
      <c r="F2" s="776"/>
      <c r="G2" s="776"/>
      <c r="H2" s="777"/>
      <c r="J2" s="778" t="s">
        <v>260</v>
      </c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79"/>
      <c r="AP2" s="779"/>
      <c r="AQ2" s="779"/>
      <c r="AR2" s="779"/>
    </row>
    <row r="3" spans="2:44" ht="16.2" thickBot="1">
      <c r="B3" s="780" t="s">
        <v>261</v>
      </c>
      <c r="C3" s="781"/>
      <c r="D3" s="781"/>
      <c r="E3" s="781"/>
      <c r="F3" s="781"/>
      <c r="G3" s="781"/>
      <c r="H3" s="782"/>
      <c r="J3" s="375"/>
      <c r="K3" s="375"/>
      <c r="L3" s="375"/>
      <c r="M3" s="416"/>
      <c r="N3" s="375"/>
      <c r="O3" s="375"/>
      <c r="P3" s="375"/>
      <c r="Q3" s="375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</row>
    <row r="4" spans="2:44">
      <c r="J4" s="375"/>
      <c r="K4" s="375"/>
      <c r="L4" s="375"/>
      <c r="M4" s="375"/>
      <c r="N4" s="375"/>
      <c r="O4" s="375"/>
      <c r="P4" s="375"/>
      <c r="Q4" s="375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</row>
    <row r="5" spans="2:44" ht="16.2" thickBot="1">
      <c r="B5" s="198" t="s">
        <v>262</v>
      </c>
      <c r="F5" s="783" t="s">
        <v>263</v>
      </c>
      <c r="G5" s="784"/>
      <c r="J5" s="375"/>
      <c r="K5" s="375"/>
      <c r="L5" s="375"/>
      <c r="M5" s="417"/>
      <c r="N5" s="375"/>
      <c r="O5" s="375"/>
      <c r="P5" s="375"/>
      <c r="Q5" s="375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</row>
    <row r="6" spans="2:44" ht="16.2" thickBot="1">
      <c r="B6" s="198"/>
      <c r="G6" s="199"/>
      <c r="J6" s="376" t="s">
        <v>264</v>
      </c>
      <c r="K6" s="389"/>
      <c r="L6" s="785"/>
      <c r="M6" s="785"/>
      <c r="N6" s="387"/>
      <c r="O6" s="387"/>
      <c r="P6" s="387"/>
      <c r="Q6" s="387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4"/>
      <c r="AE6" s="414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</row>
    <row r="7" spans="2:44" ht="16.2" thickBot="1">
      <c r="B7" s="198" t="s">
        <v>265</v>
      </c>
      <c r="J7" s="388"/>
      <c r="K7" s="387"/>
      <c r="L7" s="785"/>
      <c r="M7" s="785"/>
      <c r="N7" s="387"/>
      <c r="O7" s="387"/>
      <c r="P7" s="387"/>
      <c r="Q7" s="387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4"/>
      <c r="AE7" s="414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</row>
    <row r="8" spans="2:44" ht="16.2" thickBot="1">
      <c r="J8" s="786" t="s">
        <v>266</v>
      </c>
      <c r="K8" s="787"/>
      <c r="L8" s="374"/>
      <c r="M8" s="786" t="s">
        <v>267</v>
      </c>
      <c r="N8" s="787"/>
      <c r="O8" s="374"/>
      <c r="P8" s="374"/>
      <c r="Q8" s="374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</row>
    <row r="9" spans="2:44" ht="16.2" thickBot="1">
      <c r="B9" s="788"/>
      <c r="C9" s="789"/>
      <c r="D9" s="789"/>
      <c r="E9" s="789"/>
      <c r="F9" s="789"/>
      <c r="G9" s="789"/>
      <c r="H9" s="790"/>
      <c r="J9" s="262"/>
      <c r="K9" s="262"/>
      <c r="L9" s="262"/>
      <c r="M9" s="262"/>
      <c r="N9" s="262"/>
      <c r="O9" s="262"/>
      <c r="P9" s="262"/>
      <c r="Q9" s="262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</row>
    <row r="10" spans="2:44" ht="16.2" thickBot="1">
      <c r="J10" s="378" t="s">
        <v>268</v>
      </c>
      <c r="K10" s="376" t="s">
        <v>55</v>
      </c>
      <c r="L10" s="262"/>
      <c r="M10" s="386" t="s">
        <v>269</v>
      </c>
      <c r="N10" s="385" t="str">
        <f>M93</f>
        <v>PROJET NON RENTABLE</v>
      </c>
      <c r="O10" s="262"/>
      <c r="P10" s="262"/>
      <c r="Q10" s="262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</row>
    <row r="11" spans="2:44" ht="15.6">
      <c r="B11" s="198" t="s">
        <v>191</v>
      </c>
      <c r="J11" s="262"/>
      <c r="K11" s="621"/>
      <c r="L11" s="262"/>
      <c r="M11" s="622"/>
      <c r="N11" s="623"/>
      <c r="O11" s="262"/>
      <c r="P11" s="262"/>
      <c r="Q11" s="262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</row>
    <row r="12" spans="2:44" ht="15.6">
      <c r="B12" s="635" t="s">
        <v>270</v>
      </c>
      <c r="J12" s="262"/>
      <c r="K12" s="621"/>
      <c r="L12" s="262"/>
      <c r="M12" s="622"/>
      <c r="N12" s="623"/>
      <c r="O12" s="262"/>
      <c r="P12" s="262"/>
      <c r="Q12" s="262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2:44" ht="24.9" customHeight="1">
      <c r="B13" s="788"/>
      <c r="C13" s="790"/>
      <c r="J13" s="262"/>
      <c r="K13" s="621"/>
      <c r="L13" s="262"/>
      <c r="M13" s="622"/>
      <c r="N13" s="623"/>
      <c r="O13" s="262"/>
      <c r="P13" s="262"/>
      <c r="Q13" s="262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</row>
    <row r="14" spans="2:44" ht="15.6">
      <c r="B14" s="199"/>
      <c r="J14" s="262"/>
      <c r="K14" s="621"/>
      <c r="L14" s="262"/>
      <c r="M14" s="622"/>
      <c r="N14" s="623"/>
      <c r="O14" s="262"/>
      <c r="P14" s="262"/>
      <c r="Q14" s="262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</row>
    <row r="15" spans="2:44" ht="16.2" thickBot="1">
      <c r="B15" s="198" t="s">
        <v>271</v>
      </c>
      <c r="J15" s="262"/>
      <c r="K15" s="262"/>
      <c r="L15" s="262"/>
      <c r="M15" s="384" t="s">
        <v>272</v>
      </c>
      <c r="N15" s="383">
        <f>M94</f>
        <v>0</v>
      </c>
      <c r="O15" s="262"/>
      <c r="P15" s="262"/>
      <c r="Q15" s="262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</row>
    <row r="16" spans="2:44" ht="16.2" thickBot="1">
      <c r="J16" s="378" t="s">
        <v>51</v>
      </c>
      <c r="K16" s="381">
        <f>VLOOKUP(K10,Paramètres!A27:C29,3)</f>
        <v>15</v>
      </c>
      <c r="L16" s="375"/>
      <c r="M16" s="310"/>
      <c r="N16" s="310"/>
      <c r="O16" s="262"/>
      <c r="P16" s="262"/>
      <c r="Q16" s="262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</row>
    <row r="17" spans="2:44" ht="29.25" customHeight="1" thickBot="1">
      <c r="B17" s="769"/>
      <c r="C17" s="770"/>
      <c r="D17" s="770"/>
      <c r="E17" s="770"/>
      <c r="F17" s="770"/>
      <c r="G17" s="770"/>
      <c r="H17" s="771"/>
      <c r="J17" s="262"/>
      <c r="K17" s="262"/>
      <c r="L17" s="375"/>
      <c r="M17" s="300" t="s">
        <v>273</v>
      </c>
      <c r="N17" s="382" t="str">
        <f>M115</f>
        <v>PROJET NON RENTABLE</v>
      </c>
      <c r="O17" s="262"/>
      <c r="P17" s="262"/>
      <c r="Q17" s="262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</row>
    <row r="18" spans="2:44" ht="16.2" thickBot="1">
      <c r="J18" s="378" t="s">
        <v>274</v>
      </c>
      <c r="K18" s="381">
        <f>VLOOKUP(K10,Paramètres!A27:D29,4)</f>
        <v>8</v>
      </c>
      <c r="L18" s="262"/>
      <c r="M18" s="311" t="s">
        <v>275</v>
      </c>
      <c r="N18" s="380">
        <f>M116</f>
        <v>0</v>
      </c>
      <c r="O18" s="262"/>
      <c r="P18" s="262"/>
      <c r="Q18" s="262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</row>
    <row r="19" spans="2:44" ht="16.2" thickBot="1">
      <c r="B19" s="198" t="s">
        <v>276</v>
      </c>
      <c r="J19" s="262"/>
      <c r="K19" s="262"/>
      <c r="L19" s="262"/>
      <c r="M19" s="375"/>
      <c r="N19" s="375"/>
      <c r="O19" s="262"/>
      <c r="P19" s="262"/>
      <c r="Q19" s="262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</row>
    <row r="20" spans="2:44" ht="16.2" thickBot="1">
      <c r="J20" s="377" t="s">
        <v>277</v>
      </c>
      <c r="K20" s="379">
        <v>10</v>
      </c>
      <c r="L20" s="262"/>
      <c r="M20" s="262"/>
      <c r="N20" s="418"/>
      <c r="O20" s="262"/>
      <c r="P20" s="262"/>
      <c r="Q20" s="262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</row>
    <row r="21" spans="2:44" ht="16.2" thickBot="1">
      <c r="B21" s="769"/>
      <c r="C21" s="770"/>
      <c r="D21" s="770"/>
      <c r="E21" s="770"/>
      <c r="F21" s="770"/>
      <c r="G21" s="770"/>
      <c r="H21" s="771"/>
      <c r="J21" s="374"/>
      <c r="K21" s="262"/>
      <c r="L21" s="262"/>
      <c r="M21" s="262"/>
      <c r="N21" s="418"/>
      <c r="O21" s="262"/>
      <c r="P21" s="262"/>
      <c r="Q21" s="262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</row>
    <row r="22" spans="2:44" ht="16.2" thickBot="1">
      <c r="J22" s="378" t="s">
        <v>278</v>
      </c>
      <c r="K22" s="376" t="s">
        <v>279</v>
      </c>
      <c r="L22" s="262"/>
      <c r="M22" s="262"/>
      <c r="N22" s="262"/>
      <c r="O22" s="262"/>
      <c r="P22" s="262"/>
      <c r="Q22" s="262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</row>
    <row r="23" spans="2:44" ht="16.2" thickBot="1">
      <c r="B23" s="198" t="s">
        <v>280</v>
      </c>
      <c r="F23" s="421">
        <f>C50*Paramètres!C13+C51*Paramètres!D13</f>
        <v>0</v>
      </c>
      <c r="G23" s="145"/>
      <c r="J23" s="377" t="s">
        <v>281</v>
      </c>
      <c r="K23" s="376" t="s">
        <v>282</v>
      </c>
      <c r="L23" s="262"/>
      <c r="M23" s="262"/>
      <c r="N23" s="262"/>
      <c r="O23" s="262"/>
      <c r="P23" s="262"/>
      <c r="Q23" s="262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</row>
    <row r="24" spans="2:44" ht="15.6">
      <c r="J24" s="262"/>
      <c r="K24" s="262"/>
      <c r="L24" s="262"/>
      <c r="M24" s="262"/>
      <c r="N24" s="262"/>
      <c r="O24" s="262"/>
      <c r="P24" s="262"/>
      <c r="Q24" s="262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</row>
    <row r="25" spans="2:44" ht="16.2" thickBot="1">
      <c r="B25" s="198" t="s">
        <v>283</v>
      </c>
      <c r="F25" s="421">
        <f>+G61*1000</f>
        <v>0</v>
      </c>
      <c r="J25" s="374"/>
      <c r="K25" s="262"/>
      <c r="L25" s="262"/>
      <c r="M25" s="262"/>
      <c r="N25" s="262"/>
      <c r="O25" s="262"/>
      <c r="P25" s="302"/>
      <c r="Q25" s="302"/>
      <c r="R25" s="302"/>
      <c r="S25" s="302"/>
      <c r="T25" s="302"/>
      <c r="U25" s="302"/>
      <c r="V25" s="302"/>
      <c r="W25" s="302"/>
      <c r="X25" s="302"/>
      <c r="Y25" s="321"/>
      <c r="Z25" s="321"/>
      <c r="AA25" s="321"/>
      <c r="AB25" s="321"/>
      <c r="AC25" s="321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</row>
    <row r="26" spans="2:44" ht="16.2" thickBot="1">
      <c r="J26" s="786" t="s">
        <v>284</v>
      </c>
      <c r="K26" s="793"/>
      <c r="L26" s="793"/>
      <c r="M26" s="793"/>
      <c r="N26" s="793"/>
      <c r="O26" s="793"/>
      <c r="P26" s="793"/>
      <c r="Q26" s="787"/>
      <c r="R26" s="302"/>
      <c r="S26" s="302"/>
      <c r="T26" s="302"/>
      <c r="U26" s="302"/>
      <c r="V26" s="302"/>
      <c r="W26" s="302"/>
      <c r="X26" s="302"/>
      <c r="Y26" s="321"/>
      <c r="Z26" s="321"/>
      <c r="AA26" s="321"/>
      <c r="AB26" s="321"/>
      <c r="AC26" s="321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</row>
    <row r="27" spans="2:44" ht="15.6">
      <c r="B27" s="198" t="s">
        <v>78</v>
      </c>
      <c r="F27" s="628" t="s">
        <v>85</v>
      </c>
      <c r="G27" s="420"/>
      <c r="J27" s="374"/>
      <c r="K27" s="262"/>
      <c r="L27" s="262"/>
      <c r="M27" s="262"/>
      <c r="N27" s="262"/>
      <c r="O27" s="262"/>
      <c r="P27" s="302"/>
      <c r="Q27" s="302"/>
      <c r="R27" s="302"/>
      <c r="S27" s="302"/>
      <c r="T27" s="302"/>
      <c r="U27" s="302"/>
      <c r="V27" s="302"/>
      <c r="W27" s="302"/>
      <c r="X27" s="302"/>
      <c r="Y27" s="321"/>
      <c r="Z27" s="321"/>
      <c r="AA27" s="321"/>
      <c r="AB27" s="321"/>
      <c r="AC27" s="321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</row>
    <row r="28" spans="2:44" ht="15.6">
      <c r="B28" s="198"/>
      <c r="F28" s="199"/>
      <c r="G28" s="420"/>
      <c r="J28" s="374"/>
      <c r="K28" s="262"/>
      <c r="L28" s="262"/>
      <c r="M28" s="262"/>
      <c r="N28" s="262"/>
      <c r="O28" s="262"/>
      <c r="P28" s="302"/>
      <c r="Q28" s="302"/>
      <c r="R28" s="302"/>
      <c r="S28" s="302"/>
      <c r="T28" s="302"/>
      <c r="U28" s="302"/>
      <c r="V28" s="302"/>
      <c r="W28" s="302"/>
      <c r="X28" s="302"/>
      <c r="Y28" s="321"/>
      <c r="Z28" s="321"/>
      <c r="AA28" s="321"/>
      <c r="AB28" s="321"/>
      <c r="AC28" s="321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</row>
    <row r="29" spans="2:44" ht="15.6">
      <c r="C29" s="198" t="s">
        <v>285</v>
      </c>
      <c r="F29" s="199"/>
      <c r="G29" s="420"/>
      <c r="J29" s="374"/>
      <c r="K29" s="262"/>
      <c r="L29" s="262"/>
      <c r="M29" s="262"/>
      <c r="N29" s="262"/>
      <c r="O29" s="262"/>
      <c r="P29" s="302"/>
      <c r="Q29" s="302"/>
      <c r="R29" s="302"/>
      <c r="S29" s="302"/>
      <c r="T29" s="302"/>
      <c r="U29" s="302"/>
      <c r="V29" s="302"/>
      <c r="W29" s="302"/>
      <c r="X29" s="302"/>
      <c r="Y29" s="321"/>
      <c r="Z29" s="321"/>
      <c r="AA29" s="321"/>
      <c r="AB29" s="321"/>
      <c r="AC29" s="321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</row>
    <row r="30" spans="2:44" ht="16.2" thickBot="1">
      <c r="B30" s="198"/>
      <c r="C30" s="635" t="s">
        <v>270</v>
      </c>
      <c r="F30" s="199"/>
      <c r="G30" s="420"/>
      <c r="J30" s="374"/>
      <c r="K30" s="262"/>
      <c r="L30" s="262"/>
      <c r="M30" s="262"/>
      <c r="N30" s="262"/>
      <c r="O30" s="262"/>
      <c r="P30" s="302"/>
      <c r="Q30" s="302"/>
      <c r="R30" s="302"/>
      <c r="S30" s="302"/>
      <c r="T30" s="302"/>
      <c r="U30" s="302"/>
      <c r="V30" s="302"/>
      <c r="W30" s="302"/>
      <c r="X30" s="302"/>
      <c r="Y30" s="321"/>
      <c r="Z30" s="321"/>
      <c r="AA30" s="321"/>
      <c r="AB30" s="321"/>
      <c r="AC30" s="321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</row>
    <row r="31" spans="2:44" ht="12.9" customHeight="1">
      <c r="B31" t="s">
        <v>286</v>
      </c>
      <c r="C31" s="794" t="s">
        <v>81</v>
      </c>
      <c r="D31" s="795"/>
      <c r="E31" s="795"/>
      <c r="F31" s="796"/>
      <c r="G31" s="420"/>
      <c r="J31" s="373"/>
      <c r="K31" s="302"/>
      <c r="L31" s="302"/>
      <c r="M31" s="319"/>
      <c r="N31" s="797" t="s">
        <v>287</v>
      </c>
      <c r="O31" s="798"/>
      <c r="P31" s="302"/>
      <c r="Q31" s="302"/>
      <c r="R31" s="302"/>
      <c r="S31" s="302"/>
      <c r="T31" s="302"/>
      <c r="U31" s="302"/>
      <c r="V31" s="302"/>
      <c r="W31" s="321"/>
      <c r="X31" s="321"/>
      <c r="Y31" s="321"/>
      <c r="Z31" s="321"/>
      <c r="AA31" s="321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</row>
    <row r="32" spans="2:44" ht="16.2" thickBot="1">
      <c r="B32" s="198"/>
      <c r="C32" s="625"/>
      <c r="D32" s="625"/>
      <c r="E32" s="625"/>
      <c r="F32" s="626"/>
      <c r="G32" s="420"/>
      <c r="J32" s="374"/>
      <c r="K32" s="262"/>
      <c r="L32" s="262"/>
      <c r="M32" s="262"/>
      <c r="N32" s="262"/>
      <c r="O32" s="262"/>
      <c r="P32" s="302"/>
      <c r="Q32" s="302"/>
      <c r="R32" s="302"/>
      <c r="S32" s="302"/>
      <c r="T32" s="302"/>
      <c r="U32" s="302"/>
      <c r="V32" s="302"/>
      <c r="W32" s="302"/>
      <c r="X32" s="302"/>
      <c r="Y32" s="321"/>
      <c r="Z32" s="321"/>
      <c r="AA32" s="321"/>
      <c r="AB32" s="321"/>
      <c r="AC32" s="321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</row>
    <row r="33" spans="2:44" ht="13.8">
      <c r="B33" t="s">
        <v>288</v>
      </c>
      <c r="C33" s="794" t="s">
        <v>81</v>
      </c>
      <c r="D33" s="795"/>
      <c r="E33" s="795"/>
      <c r="F33" s="796"/>
      <c r="G33" s="420"/>
      <c r="J33" s="373"/>
      <c r="K33" s="302"/>
      <c r="L33" s="302"/>
      <c r="M33" s="319"/>
      <c r="N33" s="797" t="s">
        <v>287</v>
      </c>
      <c r="O33" s="798"/>
      <c r="P33" s="302"/>
      <c r="Q33" s="302"/>
      <c r="R33" s="302"/>
      <c r="S33" s="302"/>
      <c r="T33" s="302"/>
      <c r="U33" s="302"/>
      <c r="V33" s="302"/>
      <c r="W33" s="321"/>
      <c r="X33" s="321"/>
      <c r="Y33" s="321"/>
      <c r="Z33" s="321"/>
      <c r="AA33" s="321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</row>
    <row r="34" spans="2:44" ht="16.2" thickBot="1">
      <c r="B34" s="198"/>
      <c r="C34" s="625"/>
      <c r="D34" s="625"/>
      <c r="E34" s="625"/>
      <c r="F34" s="626"/>
      <c r="G34" s="420"/>
      <c r="J34" s="374"/>
      <c r="K34" s="262"/>
      <c r="L34" s="262"/>
      <c r="M34" s="262"/>
      <c r="N34" s="262"/>
      <c r="O34" s="262"/>
      <c r="P34" s="302"/>
      <c r="Q34" s="302"/>
      <c r="R34" s="302"/>
      <c r="S34" s="302"/>
      <c r="T34" s="302"/>
      <c r="U34" s="302"/>
      <c r="V34" s="302"/>
      <c r="W34" s="302"/>
      <c r="X34" s="302"/>
      <c r="Y34" s="321"/>
      <c r="Z34" s="321"/>
      <c r="AA34" s="321"/>
      <c r="AB34" s="321"/>
      <c r="AC34" s="321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</row>
    <row r="35" spans="2:44" ht="14.4" thickBot="1">
      <c r="B35" t="s">
        <v>289</v>
      </c>
      <c r="C35" s="794" t="s">
        <v>81</v>
      </c>
      <c r="D35" s="795"/>
      <c r="E35" s="795"/>
      <c r="F35" s="796"/>
      <c r="G35" s="420"/>
      <c r="J35" s="373"/>
      <c r="K35" s="302"/>
      <c r="L35" s="302"/>
      <c r="M35" s="319"/>
      <c r="N35" s="797" t="s">
        <v>287</v>
      </c>
      <c r="O35" s="798"/>
      <c r="P35" s="302"/>
      <c r="Q35" s="302"/>
      <c r="R35" s="302"/>
      <c r="S35" s="302"/>
      <c r="T35" s="302"/>
      <c r="U35" s="302"/>
      <c r="V35" s="302"/>
      <c r="W35" s="321"/>
      <c r="X35" s="321"/>
      <c r="Y35" s="321"/>
      <c r="Z35" s="321"/>
      <c r="AA35" s="321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</row>
    <row r="36" spans="2:44" ht="36.6" thickBot="1">
      <c r="C36" s="635" t="s">
        <v>270</v>
      </c>
      <c r="J36" s="370" t="s">
        <v>290</v>
      </c>
      <c r="K36" s="370" t="s">
        <v>291</v>
      </c>
      <c r="L36" s="372" t="s">
        <v>292</v>
      </c>
      <c r="M36" s="372" t="s">
        <v>293</v>
      </c>
      <c r="N36" s="371" t="s">
        <v>294</v>
      </c>
      <c r="O36" s="370" t="s">
        <v>295</v>
      </c>
      <c r="P36" s="302"/>
      <c r="Q36" s="302"/>
      <c r="R36" s="302"/>
      <c r="S36" s="302"/>
      <c r="T36" s="302"/>
      <c r="U36" s="302"/>
      <c r="V36" s="302"/>
      <c r="W36" s="321"/>
      <c r="X36" s="321"/>
      <c r="Y36" s="321"/>
      <c r="Z36" s="321"/>
      <c r="AA36" s="321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</row>
    <row r="37" spans="2:44" ht="15.6">
      <c r="B37" s="198" t="s">
        <v>79</v>
      </c>
      <c r="C37" s="629">
        <v>2030</v>
      </c>
      <c r="J37" s="369" t="s">
        <v>296</v>
      </c>
      <c r="K37" s="368">
        <f>Paramètres!C12</f>
        <v>0.216</v>
      </c>
      <c r="L37" s="367"/>
      <c r="M37" s="367"/>
      <c r="N37" s="366">
        <f>Paramètres!C13*1000</f>
        <v>0</v>
      </c>
      <c r="O37" s="799">
        <v>70</v>
      </c>
      <c r="P37" s="302"/>
      <c r="Q37" s="302"/>
      <c r="R37" s="302"/>
      <c r="S37" s="302"/>
      <c r="T37" s="302"/>
      <c r="U37" s="302"/>
      <c r="V37" s="302"/>
      <c r="W37" s="321"/>
      <c r="X37" s="321"/>
      <c r="Y37" s="321"/>
      <c r="Z37" s="321"/>
      <c r="AA37" s="321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</row>
    <row r="38" spans="2:44" ht="15.6">
      <c r="B38" s="198"/>
      <c r="J38" s="364" t="s">
        <v>12</v>
      </c>
      <c r="K38" s="365">
        <f>Paramètres!D12</f>
        <v>0.218</v>
      </c>
      <c r="L38" s="362"/>
      <c r="M38" s="362"/>
      <c r="N38" s="361">
        <f>Paramètres!D13*1000</f>
        <v>0</v>
      </c>
      <c r="O38" s="800"/>
      <c r="P38" s="302"/>
      <c r="Q38" s="302"/>
      <c r="R38" s="302"/>
      <c r="S38" s="302"/>
      <c r="T38" s="302"/>
      <c r="U38" s="302"/>
      <c r="V38" s="302"/>
      <c r="W38" s="321"/>
      <c r="X38" s="321"/>
      <c r="Y38" s="321"/>
      <c r="Z38" s="321"/>
      <c r="AA38" s="321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</row>
    <row r="39" spans="2:44">
      <c r="J39" s="364" t="s">
        <v>297</v>
      </c>
      <c r="K39" s="365">
        <f>Paramètres!E12/1000/(35.9/0.94/3600)</f>
        <v>0.30700138161559892</v>
      </c>
      <c r="L39" s="362"/>
      <c r="M39" s="362"/>
      <c r="N39" s="361">
        <f>Paramètres!E13/Paramètres!E10*1000</f>
        <v>0</v>
      </c>
      <c r="O39" s="800"/>
      <c r="P39" s="302"/>
      <c r="Q39" s="302"/>
      <c r="R39" s="302"/>
      <c r="S39" s="302"/>
      <c r="T39" s="302"/>
      <c r="U39" s="302"/>
      <c r="V39" s="302"/>
      <c r="W39" s="321"/>
      <c r="X39" s="321"/>
      <c r="Y39" s="321"/>
      <c r="Z39" s="321"/>
      <c r="AA39" s="321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</row>
    <row r="40" spans="2:44" ht="15.6">
      <c r="B40" s="198" t="s">
        <v>298</v>
      </c>
      <c r="J40" s="364" t="s">
        <v>299</v>
      </c>
      <c r="K40" s="365">
        <f>2.9209/1000/(43.77/0.94/3600)</f>
        <v>0.22582420836189168</v>
      </c>
      <c r="L40" s="362"/>
      <c r="M40" s="362"/>
      <c r="N40" s="361"/>
      <c r="O40" s="800"/>
      <c r="P40" s="302"/>
      <c r="Q40" s="302"/>
      <c r="R40" s="302"/>
      <c r="S40" s="302"/>
      <c r="T40" s="302"/>
      <c r="U40" s="302"/>
      <c r="V40" s="302"/>
      <c r="W40" s="321"/>
      <c r="X40" s="321"/>
      <c r="Y40" s="321"/>
      <c r="Z40" s="321"/>
      <c r="AA40" s="321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</row>
    <row r="41" spans="2:44">
      <c r="J41" s="364" t="s">
        <v>300</v>
      </c>
      <c r="K41" s="365">
        <f>3.3679/1000/(35.9/0.94/3600)</f>
        <v>0.31746444568245125</v>
      </c>
      <c r="L41" s="362"/>
      <c r="M41" s="362"/>
      <c r="N41" s="361"/>
      <c r="O41" s="800"/>
      <c r="P41" s="302"/>
      <c r="Q41" s="302"/>
      <c r="R41" s="302"/>
      <c r="S41" s="302"/>
      <c r="T41" s="302"/>
      <c r="U41" s="302"/>
      <c r="V41" s="302"/>
      <c r="W41" s="321"/>
      <c r="X41" s="321"/>
      <c r="Y41" s="321"/>
      <c r="Z41" s="321"/>
      <c r="AA41" s="321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</row>
    <row r="42" spans="2:44" ht="12.9" customHeight="1">
      <c r="B42" s="769"/>
      <c r="C42" s="770"/>
      <c r="D42" s="770"/>
      <c r="E42" s="770"/>
      <c r="F42" s="770"/>
      <c r="G42" s="770"/>
      <c r="H42" s="771"/>
      <c r="J42" s="364" t="s">
        <v>301</v>
      </c>
      <c r="K42" s="365">
        <f>3.0567/1000/(29.31/0.96/3600)</f>
        <v>0.36042153531218019</v>
      </c>
      <c r="L42" s="362"/>
      <c r="M42" s="362"/>
      <c r="N42" s="361"/>
      <c r="O42" s="800"/>
      <c r="P42" s="302"/>
      <c r="Q42" s="302"/>
      <c r="R42" s="302"/>
      <c r="S42" s="302"/>
      <c r="T42" s="302"/>
      <c r="U42" s="302"/>
      <c r="V42" s="302"/>
      <c r="W42" s="321"/>
      <c r="X42" s="321"/>
      <c r="Y42" s="321"/>
      <c r="Z42" s="321"/>
      <c r="AA42" s="321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</row>
    <row r="43" spans="2:44">
      <c r="J43" s="364" t="s">
        <v>302</v>
      </c>
      <c r="K43" s="411">
        <v>0</v>
      </c>
      <c r="L43" s="362"/>
      <c r="M43" s="362"/>
      <c r="N43" s="361"/>
      <c r="O43" s="800"/>
      <c r="P43" s="302"/>
      <c r="Q43" s="302"/>
      <c r="R43" s="302"/>
      <c r="S43" s="302"/>
      <c r="T43" s="302"/>
      <c r="U43" s="302"/>
      <c r="V43" s="302"/>
      <c r="W43" s="321"/>
      <c r="X43" s="321"/>
      <c r="Y43" s="321"/>
      <c r="Z43" s="321"/>
      <c r="AA43" s="321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</row>
    <row r="44" spans="2:44" ht="15.6">
      <c r="B44" s="198" t="s">
        <v>303</v>
      </c>
      <c r="J44" s="364" t="s">
        <v>304</v>
      </c>
      <c r="K44" s="363"/>
      <c r="L44" s="362"/>
      <c r="M44" s="362"/>
      <c r="N44" s="361"/>
      <c r="O44" s="800"/>
      <c r="P44" s="302"/>
      <c r="Q44" s="302"/>
      <c r="R44" s="302"/>
      <c r="S44" s="302"/>
      <c r="T44" s="302"/>
      <c r="U44" s="302"/>
      <c r="V44" s="302"/>
      <c r="W44" s="321"/>
      <c r="X44" s="321"/>
      <c r="Y44" s="321"/>
      <c r="Z44" s="321"/>
      <c r="AA44" s="321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</row>
    <row r="45" spans="2:44" ht="13.8" thickBot="1">
      <c r="J45" s="360" t="s">
        <v>304</v>
      </c>
      <c r="K45" s="359"/>
      <c r="L45" s="358"/>
      <c r="M45" s="358"/>
      <c r="N45" s="357"/>
      <c r="O45" s="801"/>
      <c r="P45" s="302"/>
      <c r="Q45" s="302"/>
      <c r="R45" s="302"/>
      <c r="S45" s="302"/>
      <c r="T45" s="302"/>
      <c r="U45" s="302"/>
      <c r="V45" s="302"/>
      <c r="W45" s="321"/>
      <c r="X45" s="321"/>
      <c r="Y45" s="321"/>
      <c r="Z45" s="321"/>
      <c r="AA45" s="321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</row>
    <row r="46" spans="2:44" ht="25.5" customHeight="1" thickBot="1">
      <c r="B46" s="788"/>
      <c r="C46" s="789"/>
      <c r="D46" s="789"/>
      <c r="E46" s="789"/>
      <c r="F46" s="789"/>
      <c r="G46" s="789"/>
      <c r="H46" s="790"/>
      <c r="J46" s="302"/>
      <c r="K46" s="302"/>
      <c r="L46" s="302"/>
      <c r="M46" s="319"/>
      <c r="N46" s="302"/>
      <c r="O46" s="302"/>
      <c r="P46" s="302"/>
      <c r="Q46" s="302"/>
      <c r="R46" s="302"/>
      <c r="S46" s="302"/>
      <c r="T46" s="302"/>
      <c r="U46" s="302"/>
      <c r="V46" s="302"/>
      <c r="W46" s="321"/>
      <c r="X46" s="321"/>
      <c r="Y46" s="321"/>
      <c r="Z46" s="321"/>
      <c r="AA46" s="321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</row>
    <row r="47" spans="2:44" ht="13.8" thickBot="1">
      <c r="B47" s="197"/>
      <c r="C47" s="197"/>
      <c r="D47" s="197"/>
      <c r="E47" s="197"/>
      <c r="F47" s="197"/>
      <c r="G47" s="197"/>
      <c r="H47" s="197"/>
      <c r="I47" s="1"/>
      <c r="J47" s="302"/>
      <c r="K47" s="302"/>
      <c r="L47" s="302"/>
      <c r="M47" s="356" t="s">
        <v>305</v>
      </c>
      <c r="N47" s="791">
        <f>(((L37-M37)*N37)+((L38-M38)*N38)+((L39-M39)*N39)+((L40-M40)*N40)+((L41-M41)*N41)+((L42-M42)*N42)+((L43-M43)*N43)+((L44-M44)*N44)+((L45-M45)*N45))</f>
        <v>0</v>
      </c>
      <c r="O47" s="792"/>
      <c r="P47" s="302"/>
      <c r="Q47" s="302"/>
      <c r="R47" s="302"/>
      <c r="S47" s="302"/>
      <c r="T47" s="302"/>
      <c r="U47" s="302"/>
      <c r="V47" s="302"/>
      <c r="W47" s="321"/>
      <c r="X47" s="321"/>
      <c r="Y47" s="321"/>
      <c r="Z47" s="321"/>
      <c r="AA47" s="321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</row>
    <row r="48" spans="2:44" ht="16.2" thickBot="1">
      <c r="B48" s="198" t="s">
        <v>306</v>
      </c>
      <c r="C48" s="423"/>
      <c r="D48" s="423"/>
      <c r="E48" s="423"/>
      <c r="F48" s="423"/>
      <c r="G48" s="423"/>
      <c r="H48" s="423"/>
      <c r="I48" s="1"/>
      <c r="J48" s="302"/>
      <c r="K48" s="302"/>
      <c r="L48" s="302"/>
      <c r="M48" s="355" t="s">
        <v>307</v>
      </c>
      <c r="N48" s="791">
        <f>IF(K22="OUI",((((L38-M38)*K38)+((L39-M39)*K39)+((L40-M40)*K40)+((L41-M41)*K41)+((L42-M42)*K42)+((L43-M43)*K43)+((L44-M44)*K44)+((L45-M45)*K45)))*O37,0)</f>
        <v>0</v>
      </c>
      <c r="O48" s="792"/>
      <c r="P48" s="302"/>
      <c r="Q48" s="302"/>
      <c r="R48" s="302"/>
      <c r="S48" s="302"/>
      <c r="T48" s="302"/>
      <c r="U48" s="302"/>
      <c r="V48" s="302"/>
      <c r="W48" s="321"/>
      <c r="X48" s="321"/>
      <c r="Y48" s="321"/>
      <c r="Z48" s="321"/>
      <c r="AA48" s="321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</row>
    <row r="49" spans="2:44">
      <c r="G49" s="196"/>
      <c r="I49" s="1"/>
      <c r="J49" s="302"/>
      <c r="K49" s="302"/>
      <c r="L49" s="302"/>
      <c r="M49" s="354"/>
      <c r="N49" s="353"/>
      <c r="O49" s="353"/>
      <c r="P49" s="302"/>
      <c r="Q49" s="302"/>
      <c r="R49" s="302"/>
      <c r="S49" s="302"/>
      <c r="T49" s="302"/>
      <c r="U49" s="302"/>
      <c r="V49" s="302"/>
      <c r="W49" s="321"/>
      <c r="X49" s="321"/>
      <c r="Y49" s="321"/>
      <c r="Z49" s="321"/>
      <c r="AA49" s="321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</row>
    <row r="50" spans="2:44" ht="17.100000000000001" customHeight="1" thickBot="1">
      <c r="B50" t="str">
        <f>Paramètres!C5</f>
        <v>Electricité 
achetée</v>
      </c>
      <c r="C50" s="448"/>
      <c r="D50" t="str">
        <f>Paramètres!C6</f>
        <v>kWh</v>
      </c>
      <c r="G50" s="196"/>
      <c r="J50" s="302"/>
      <c r="K50" s="302"/>
      <c r="L50" s="302"/>
      <c r="M50" s="354"/>
      <c r="N50" s="353"/>
      <c r="O50" s="353"/>
      <c r="P50" s="353"/>
      <c r="Q50" s="353"/>
      <c r="R50" s="302"/>
      <c r="S50" s="302"/>
      <c r="T50" s="302"/>
      <c r="U50" s="302"/>
      <c r="V50" s="302"/>
      <c r="W50" s="302"/>
      <c r="X50" s="302"/>
      <c r="Y50" s="321"/>
      <c r="Z50" s="321"/>
      <c r="AA50" s="321"/>
      <c r="AB50" s="321"/>
      <c r="AC50" s="321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</row>
    <row r="51" spans="2:44" ht="17.100000000000001" customHeight="1" thickBot="1">
      <c r="B51" t="str">
        <f>Paramètres!D5</f>
        <v>Gaz Naturel</v>
      </c>
      <c r="C51" s="448"/>
      <c r="D51" s="145" t="str">
        <f>Paramètres!D6</f>
        <v>kWhs</v>
      </c>
      <c r="G51" s="196"/>
      <c r="H51" s="145"/>
      <c r="J51" s="786" t="s">
        <v>308</v>
      </c>
      <c r="K51" s="793"/>
      <c r="L51" s="793"/>
      <c r="M51" s="793"/>
      <c r="N51" s="793"/>
      <c r="O51" s="793"/>
      <c r="P51" s="793"/>
      <c r="Q51" s="787"/>
      <c r="R51" s="302"/>
      <c r="S51" s="302"/>
      <c r="T51" s="302"/>
      <c r="U51" s="302"/>
      <c r="V51" s="302"/>
      <c r="W51" s="302"/>
      <c r="X51" s="302"/>
      <c r="Y51" s="321"/>
      <c r="Z51" s="321"/>
      <c r="AA51" s="321"/>
      <c r="AB51" s="321"/>
      <c r="AC51" s="321"/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</row>
    <row r="52" spans="2:44" ht="17.100000000000001" customHeight="1">
      <c r="B52" t="str">
        <f>Paramètres!F5</f>
        <v>Biogaz</v>
      </c>
      <c r="C52" s="448"/>
      <c r="D52" s="145" t="str">
        <f>Paramètres!F6</f>
        <v>kWhs</v>
      </c>
      <c r="G52" s="196"/>
      <c r="H52" s="145"/>
      <c r="J52" s="633"/>
      <c r="K52" s="633"/>
      <c r="L52" s="633"/>
      <c r="M52" s="633"/>
      <c r="N52" s="633"/>
      <c r="O52" s="633"/>
      <c r="P52" s="633"/>
      <c r="Q52" s="633"/>
      <c r="R52" s="302"/>
      <c r="S52" s="302"/>
      <c r="T52" s="302"/>
      <c r="U52" s="302"/>
      <c r="V52" s="302"/>
      <c r="W52" s="302"/>
      <c r="X52" s="302"/>
      <c r="Y52" s="321"/>
      <c r="Z52" s="321"/>
      <c r="AA52" s="321"/>
      <c r="AB52" s="321"/>
      <c r="AC52" s="321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</row>
    <row r="53" spans="2:44" ht="17.100000000000001" customHeight="1">
      <c r="B53" t="str">
        <f>Paramètres!G5</f>
        <v>Elec SER</v>
      </c>
      <c r="C53" s="448"/>
      <c r="D53" s="145" t="str">
        <f>Paramètres!G6</f>
        <v>kWh</v>
      </c>
      <c r="G53" s="196"/>
      <c r="H53" s="145"/>
      <c r="J53" s="633"/>
      <c r="K53" s="633"/>
      <c r="L53" s="633"/>
      <c r="M53" s="633"/>
      <c r="N53" s="633"/>
      <c r="O53" s="633"/>
      <c r="P53" s="633"/>
      <c r="Q53" s="633"/>
      <c r="R53" s="302"/>
      <c r="S53" s="302"/>
      <c r="T53" s="302"/>
      <c r="U53" s="302"/>
      <c r="V53" s="302"/>
      <c r="W53" s="302"/>
      <c r="X53" s="302"/>
      <c r="Y53" s="321"/>
      <c r="Z53" s="321"/>
      <c r="AA53" s="321"/>
      <c r="AB53" s="321"/>
      <c r="AC53" s="321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</row>
    <row r="54" spans="2:44" ht="17.100000000000001" customHeight="1" thickBot="1">
      <c r="B54" t="str">
        <f>Paramètres!H5</f>
        <v>Process</v>
      </c>
      <c r="C54" s="448"/>
      <c r="D54" s="145" t="str">
        <f>Paramètres!H6</f>
        <v>kgCO2</v>
      </c>
      <c r="G54" s="196"/>
      <c r="J54" s="802"/>
      <c r="K54" s="802"/>
      <c r="L54" s="802"/>
      <c r="M54" s="802"/>
      <c r="N54" s="8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21"/>
      <c r="AB54" s="321"/>
      <c r="AC54" s="321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</row>
    <row r="55" spans="2:44">
      <c r="C55" s="195"/>
      <c r="J55" s="803" t="s">
        <v>309</v>
      </c>
      <c r="K55" s="806" t="s">
        <v>310</v>
      </c>
      <c r="L55" s="330" t="s">
        <v>311</v>
      </c>
      <c r="M55" s="352"/>
      <c r="N55" s="333" t="s">
        <v>312</v>
      </c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21"/>
      <c r="AB55" s="321"/>
      <c r="AC55" s="321"/>
      <c r="AD55" s="321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</row>
    <row r="56" spans="2:44" ht="16.2" thickBot="1">
      <c r="B56" s="198" t="s">
        <v>313</v>
      </c>
      <c r="C56" s="423"/>
      <c r="D56" s="423"/>
      <c r="E56" s="423"/>
      <c r="F56" s="423"/>
      <c r="G56" s="423"/>
      <c r="H56" s="423"/>
      <c r="J56" s="804"/>
      <c r="K56" s="807"/>
      <c r="L56" s="326" t="s">
        <v>314</v>
      </c>
      <c r="M56" s="327"/>
      <c r="N56" s="326" t="s">
        <v>312</v>
      </c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21"/>
      <c r="AB56" s="321"/>
      <c r="AC56" s="321"/>
      <c r="AD56" s="321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</row>
    <row r="57" spans="2:44">
      <c r="H57" s="178"/>
      <c r="J57" s="804"/>
      <c r="K57" s="807" t="s">
        <v>315</v>
      </c>
      <c r="L57" s="341" t="s">
        <v>316</v>
      </c>
      <c r="M57" s="340"/>
      <c r="N57" s="333" t="s">
        <v>312</v>
      </c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21"/>
      <c r="AB57" s="321"/>
      <c r="AC57" s="321"/>
      <c r="AD57" s="321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</row>
    <row r="58" spans="2:44" ht="13.8" thickBot="1">
      <c r="B58" s="810"/>
      <c r="C58" s="811"/>
      <c r="D58" s="811"/>
      <c r="E58" s="812"/>
      <c r="G58" s="630">
        <v>0</v>
      </c>
      <c r="H58" s="476"/>
      <c r="J58" s="804"/>
      <c r="K58" s="807"/>
      <c r="L58" s="339" t="s">
        <v>317</v>
      </c>
      <c r="M58" s="351"/>
      <c r="N58" s="326" t="s">
        <v>312</v>
      </c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21"/>
      <c r="AB58" s="321"/>
      <c r="AC58" s="321"/>
      <c r="AD58" s="321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</row>
    <row r="59" spans="2:44" ht="13.8" thickBot="1">
      <c r="B59" s="808"/>
      <c r="C59" s="808"/>
      <c r="D59" s="808"/>
      <c r="E59" s="808"/>
      <c r="F59" s="808"/>
      <c r="G59" s="422"/>
      <c r="H59" s="178"/>
      <c r="J59" s="805"/>
      <c r="K59" s="350" t="s">
        <v>318</v>
      </c>
      <c r="L59" s="322" t="s">
        <v>319</v>
      </c>
      <c r="M59" s="349"/>
      <c r="N59" s="331" t="s">
        <v>312</v>
      </c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21"/>
      <c r="AB59" s="321"/>
      <c r="AC59" s="321"/>
      <c r="AD59" s="321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</row>
    <row r="60" spans="2:44" ht="13.8" thickBot="1">
      <c r="B60" s="808"/>
      <c r="C60" s="808"/>
      <c r="D60" s="808"/>
      <c r="E60" s="808"/>
      <c r="F60" s="808"/>
      <c r="G60" s="422"/>
      <c r="H60" s="178"/>
      <c r="J60" s="348"/>
      <c r="K60" s="346"/>
      <c r="L60" s="346"/>
      <c r="M60" s="347"/>
      <c r="N60" s="346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21"/>
      <c r="AB60" s="321"/>
      <c r="AC60" s="321"/>
      <c r="AD60" s="321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</row>
    <row r="61" spans="2:44" ht="13.8" thickBot="1">
      <c r="B61" s="813" t="s">
        <v>320</v>
      </c>
      <c r="C61" s="813"/>
      <c r="D61" s="813"/>
      <c r="E61" s="813"/>
      <c r="F61" s="813"/>
      <c r="G61" s="449">
        <f>SUM(G58:G60)/1000</f>
        <v>0</v>
      </c>
      <c r="H61" s="190"/>
      <c r="J61" s="814" t="s">
        <v>321</v>
      </c>
      <c r="K61" s="344" t="s">
        <v>322</v>
      </c>
      <c r="L61" s="343" t="s">
        <v>323</v>
      </c>
      <c r="M61" s="342"/>
      <c r="N61" s="333" t="s">
        <v>324</v>
      </c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21"/>
      <c r="AB61" s="321"/>
      <c r="AC61" s="321"/>
      <c r="AD61" s="321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</row>
    <row r="62" spans="2:44">
      <c r="B62" s="193"/>
      <c r="C62" s="194"/>
      <c r="D62" s="193"/>
      <c r="E62" s="193"/>
      <c r="F62" s="193"/>
      <c r="J62" s="815"/>
      <c r="K62" s="807" t="s">
        <v>325</v>
      </c>
      <c r="L62" s="341" t="s">
        <v>326</v>
      </c>
      <c r="M62" s="340"/>
      <c r="N62" s="333" t="s">
        <v>324</v>
      </c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21"/>
      <c r="AB62" s="321"/>
      <c r="AC62" s="321"/>
      <c r="AD62" s="321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</row>
    <row r="63" spans="2:44" ht="16.2" thickBot="1">
      <c r="B63" s="198" t="s">
        <v>327</v>
      </c>
      <c r="C63" s="423"/>
      <c r="D63" s="423"/>
      <c r="E63" s="423"/>
      <c r="F63" s="423"/>
      <c r="G63" s="423"/>
      <c r="H63" s="423"/>
      <c r="J63" s="815"/>
      <c r="K63" s="807"/>
      <c r="L63" s="339" t="s">
        <v>328</v>
      </c>
      <c r="M63" s="338"/>
      <c r="N63" s="322" t="s">
        <v>329</v>
      </c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21"/>
      <c r="AB63" s="321"/>
      <c r="AC63" s="321"/>
      <c r="AD63" s="321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</row>
    <row r="64" spans="2:44">
      <c r="B64" s="808"/>
      <c r="C64" s="808"/>
      <c r="D64" s="808"/>
      <c r="E64" s="808"/>
      <c r="F64" s="808"/>
      <c r="G64" s="192"/>
      <c r="H64" s="178" t="s">
        <v>330</v>
      </c>
      <c r="J64" s="815"/>
      <c r="K64" s="807" t="s">
        <v>331</v>
      </c>
      <c r="L64" s="337" t="s">
        <v>332</v>
      </c>
      <c r="M64" s="336">
        <f>N47/1000</f>
        <v>0</v>
      </c>
      <c r="N64" s="333" t="s">
        <v>324</v>
      </c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21"/>
      <c r="AB64" s="321"/>
      <c r="AC64" s="321"/>
      <c r="AD64" s="321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</row>
    <row r="65" spans="2:44" ht="13.8" thickBot="1">
      <c r="B65" s="808"/>
      <c r="C65" s="808"/>
      <c r="D65" s="808"/>
      <c r="E65" s="808"/>
      <c r="F65" s="808"/>
      <c r="G65" s="192"/>
      <c r="H65" s="178" t="s">
        <v>330</v>
      </c>
      <c r="J65" s="815"/>
      <c r="K65" s="809"/>
      <c r="L65" s="328" t="s">
        <v>333</v>
      </c>
      <c r="M65" s="335">
        <f>N48/1000</f>
        <v>0</v>
      </c>
      <c r="N65" s="326" t="s">
        <v>324</v>
      </c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21"/>
      <c r="AB65" s="321"/>
      <c r="AC65" s="321"/>
      <c r="AD65" s="321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</row>
    <row r="66" spans="2:44" ht="13.8" thickBot="1">
      <c r="B66" s="808"/>
      <c r="C66" s="808"/>
      <c r="D66" s="808"/>
      <c r="E66" s="808"/>
      <c r="F66" s="808"/>
      <c r="G66" s="192"/>
      <c r="H66" s="178" t="s">
        <v>330</v>
      </c>
      <c r="J66" s="815"/>
      <c r="K66" s="334" t="s">
        <v>334</v>
      </c>
      <c r="L66" s="333" t="s">
        <v>335</v>
      </c>
      <c r="M66" s="332">
        <v>0</v>
      </c>
      <c r="N66" s="331" t="s">
        <v>324</v>
      </c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21"/>
      <c r="AB66" s="321"/>
      <c r="AC66" s="321"/>
      <c r="AD66" s="321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</row>
    <row r="67" spans="2:44">
      <c r="B67" s="813" t="s">
        <v>336</v>
      </c>
      <c r="C67" s="813"/>
      <c r="D67" s="813"/>
      <c r="E67" s="813"/>
      <c r="F67" s="813"/>
      <c r="G67" s="191">
        <f>SUM(G64:G66)</f>
        <v>0</v>
      </c>
      <c r="H67" s="190" t="s">
        <v>330</v>
      </c>
      <c r="J67" s="815"/>
      <c r="K67" s="817" t="s">
        <v>337</v>
      </c>
      <c r="L67" s="330" t="s">
        <v>338</v>
      </c>
      <c r="M67" s="327"/>
      <c r="N67" s="326" t="s">
        <v>324</v>
      </c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21"/>
      <c r="AB67" s="321"/>
      <c r="AC67" s="321"/>
      <c r="AD67" s="321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</row>
    <row r="68" spans="2:44" ht="26.4">
      <c r="B68" s="423"/>
      <c r="C68" s="423"/>
      <c r="D68" s="423"/>
      <c r="E68" s="423"/>
      <c r="F68" s="423"/>
      <c r="G68" s="423"/>
      <c r="H68" s="423"/>
      <c r="J68" s="815"/>
      <c r="K68" s="807"/>
      <c r="L68" s="328" t="s">
        <v>339</v>
      </c>
      <c r="M68" s="327"/>
      <c r="N68" s="326" t="s">
        <v>324</v>
      </c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21"/>
      <c r="AB68" s="321"/>
      <c r="AC68" s="321"/>
      <c r="AD68" s="321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</row>
    <row r="69" spans="2:44">
      <c r="B69" s="145"/>
      <c r="J69" s="815"/>
      <c r="K69" s="807"/>
      <c r="L69" s="328" t="s">
        <v>340</v>
      </c>
      <c r="M69" s="327"/>
      <c r="N69" s="326" t="s">
        <v>324</v>
      </c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21"/>
      <c r="AB69" s="321"/>
      <c r="AC69" s="321"/>
      <c r="AD69" s="321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</row>
    <row r="70" spans="2:44" ht="18" customHeight="1">
      <c r="B70" s="819" t="s">
        <v>341</v>
      </c>
      <c r="C70" s="820"/>
      <c r="D70" s="820"/>
      <c r="E70" s="820"/>
      <c r="F70" s="820"/>
      <c r="G70" s="820"/>
      <c r="H70" s="821"/>
      <c r="J70" s="815"/>
      <c r="K70" s="807"/>
      <c r="L70" s="328" t="s">
        <v>342</v>
      </c>
      <c r="M70" s="327"/>
      <c r="N70" s="326" t="s">
        <v>324</v>
      </c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21"/>
      <c r="AB70" s="321"/>
      <c r="AC70" s="321"/>
      <c r="AD70" s="321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</row>
    <row r="71" spans="2:44" ht="34.5" customHeight="1">
      <c r="B71" s="186" t="s">
        <v>343</v>
      </c>
      <c r="C71" s="187" t="s">
        <v>344</v>
      </c>
      <c r="D71" s="187" t="s">
        <v>129</v>
      </c>
      <c r="E71" s="822" t="s">
        <v>345</v>
      </c>
      <c r="F71" s="823"/>
      <c r="G71" s="186" t="s">
        <v>346</v>
      </c>
      <c r="H71" s="185"/>
      <c r="J71" s="815"/>
      <c r="K71" s="807"/>
      <c r="L71" s="328" t="s">
        <v>347</v>
      </c>
      <c r="M71" s="327"/>
      <c r="N71" s="326" t="s">
        <v>324</v>
      </c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21"/>
      <c r="AB71" s="321"/>
      <c r="AC71" s="321"/>
      <c r="AD71" s="321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</row>
    <row r="72" spans="2:44" ht="13.8" thickBot="1">
      <c r="B72" s="184" t="str">
        <f t="shared" ref="B72:D76" si="0">+B50</f>
        <v>Electricité 
achetée</v>
      </c>
      <c r="C72" s="183">
        <f t="shared" si="0"/>
        <v>0</v>
      </c>
      <c r="D72" t="str">
        <f t="shared" si="0"/>
        <v>kWh</v>
      </c>
      <c r="E72" s="189">
        <f>Paramètres!C10</f>
        <v>1</v>
      </c>
      <c r="F72" s="145" t="str">
        <f>"kWhf/"&amp;D72</f>
        <v>kWhf/kWh</v>
      </c>
      <c r="G72" s="214">
        <f>+C72*E72/1000</f>
        <v>0</v>
      </c>
      <c r="H72" s="212" t="s">
        <v>233</v>
      </c>
      <c r="J72" s="816"/>
      <c r="K72" s="818"/>
      <c r="L72" s="324" t="s">
        <v>232</v>
      </c>
      <c r="M72" s="323"/>
      <c r="N72" s="322" t="s">
        <v>324</v>
      </c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21"/>
      <c r="AB72" s="321"/>
      <c r="AC72" s="321"/>
      <c r="AD72" s="321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</row>
    <row r="73" spans="2:44" ht="14.4">
      <c r="B73" s="184" t="str">
        <f t="shared" si="0"/>
        <v>Gaz Naturel</v>
      </c>
      <c r="C73" s="183">
        <f t="shared" si="0"/>
        <v>0</v>
      </c>
      <c r="D73" t="str">
        <f t="shared" si="0"/>
        <v>kWhs</v>
      </c>
      <c r="E73" s="189">
        <f>Paramètres!D10</f>
        <v>1</v>
      </c>
      <c r="F73" s="145" t="str">
        <f t="shared" ref="F73:F76" si="1">"kWhf/"&amp;D73</f>
        <v>kWhf/kWhs</v>
      </c>
      <c r="G73" s="214">
        <f>+C73*E73/1000</f>
        <v>0</v>
      </c>
      <c r="H73" s="212" t="s">
        <v>233</v>
      </c>
      <c r="J73" s="320"/>
      <c r="K73" s="302"/>
      <c r="L73" s="302"/>
      <c r="M73" s="319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</row>
    <row r="74" spans="2:44" ht="14.4">
      <c r="B74" s="184" t="str">
        <f t="shared" si="0"/>
        <v>Biogaz</v>
      </c>
      <c r="C74" s="183">
        <f t="shared" si="0"/>
        <v>0</v>
      </c>
      <c r="D74" t="str">
        <f t="shared" si="0"/>
        <v>kWhs</v>
      </c>
      <c r="E74" s="189">
        <f>Paramètres!F10</f>
        <v>1</v>
      </c>
      <c r="F74" s="145" t="str">
        <f t="shared" si="1"/>
        <v>kWhf/kWhs</v>
      </c>
      <c r="G74" s="214">
        <f>+C74*E74/1000</f>
        <v>0</v>
      </c>
      <c r="H74" s="212" t="s">
        <v>233</v>
      </c>
      <c r="J74" s="320"/>
      <c r="K74" s="302"/>
      <c r="L74" s="302"/>
      <c r="M74" s="319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</row>
    <row r="75" spans="2:44" ht="14.4">
      <c r="B75" s="184" t="str">
        <f t="shared" si="0"/>
        <v>Elec SER</v>
      </c>
      <c r="C75" s="183">
        <f t="shared" si="0"/>
        <v>0</v>
      </c>
      <c r="D75" t="str">
        <f t="shared" si="0"/>
        <v>kWh</v>
      </c>
      <c r="E75" s="189">
        <f>Paramètres!G10</f>
        <v>1</v>
      </c>
      <c r="F75" s="145" t="str">
        <f t="shared" si="1"/>
        <v>kWhf/kWh</v>
      </c>
      <c r="G75" s="214">
        <f>+C75*E75/1000</f>
        <v>0</v>
      </c>
      <c r="H75" s="212" t="s">
        <v>233</v>
      </c>
      <c r="J75" s="320"/>
      <c r="K75" s="302"/>
      <c r="L75" s="302"/>
      <c r="M75" s="319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</row>
    <row r="76" spans="2:44" ht="15" thickBot="1">
      <c r="B76" s="184" t="str">
        <f t="shared" si="0"/>
        <v>Process</v>
      </c>
      <c r="C76" s="183">
        <f t="shared" si="0"/>
        <v>0</v>
      </c>
      <c r="D76" t="str">
        <f t="shared" si="0"/>
        <v>kgCO2</v>
      </c>
      <c r="E76" s="189">
        <f>Paramètres!H10</f>
        <v>0</v>
      </c>
      <c r="F76" s="145" t="str">
        <f t="shared" si="1"/>
        <v>kWhf/kgCO2</v>
      </c>
      <c r="G76" s="214">
        <f>+C76*E76/1000</f>
        <v>0</v>
      </c>
      <c r="H76" s="212" t="s">
        <v>233</v>
      </c>
      <c r="J76" s="320"/>
      <c r="K76" s="302"/>
      <c r="L76" s="302"/>
      <c r="M76" s="319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</row>
    <row r="77" spans="2:44" ht="16.2" thickBot="1">
      <c r="B77" s="824" t="s">
        <v>348</v>
      </c>
      <c r="C77" s="825"/>
      <c r="D77" s="825"/>
      <c r="E77" s="825"/>
      <c r="F77" s="825"/>
      <c r="G77" s="215">
        <f>SUM(G72:G75)</f>
        <v>0</v>
      </c>
      <c r="H77" s="213" t="s">
        <v>233</v>
      </c>
      <c r="J77" s="826" t="s">
        <v>349</v>
      </c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7"/>
      <c r="V77" s="827"/>
      <c r="W77" s="827"/>
      <c r="X77" s="827"/>
      <c r="Y77" s="827"/>
      <c r="Z77" s="827"/>
      <c r="AA77" s="827"/>
      <c r="AB77" s="827"/>
      <c r="AC77" s="827"/>
      <c r="AD77" s="827"/>
      <c r="AE77" s="827"/>
      <c r="AF77" s="827"/>
      <c r="AG77" s="827"/>
      <c r="AH77" s="827"/>
      <c r="AI77" s="827"/>
      <c r="AJ77" s="827"/>
      <c r="AK77" s="827"/>
      <c r="AL77" s="827"/>
      <c r="AM77" s="827"/>
      <c r="AN77" s="827"/>
      <c r="AO77" s="827"/>
      <c r="AP77" s="827"/>
      <c r="AQ77" s="827"/>
      <c r="AR77" s="828"/>
    </row>
    <row r="78" spans="2:44" ht="13.8" thickBot="1">
      <c r="B78" s="86"/>
      <c r="C78" s="86"/>
      <c r="D78" s="86"/>
      <c r="E78" s="86"/>
      <c r="F78" s="86"/>
      <c r="G78" s="216">
        <f>G77/'2023'!H35</f>
        <v>0</v>
      </c>
      <c r="H78" s="228">
        <f>G77/'2023'!T17</f>
        <v>0</v>
      </c>
      <c r="J78" s="302"/>
      <c r="K78" s="302"/>
      <c r="L78" s="302"/>
      <c r="M78" s="301"/>
      <c r="N78" s="302"/>
      <c r="O78" s="308"/>
      <c r="P78" s="308"/>
      <c r="Q78" s="308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</row>
    <row r="79" spans="2:44" ht="14.4" thickBot="1">
      <c r="B79" s="188"/>
      <c r="C79" s="188"/>
      <c r="D79" s="188"/>
      <c r="E79" s="188"/>
      <c r="F79" s="188"/>
      <c r="G79" s="188"/>
      <c r="H79" s="188"/>
      <c r="J79" s="302"/>
      <c r="K79" s="302"/>
      <c r="L79" s="302"/>
      <c r="M79" s="301"/>
      <c r="N79" s="831" t="s">
        <v>350</v>
      </c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  <c r="AQ79" s="832"/>
      <c r="AR79" s="833"/>
    </row>
    <row r="80" spans="2:44" ht="19.5" customHeight="1" thickBot="1">
      <c r="B80" s="819" t="s">
        <v>351</v>
      </c>
      <c r="C80" s="820"/>
      <c r="D80" s="820"/>
      <c r="E80" s="820"/>
      <c r="F80" s="820"/>
      <c r="G80" s="820"/>
      <c r="H80" s="821"/>
      <c r="J80" s="302"/>
      <c r="K80" s="302"/>
      <c r="L80" s="310"/>
      <c r="M80" s="310"/>
      <c r="N80" s="300">
        <v>0</v>
      </c>
      <c r="O80" s="299">
        <v>1</v>
      </c>
      <c r="P80" s="299">
        <v>2</v>
      </c>
      <c r="Q80" s="299">
        <v>3</v>
      </c>
      <c r="R80" s="299">
        <v>4</v>
      </c>
      <c r="S80" s="299">
        <v>5</v>
      </c>
      <c r="T80" s="299">
        <v>6</v>
      </c>
      <c r="U80" s="299">
        <v>7</v>
      </c>
      <c r="V80" s="299">
        <v>8</v>
      </c>
      <c r="W80" s="299">
        <v>9</v>
      </c>
      <c r="X80" s="299">
        <v>10</v>
      </c>
      <c r="Y80" s="299">
        <v>11</v>
      </c>
      <c r="Z80" s="299">
        <v>12</v>
      </c>
      <c r="AA80" s="299">
        <v>13</v>
      </c>
      <c r="AB80" s="299">
        <v>14</v>
      </c>
      <c r="AC80" s="299">
        <v>15</v>
      </c>
      <c r="AD80" s="299">
        <v>16</v>
      </c>
      <c r="AE80" s="299">
        <v>17</v>
      </c>
      <c r="AF80" s="299">
        <v>18</v>
      </c>
      <c r="AG80" s="299">
        <v>19</v>
      </c>
      <c r="AH80" s="299">
        <v>20</v>
      </c>
      <c r="AI80" s="299">
        <v>21</v>
      </c>
      <c r="AJ80" s="299">
        <v>22</v>
      </c>
      <c r="AK80" s="299">
        <v>23</v>
      </c>
      <c r="AL80" s="299">
        <v>24</v>
      </c>
      <c r="AM80" s="299">
        <v>25</v>
      </c>
      <c r="AN80" s="299">
        <v>26</v>
      </c>
      <c r="AO80" s="299">
        <v>27</v>
      </c>
      <c r="AP80" s="299">
        <v>28</v>
      </c>
      <c r="AQ80" s="299">
        <v>29</v>
      </c>
      <c r="AR80" s="298">
        <v>30</v>
      </c>
    </row>
    <row r="81" spans="2:44" ht="30" customHeight="1">
      <c r="B81" s="186" t="str">
        <f>+B71</f>
        <v>Vecteurs énergétiques</v>
      </c>
      <c r="C81" s="186" t="str">
        <f>+C71</f>
        <v>Quantités</v>
      </c>
      <c r="D81" s="186" t="str">
        <f>+D71</f>
        <v>Unités</v>
      </c>
      <c r="E81" s="834" t="s">
        <v>352</v>
      </c>
      <c r="F81" s="834"/>
      <c r="G81" s="186" t="s">
        <v>353</v>
      </c>
      <c r="H81" s="185"/>
      <c r="J81" s="302"/>
      <c r="K81" s="302"/>
      <c r="L81" s="835" t="s">
        <v>354</v>
      </c>
      <c r="M81" s="297" t="s">
        <v>311</v>
      </c>
      <c r="N81" s="296">
        <f>(M55)</f>
        <v>0</v>
      </c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7"/>
    </row>
    <row r="82" spans="2:44" ht="16.2" thickBot="1">
      <c r="B82" s="184" t="str">
        <f>+B72</f>
        <v>Electricité 
achetée</v>
      </c>
      <c r="C82" s="183">
        <f t="shared" ref="C82:D86" si="2">C72</f>
        <v>0</v>
      </c>
      <c r="D82" s="183" t="str">
        <f t="shared" si="2"/>
        <v>kWh</v>
      </c>
      <c r="E82" s="211">
        <f>Paramètres!C$12</f>
        <v>0.216</v>
      </c>
      <c r="F82" s="145" t="str">
        <f>"kgCO2/"&amp;D82</f>
        <v>kgCO2/kWh</v>
      </c>
      <c r="G82" s="182">
        <f>+C82*E82</f>
        <v>0</v>
      </c>
      <c r="H82" s="181" t="s">
        <v>355</v>
      </c>
      <c r="J82" s="302"/>
      <c r="K82" s="302"/>
      <c r="L82" s="836"/>
      <c r="M82" s="310" t="s">
        <v>314</v>
      </c>
      <c r="N82" s="290">
        <f>M56</f>
        <v>0</v>
      </c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16"/>
    </row>
    <row r="83" spans="2:44" ht="15.6">
      <c r="B83" s="184" t="str">
        <f>+B73</f>
        <v>Gaz Naturel</v>
      </c>
      <c r="C83" s="183">
        <f t="shared" si="2"/>
        <v>0</v>
      </c>
      <c r="D83" s="183" t="str">
        <f t="shared" si="2"/>
        <v>kWhs</v>
      </c>
      <c r="E83" s="211">
        <f>Paramètres!D$12</f>
        <v>0.218</v>
      </c>
      <c r="F83" s="145" t="str">
        <f t="shared" ref="F83:F86" si="3">"kgCO2/"&amp;D83</f>
        <v>kgCO2/kWhs</v>
      </c>
      <c r="G83" s="182">
        <f>+C83*E83</f>
        <v>0</v>
      </c>
      <c r="H83" s="181" t="s">
        <v>355</v>
      </c>
      <c r="I83" s="81"/>
      <c r="J83" s="302"/>
      <c r="K83" s="302"/>
      <c r="L83" s="837" t="s">
        <v>356</v>
      </c>
      <c r="M83" s="297" t="s">
        <v>357</v>
      </c>
      <c r="N83" s="290">
        <f>M57+M58</f>
        <v>0</v>
      </c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16"/>
    </row>
    <row r="84" spans="2:44" ht="15.6">
      <c r="B84" s="184" t="str">
        <f>+B74</f>
        <v>Biogaz</v>
      </c>
      <c r="C84" s="183">
        <f t="shared" si="2"/>
        <v>0</v>
      </c>
      <c r="D84" s="183" t="str">
        <f t="shared" si="2"/>
        <v>kWhs</v>
      </c>
      <c r="E84" s="211">
        <f>Paramètres!F$12</f>
        <v>0</v>
      </c>
      <c r="F84" s="145" t="str">
        <f t="shared" si="3"/>
        <v>kgCO2/kWhs</v>
      </c>
      <c r="G84" s="182">
        <f>+C84*E84</f>
        <v>0</v>
      </c>
      <c r="H84" s="181" t="s">
        <v>355</v>
      </c>
      <c r="I84" s="81"/>
      <c r="J84" s="302"/>
      <c r="K84" s="302"/>
      <c r="L84" s="836"/>
      <c r="M84" s="310"/>
      <c r="N84" s="290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16"/>
    </row>
    <row r="85" spans="2:44" ht="16.2" thickBot="1">
      <c r="B85" s="184" t="str">
        <f>+B75</f>
        <v>Elec SER</v>
      </c>
      <c r="C85" s="183">
        <f t="shared" si="2"/>
        <v>0</v>
      </c>
      <c r="D85" s="183" t="str">
        <f t="shared" si="2"/>
        <v>kWh</v>
      </c>
      <c r="E85" s="211">
        <f>Paramètres!G$12</f>
        <v>0</v>
      </c>
      <c r="F85" s="145" t="str">
        <f t="shared" si="3"/>
        <v>kgCO2/kWh</v>
      </c>
      <c r="G85" s="182">
        <f>+C85*E85</f>
        <v>0</v>
      </c>
      <c r="H85" s="181" t="s">
        <v>355</v>
      </c>
      <c r="J85" s="302"/>
      <c r="K85" s="302"/>
      <c r="L85" s="838"/>
      <c r="M85" s="315" t="s">
        <v>358</v>
      </c>
      <c r="N85" s="278"/>
      <c r="O85" s="277" t="str">
        <f t="shared" ref="O85:Y85" si="4">IF(O80&lt;=$M$63,$M$62,"")</f>
        <v/>
      </c>
      <c r="P85" s="277" t="str">
        <f t="shared" si="4"/>
        <v/>
      </c>
      <c r="Q85" s="277" t="str">
        <f t="shared" si="4"/>
        <v/>
      </c>
      <c r="R85" s="277" t="str">
        <f t="shared" si="4"/>
        <v/>
      </c>
      <c r="S85" s="277" t="str">
        <f t="shared" si="4"/>
        <v/>
      </c>
      <c r="T85" s="277" t="str">
        <f t="shared" si="4"/>
        <v/>
      </c>
      <c r="U85" s="277" t="str">
        <f t="shared" si="4"/>
        <v/>
      </c>
      <c r="V85" s="277" t="str">
        <f t="shared" si="4"/>
        <v/>
      </c>
      <c r="W85" s="277" t="str">
        <f t="shared" si="4"/>
        <v/>
      </c>
      <c r="X85" s="277" t="str">
        <f t="shared" si="4"/>
        <v/>
      </c>
      <c r="Y85" s="277" t="str">
        <f t="shared" si="4"/>
        <v/>
      </c>
      <c r="Z85" s="277" t="str">
        <f t="shared" ref="Z85:AR85" si="5">IF(X80&lt;=$M$63,$M$62,"")</f>
        <v/>
      </c>
      <c r="AA85" s="277" t="str">
        <f t="shared" si="5"/>
        <v/>
      </c>
      <c r="AB85" s="277" t="str">
        <f t="shared" si="5"/>
        <v/>
      </c>
      <c r="AC85" s="277" t="str">
        <f t="shared" si="5"/>
        <v/>
      </c>
      <c r="AD85" s="277" t="str">
        <f t="shared" si="5"/>
        <v/>
      </c>
      <c r="AE85" s="277" t="str">
        <f t="shared" si="5"/>
        <v/>
      </c>
      <c r="AF85" s="277" t="str">
        <f t="shared" si="5"/>
        <v/>
      </c>
      <c r="AG85" s="277" t="str">
        <f t="shared" si="5"/>
        <v/>
      </c>
      <c r="AH85" s="277" t="str">
        <f t="shared" si="5"/>
        <v/>
      </c>
      <c r="AI85" s="277" t="str">
        <f t="shared" si="5"/>
        <v/>
      </c>
      <c r="AJ85" s="277" t="str">
        <f t="shared" si="5"/>
        <v/>
      </c>
      <c r="AK85" s="277" t="str">
        <f t="shared" si="5"/>
        <v/>
      </c>
      <c r="AL85" s="277" t="str">
        <f t="shared" si="5"/>
        <v/>
      </c>
      <c r="AM85" s="277" t="str">
        <f t="shared" si="5"/>
        <v/>
      </c>
      <c r="AN85" s="277" t="str">
        <f t="shared" si="5"/>
        <v/>
      </c>
      <c r="AO85" s="277" t="str">
        <f t="shared" si="5"/>
        <v/>
      </c>
      <c r="AP85" s="277" t="str">
        <f t="shared" si="5"/>
        <v/>
      </c>
      <c r="AQ85" s="277" t="str">
        <f t="shared" si="5"/>
        <v/>
      </c>
      <c r="AR85" s="276" t="str">
        <f t="shared" si="5"/>
        <v/>
      </c>
    </row>
    <row r="86" spans="2:44" ht="16.2" thickBot="1">
      <c r="B86" s="184" t="str">
        <f>+B76</f>
        <v>Process</v>
      </c>
      <c r="C86" s="183">
        <f t="shared" si="2"/>
        <v>0</v>
      </c>
      <c r="D86" s="183" t="str">
        <f t="shared" si="2"/>
        <v>kgCO2</v>
      </c>
      <c r="E86" s="211">
        <f>Paramètres!H$12</f>
        <v>1</v>
      </c>
      <c r="F86" s="145" t="str">
        <f t="shared" si="3"/>
        <v>kgCO2/kgCO2</v>
      </c>
      <c r="G86" s="182">
        <f>+C86*E86</f>
        <v>0</v>
      </c>
      <c r="H86" s="181" t="s">
        <v>355</v>
      </c>
      <c r="J86" s="302"/>
      <c r="K86" s="302"/>
      <c r="L86" s="312"/>
      <c r="M86" s="292"/>
      <c r="N86" s="278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6"/>
    </row>
    <row r="87" spans="2:44" ht="16.2" thickBot="1">
      <c r="B87" s="824" t="s">
        <v>359</v>
      </c>
      <c r="C87" s="825"/>
      <c r="D87" s="825"/>
      <c r="E87" s="825"/>
      <c r="F87" s="825"/>
      <c r="G87" s="180">
        <f>SUM(G82:G85)</f>
        <v>0</v>
      </c>
      <c r="H87" s="179" t="s">
        <v>355</v>
      </c>
      <c r="J87" s="302"/>
      <c r="K87" s="302"/>
      <c r="L87" s="314" t="s">
        <v>360</v>
      </c>
      <c r="M87" s="313" t="s">
        <v>360</v>
      </c>
      <c r="N87" s="278"/>
      <c r="O87" s="277">
        <f>IF(O80&lt;=$K$16,($M$61+$M$64+$M$65+$M$66+$M$67+$M$68+$M$69+$M$70+$M$71+$M$72),"")</f>
        <v>0</v>
      </c>
      <c r="P87" s="277">
        <f>IF(P80&lt;=$K$16,(AA0!O87*(1+Paramètres!$B$20)),"")</f>
        <v>0</v>
      </c>
      <c r="Q87" s="277">
        <f>IF(Q80&lt;=$K$16,(AA0!P87*(1+Paramètres!$B$20)),"")</f>
        <v>0</v>
      </c>
      <c r="R87" s="277">
        <f>IF(R80&lt;=$K$16,(AA0!Q87*(1+Paramètres!$B$20)),"")</f>
        <v>0</v>
      </c>
      <c r="S87" s="277">
        <f>IF(S80&lt;=$K$16,(AA0!R87*(1+Paramètres!$B$20)),"")</f>
        <v>0</v>
      </c>
      <c r="T87" s="277">
        <f>IF(T80&lt;=$K$16,(AA0!S87*(1+Paramètres!$B$20)),"")</f>
        <v>0</v>
      </c>
      <c r="U87" s="277">
        <f>IF(U80&lt;=$K$16,(AA0!T87*(1+Paramètres!$B$20)),"")</f>
        <v>0</v>
      </c>
      <c r="V87" s="277">
        <f>IF(V80&lt;=$K$16,(AA0!U87*(1+Paramètres!$B$20)),"")</f>
        <v>0</v>
      </c>
      <c r="W87" s="277">
        <f>IF(W80&lt;=$K$16,(AA0!V87*(1+Paramètres!$B$20)),"")</f>
        <v>0</v>
      </c>
      <c r="X87" s="277">
        <f>IF(X80&lt;=$K$16,(AA0!W87*(1+Paramètres!$B$20)),"")</f>
        <v>0</v>
      </c>
      <c r="Y87" s="277">
        <f>IF(Y80&lt;=$K$16,(AA0!X87*(1+Paramètres!$B$20)),"")</f>
        <v>0</v>
      </c>
      <c r="Z87" s="277">
        <f>IF(Z80&lt;=$K$16,(AA0!Y87*(1+Paramètres!$B$20)),"")</f>
        <v>0</v>
      </c>
      <c r="AA87" s="277">
        <f>IF(AA80&lt;=$K$16,(AA0!Z87*(1+Paramètres!$B$20)),"")</f>
        <v>0</v>
      </c>
      <c r="AB87" s="277">
        <f>IF(AB80&lt;=$K$16,(AA0!AA87*(1+Paramètres!$B$20)),"")</f>
        <v>0</v>
      </c>
      <c r="AC87" s="277">
        <f>IF(AC80&lt;=$K$16,(AA0!AB87*(1+Paramètres!$B$20)),"")</f>
        <v>0</v>
      </c>
      <c r="AD87" s="277" t="str">
        <f>IF(AD80&lt;=$K$16,(AA0!AC87*(1+Paramètres!$B$20)),"")</f>
        <v/>
      </c>
      <c r="AE87" s="277" t="str">
        <f>IF(AE80&lt;=$K$16,(AA0!AD87*(1+Paramètres!$B$20)),"")</f>
        <v/>
      </c>
      <c r="AF87" s="277" t="str">
        <f>IF(AF80&lt;=$K$16,(AA0!AE87*(1+Paramètres!$B$20)),"")</f>
        <v/>
      </c>
      <c r="AG87" s="277" t="str">
        <f>IF(AG80&lt;=$K$16,(AA0!AF87*(1+Paramètres!$B$20)),"")</f>
        <v/>
      </c>
      <c r="AH87" s="277" t="str">
        <f>IF(AH80&lt;=$K$16,(AA0!AG87*(1+Paramètres!$B$20)),"")</f>
        <v/>
      </c>
      <c r="AI87" s="277" t="str">
        <f>IF(AI80&lt;=$K$16,(AA0!AH87*(1+Paramètres!$B$20)),"")</f>
        <v/>
      </c>
      <c r="AJ87" s="277" t="str">
        <f>IF(AJ80&lt;=$K$16,(AA0!AI87*(1+Paramètres!$B$20)),"")</f>
        <v/>
      </c>
      <c r="AK87" s="277" t="str">
        <f>IF(AK80&lt;=$K$16,(AA0!AJ87*(1+Paramètres!$B$20)),"")</f>
        <v/>
      </c>
      <c r="AL87" s="277" t="str">
        <f>IF(AL80&lt;=$K$16,(AA0!AK87*(1+Paramètres!$B$20)),"")</f>
        <v/>
      </c>
      <c r="AM87" s="277" t="str">
        <f>IF(AM80&lt;=$K$16,(AA0!AL87*(1+Paramètres!$B$20)),"")</f>
        <v/>
      </c>
      <c r="AN87" s="277" t="str">
        <f>IF(AN80&lt;=$K$16,(AA0!AM87*(1+Paramètres!$B$20)),"")</f>
        <v/>
      </c>
      <c r="AO87" s="277" t="str">
        <f>IF(AO80&lt;=$K$16,(AA0!AN87*(1+Paramètres!$B$20)),"")</f>
        <v/>
      </c>
      <c r="AP87" s="277" t="str">
        <f>IF(AP80&lt;=$K$16,(AA0!AO87*(1+Paramètres!$B$20)),"")</f>
        <v/>
      </c>
      <c r="AQ87" s="277" t="str">
        <f>IF(AQ80&lt;=$K$16,(AA0!AP87*(1+Paramètres!$B$20)),"")</f>
        <v/>
      </c>
      <c r="AR87" s="276" t="str">
        <f>IF(AR80&lt;=$K$16,(AA0!AQ87*(1+Paramètres!$B$20)),"")</f>
        <v/>
      </c>
    </row>
    <row r="88" spans="2:44" ht="13.8" thickBot="1">
      <c r="G88" s="217">
        <f>G87/'2023'!H36</f>
        <v>0</v>
      </c>
      <c r="H88" s="144">
        <f>G87/'2023'!H36</f>
        <v>0</v>
      </c>
      <c r="J88" s="302"/>
      <c r="K88" s="302"/>
      <c r="L88" s="312" t="s">
        <v>361</v>
      </c>
      <c r="M88" s="292" t="s">
        <v>319</v>
      </c>
      <c r="N88" s="265" t="str">
        <f t="shared" ref="N88:AR88" si="6">IF(N80=$K$16,$M$59,"")</f>
        <v/>
      </c>
      <c r="O88" s="264" t="str">
        <f t="shared" si="6"/>
        <v/>
      </c>
      <c r="P88" s="264" t="str">
        <f t="shared" si="6"/>
        <v/>
      </c>
      <c r="Q88" s="264" t="str">
        <f t="shared" si="6"/>
        <v/>
      </c>
      <c r="R88" s="264" t="str">
        <f t="shared" si="6"/>
        <v/>
      </c>
      <c r="S88" s="264" t="str">
        <f t="shared" si="6"/>
        <v/>
      </c>
      <c r="T88" s="264" t="str">
        <f t="shared" si="6"/>
        <v/>
      </c>
      <c r="U88" s="264" t="str">
        <f t="shared" si="6"/>
        <v/>
      </c>
      <c r="V88" s="264" t="str">
        <f t="shared" si="6"/>
        <v/>
      </c>
      <c r="W88" s="264" t="str">
        <f t="shared" si="6"/>
        <v/>
      </c>
      <c r="X88" s="264" t="str">
        <f t="shared" si="6"/>
        <v/>
      </c>
      <c r="Y88" s="264" t="str">
        <f t="shared" si="6"/>
        <v/>
      </c>
      <c r="Z88" s="264" t="str">
        <f t="shared" si="6"/>
        <v/>
      </c>
      <c r="AA88" s="264" t="str">
        <f t="shared" si="6"/>
        <v/>
      </c>
      <c r="AB88" s="264" t="str">
        <f t="shared" si="6"/>
        <v/>
      </c>
      <c r="AC88" s="264">
        <f t="shared" si="6"/>
        <v>0</v>
      </c>
      <c r="AD88" s="264" t="str">
        <f t="shared" si="6"/>
        <v/>
      </c>
      <c r="AE88" s="264" t="str">
        <f t="shared" si="6"/>
        <v/>
      </c>
      <c r="AF88" s="264" t="str">
        <f t="shared" si="6"/>
        <v/>
      </c>
      <c r="AG88" s="264" t="str">
        <f t="shared" si="6"/>
        <v/>
      </c>
      <c r="AH88" s="264" t="str">
        <f t="shared" si="6"/>
        <v/>
      </c>
      <c r="AI88" s="264" t="str">
        <f t="shared" si="6"/>
        <v/>
      </c>
      <c r="AJ88" s="264" t="str">
        <f t="shared" si="6"/>
        <v/>
      </c>
      <c r="AK88" s="264" t="str">
        <f t="shared" si="6"/>
        <v/>
      </c>
      <c r="AL88" s="264" t="str">
        <f t="shared" si="6"/>
        <v/>
      </c>
      <c r="AM88" s="264" t="str">
        <f t="shared" si="6"/>
        <v/>
      </c>
      <c r="AN88" s="264" t="str">
        <f t="shared" si="6"/>
        <v/>
      </c>
      <c r="AO88" s="264" t="str">
        <f t="shared" si="6"/>
        <v/>
      </c>
      <c r="AP88" s="264" t="str">
        <f t="shared" si="6"/>
        <v/>
      </c>
      <c r="AQ88" s="264" t="str">
        <f t="shared" si="6"/>
        <v/>
      </c>
      <c r="AR88" s="263" t="str">
        <f t="shared" si="6"/>
        <v/>
      </c>
    </row>
    <row r="89" spans="2:44" ht="13.8" thickBot="1">
      <c r="J89" s="302"/>
      <c r="K89" s="302"/>
      <c r="L89" s="839" t="s">
        <v>362</v>
      </c>
      <c r="M89" s="840"/>
      <c r="N89" s="260" t="str">
        <f t="shared" ref="N89:AR89" si="7">IF(SUM(N81:N88)=0,"",SUM(N81:N88))</f>
        <v/>
      </c>
      <c r="O89" s="259" t="str">
        <f t="shared" si="7"/>
        <v/>
      </c>
      <c r="P89" s="259" t="str">
        <f t="shared" si="7"/>
        <v/>
      </c>
      <c r="Q89" s="259" t="str">
        <f t="shared" si="7"/>
        <v/>
      </c>
      <c r="R89" s="259" t="str">
        <f t="shared" si="7"/>
        <v/>
      </c>
      <c r="S89" s="259" t="str">
        <f t="shared" si="7"/>
        <v/>
      </c>
      <c r="T89" s="259" t="str">
        <f t="shared" si="7"/>
        <v/>
      </c>
      <c r="U89" s="259" t="str">
        <f t="shared" si="7"/>
        <v/>
      </c>
      <c r="V89" s="259" t="str">
        <f t="shared" si="7"/>
        <v/>
      </c>
      <c r="W89" s="259" t="str">
        <f t="shared" si="7"/>
        <v/>
      </c>
      <c r="X89" s="259" t="str">
        <f t="shared" si="7"/>
        <v/>
      </c>
      <c r="Y89" s="259" t="str">
        <f t="shared" si="7"/>
        <v/>
      </c>
      <c r="Z89" s="259" t="str">
        <f t="shared" si="7"/>
        <v/>
      </c>
      <c r="AA89" s="259" t="str">
        <f t="shared" si="7"/>
        <v/>
      </c>
      <c r="AB89" s="259" t="str">
        <f t="shared" si="7"/>
        <v/>
      </c>
      <c r="AC89" s="259" t="str">
        <f t="shared" si="7"/>
        <v/>
      </c>
      <c r="AD89" s="259" t="str">
        <f t="shared" si="7"/>
        <v/>
      </c>
      <c r="AE89" s="259" t="str">
        <f t="shared" si="7"/>
        <v/>
      </c>
      <c r="AF89" s="259" t="str">
        <f t="shared" si="7"/>
        <v/>
      </c>
      <c r="AG89" s="259" t="str">
        <f t="shared" si="7"/>
        <v/>
      </c>
      <c r="AH89" s="259" t="str">
        <f t="shared" si="7"/>
        <v/>
      </c>
      <c r="AI89" s="259" t="str">
        <f t="shared" si="7"/>
        <v/>
      </c>
      <c r="AJ89" s="259" t="str">
        <f t="shared" si="7"/>
        <v/>
      </c>
      <c r="AK89" s="259" t="str">
        <f t="shared" si="7"/>
        <v/>
      </c>
      <c r="AL89" s="259" t="str">
        <f t="shared" si="7"/>
        <v/>
      </c>
      <c r="AM89" s="259" t="str">
        <f t="shared" si="7"/>
        <v/>
      </c>
      <c r="AN89" s="259" t="str">
        <f t="shared" si="7"/>
        <v/>
      </c>
      <c r="AO89" s="259" t="str">
        <f t="shared" si="7"/>
        <v/>
      </c>
      <c r="AP89" s="259" t="str">
        <f t="shared" si="7"/>
        <v/>
      </c>
      <c r="AQ89" s="259" t="str">
        <f t="shared" si="7"/>
        <v/>
      </c>
      <c r="AR89" s="258" t="str">
        <f t="shared" si="7"/>
        <v/>
      </c>
    </row>
    <row r="90" spans="2:44" ht="13.8" thickBot="1">
      <c r="J90" s="302"/>
      <c r="K90" s="302"/>
      <c r="L90" s="841" t="s">
        <v>363</v>
      </c>
      <c r="M90" s="842"/>
      <c r="N90" s="260" t="str">
        <f>IF(N89="","",((N89)/(1+Paramètres!$B$19)^N80))</f>
        <v/>
      </c>
      <c r="O90" s="259" t="str">
        <f>IF(O89="","",((O89)/(1+Paramètres!$B$19)^O80))</f>
        <v/>
      </c>
      <c r="P90" s="259" t="str">
        <f>IF(P89="","",((P89)/(1+Paramètres!$B$19)^P80))</f>
        <v/>
      </c>
      <c r="Q90" s="259" t="str">
        <f>IF(Q89="","",((Q89)/(1+Paramètres!$B$19)^Q80))</f>
        <v/>
      </c>
      <c r="R90" s="259" t="str">
        <f>IF(R89="","",((R89)/(1+Paramètres!$B$19)^R80))</f>
        <v/>
      </c>
      <c r="S90" s="259" t="str">
        <f>IF(S89="","",((S89)/(1+Paramètres!$B$19)^S80))</f>
        <v/>
      </c>
      <c r="T90" s="259" t="str">
        <f>IF(T89="","",((T89)/(1+Paramètres!$B$19)^T80))</f>
        <v/>
      </c>
      <c r="U90" s="259" t="str">
        <f>IF(U89="","",((U89)/(1+Paramètres!$B$19)^U80))</f>
        <v/>
      </c>
      <c r="V90" s="259" t="str">
        <f>IF(V89="","",((V89)/(1+Paramètres!$B$19)^V80))</f>
        <v/>
      </c>
      <c r="W90" s="259" t="str">
        <f>IF(W89="","",((W89)/(1+Paramètres!$B$19)^W80))</f>
        <v/>
      </c>
      <c r="X90" s="259" t="str">
        <f>IF(X89="","",((X89)/(1+Paramètres!$B$19)^X80))</f>
        <v/>
      </c>
      <c r="Y90" s="259" t="str">
        <f>IF(Y89="","",((Y89)/(1+Paramètres!$B$19)^Y80))</f>
        <v/>
      </c>
      <c r="Z90" s="259" t="str">
        <f>IF(Z89="","",((Z89)/(1+Paramètres!$B$19)^Z80))</f>
        <v/>
      </c>
      <c r="AA90" s="259" t="str">
        <f>IF(AA89="","",((AA89)/(1+Paramètres!$B$19)^AA80))</f>
        <v/>
      </c>
      <c r="AB90" s="259" t="str">
        <f>IF(AB89="","",((AB89)/(1+Paramètres!$B$19)^AB80))</f>
        <v/>
      </c>
      <c r="AC90" s="259" t="str">
        <f>IF(AC89="","",((AC89)/(1+Paramètres!$B$19)^AC80))</f>
        <v/>
      </c>
      <c r="AD90" s="259" t="str">
        <f>IF(AD89="","",((AD89)/(1+Paramètres!$B$19)^AD80))</f>
        <v/>
      </c>
      <c r="AE90" s="259" t="str">
        <f>IF(AE89="","",((AE89)/(1+Paramètres!$B$19)^AE80))</f>
        <v/>
      </c>
      <c r="AF90" s="259" t="str">
        <f>IF(AF89="","",((AF89)/(1+Paramètres!$B$19)^AF80))</f>
        <v/>
      </c>
      <c r="AG90" s="259" t="str">
        <f>IF(AG89="","",((AG89)/(1+Paramètres!$B$19)^AG80))</f>
        <v/>
      </c>
      <c r="AH90" s="259" t="str">
        <f>IF(AH89="","",((AH89)/(1+Paramètres!$B$19)^AH80))</f>
        <v/>
      </c>
      <c r="AI90" s="259" t="str">
        <f>IF(AI89="","",((AI89)/(1+Paramètres!$B$19)^AI80))</f>
        <v/>
      </c>
      <c r="AJ90" s="259" t="str">
        <f>IF(AJ89="","",((AJ89)/(1+Paramètres!$B$19)^AJ80))</f>
        <v/>
      </c>
      <c r="AK90" s="259" t="str">
        <f>IF(AK89="","",((AK89)/(1+Paramètres!$B$19)^AK80))</f>
        <v/>
      </c>
      <c r="AL90" s="259" t="str">
        <f>IF(AL89="","",((AL89)/(1+Paramètres!$B$19)^AL80))</f>
        <v/>
      </c>
      <c r="AM90" s="259" t="str">
        <f>IF(AM89="","",((AM89)/(1+Paramètres!$B$19)^AM80))</f>
        <v/>
      </c>
      <c r="AN90" s="259" t="str">
        <f>IF(AN89="","",((AN89)/(1+Paramètres!$B$19)^AN80))</f>
        <v/>
      </c>
      <c r="AO90" s="259" t="str">
        <f>IF(AO89="","",((AO89)/(1+Paramètres!$B$19)^AO80))</f>
        <v/>
      </c>
      <c r="AP90" s="259" t="str">
        <f>IF(AP89="","",((AP89)/(1+Paramètres!$B$19)^AP80))</f>
        <v/>
      </c>
      <c r="AQ90" s="259" t="str">
        <f>IF(AQ89="","",((AQ89)/(1+Paramètres!$B$19)^AQ80))</f>
        <v/>
      </c>
      <c r="AR90" s="258" t="str">
        <f>IF(AR89="","",((AR89)/(1+Paramètres!$B$19)^AR80))</f>
        <v/>
      </c>
    </row>
    <row r="91" spans="2:44" ht="13.8" thickBot="1">
      <c r="J91" s="302"/>
      <c r="K91" s="302"/>
      <c r="L91" s="841" t="s">
        <v>364</v>
      </c>
      <c r="M91" s="842"/>
      <c r="N91" s="257" t="str">
        <f>N90</f>
        <v/>
      </c>
      <c r="O91" s="256" t="str">
        <f t="shared" ref="O91:AR91" si="8">IF(O90="","",((N91+O90)))</f>
        <v/>
      </c>
      <c r="P91" s="256" t="str">
        <f t="shared" si="8"/>
        <v/>
      </c>
      <c r="Q91" s="256" t="str">
        <f t="shared" si="8"/>
        <v/>
      </c>
      <c r="R91" s="256" t="str">
        <f t="shared" si="8"/>
        <v/>
      </c>
      <c r="S91" s="256" t="str">
        <f t="shared" si="8"/>
        <v/>
      </c>
      <c r="T91" s="256" t="str">
        <f t="shared" si="8"/>
        <v/>
      </c>
      <c r="U91" s="256" t="str">
        <f t="shared" si="8"/>
        <v/>
      </c>
      <c r="V91" s="256" t="str">
        <f t="shared" si="8"/>
        <v/>
      </c>
      <c r="W91" s="256" t="str">
        <f t="shared" si="8"/>
        <v/>
      </c>
      <c r="X91" s="256" t="str">
        <f t="shared" si="8"/>
        <v/>
      </c>
      <c r="Y91" s="256" t="str">
        <f t="shared" si="8"/>
        <v/>
      </c>
      <c r="Z91" s="256" t="str">
        <f t="shared" si="8"/>
        <v/>
      </c>
      <c r="AA91" s="256" t="str">
        <f t="shared" si="8"/>
        <v/>
      </c>
      <c r="AB91" s="256" t="str">
        <f t="shared" si="8"/>
        <v/>
      </c>
      <c r="AC91" s="256" t="str">
        <f t="shared" si="8"/>
        <v/>
      </c>
      <c r="AD91" s="256" t="str">
        <f t="shared" si="8"/>
        <v/>
      </c>
      <c r="AE91" s="256" t="str">
        <f t="shared" si="8"/>
        <v/>
      </c>
      <c r="AF91" s="256" t="str">
        <f t="shared" si="8"/>
        <v/>
      </c>
      <c r="AG91" s="256" t="str">
        <f t="shared" si="8"/>
        <v/>
      </c>
      <c r="AH91" s="256" t="str">
        <f t="shared" si="8"/>
        <v/>
      </c>
      <c r="AI91" s="256" t="str">
        <f t="shared" si="8"/>
        <v/>
      </c>
      <c r="AJ91" s="256" t="str">
        <f t="shared" si="8"/>
        <v/>
      </c>
      <c r="AK91" s="256" t="str">
        <f t="shared" si="8"/>
        <v/>
      </c>
      <c r="AL91" s="256" t="str">
        <f t="shared" si="8"/>
        <v/>
      </c>
      <c r="AM91" s="256" t="str">
        <f t="shared" si="8"/>
        <v/>
      </c>
      <c r="AN91" s="256" t="str">
        <f t="shared" si="8"/>
        <v/>
      </c>
      <c r="AO91" s="256" t="str">
        <f t="shared" si="8"/>
        <v/>
      </c>
      <c r="AP91" s="256" t="str">
        <f t="shared" si="8"/>
        <v/>
      </c>
      <c r="AQ91" s="256" t="str">
        <f t="shared" si="8"/>
        <v/>
      </c>
      <c r="AR91" s="255" t="str">
        <f t="shared" si="8"/>
        <v/>
      </c>
    </row>
    <row r="92" spans="2:44" ht="13.8" thickBot="1">
      <c r="J92" s="302"/>
      <c r="K92" s="302"/>
      <c r="L92" s="302"/>
      <c r="M92" s="302"/>
      <c r="N92" s="302"/>
      <c r="O92" s="301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</row>
    <row r="93" spans="2:44">
      <c r="J93" s="308"/>
      <c r="K93" s="308"/>
      <c r="L93" s="254" t="s">
        <v>225</v>
      </c>
      <c r="M93" s="253" t="str">
        <f>IFERROR(IRR(N89:AR89), "PROJET NON RENTABLE")</f>
        <v>PROJET NON RENTABLE</v>
      </c>
      <c r="N93" s="309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</row>
    <row r="94" spans="2:44" ht="13.8" thickBot="1">
      <c r="J94" s="305"/>
      <c r="K94" s="305"/>
      <c r="L94" s="252" t="s">
        <v>224</v>
      </c>
      <c r="M94" s="412" cm="1">
        <f t="array" ref="M94">IFERROR(INDEX(N80:AR80,MATCH(TRUE,N91:AR91&gt;0,0)),"PROJET NON RENTABLE")</f>
        <v>0</v>
      </c>
      <c r="N94" s="307"/>
      <c r="O94" s="305"/>
      <c r="P94" s="305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</row>
    <row r="95" spans="2:44">
      <c r="J95" s="302"/>
      <c r="K95" s="302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</row>
    <row r="96" spans="2:44" ht="13.8" thickBot="1">
      <c r="J96" s="302"/>
      <c r="K96" s="302"/>
      <c r="L96" s="302"/>
      <c r="M96" s="303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</row>
    <row r="97" spans="10:44" ht="16.2" thickBot="1">
      <c r="J97" s="826" t="s">
        <v>365</v>
      </c>
      <c r="K97" s="827"/>
      <c r="L97" s="827"/>
      <c r="M97" s="827"/>
      <c r="N97" s="827"/>
      <c r="O97" s="827"/>
      <c r="P97" s="827"/>
      <c r="Q97" s="827"/>
      <c r="R97" s="827"/>
      <c r="S97" s="827"/>
      <c r="T97" s="827"/>
      <c r="U97" s="827"/>
      <c r="V97" s="827"/>
      <c r="W97" s="827"/>
      <c r="X97" s="827"/>
      <c r="Y97" s="827"/>
      <c r="Z97" s="827"/>
      <c r="AA97" s="827"/>
      <c r="AB97" s="827"/>
      <c r="AC97" s="827"/>
      <c r="AD97" s="827"/>
      <c r="AE97" s="827"/>
      <c r="AF97" s="827"/>
      <c r="AG97" s="827"/>
      <c r="AH97" s="827"/>
      <c r="AI97" s="827"/>
      <c r="AJ97" s="827"/>
      <c r="AK97" s="827"/>
      <c r="AL97" s="827"/>
      <c r="AM97" s="827"/>
      <c r="AN97" s="827"/>
      <c r="AO97" s="827"/>
      <c r="AP97" s="827"/>
      <c r="AQ97" s="827"/>
      <c r="AR97" s="828"/>
    </row>
    <row r="98" spans="10:44" ht="21" thickBot="1"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1"/>
      <c r="AE98" s="261"/>
      <c r="AF98" s="261"/>
      <c r="AG98" s="261"/>
      <c r="AH98" s="261"/>
      <c r="AI98" s="261"/>
      <c r="AJ98" s="261"/>
      <c r="AK98" s="261"/>
      <c r="AL98" s="261"/>
      <c r="AM98" s="261"/>
      <c r="AN98" s="261"/>
      <c r="AO98" s="261"/>
      <c r="AP98" s="261"/>
      <c r="AQ98" s="261"/>
      <c r="AR98" s="261"/>
    </row>
    <row r="99" spans="10:44" ht="16.2" thickBot="1">
      <c r="J99" s="262"/>
      <c r="K99" s="262"/>
      <c r="L99" s="302"/>
      <c r="M99" s="301"/>
      <c r="N99" s="831" t="s">
        <v>366</v>
      </c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3"/>
    </row>
    <row r="100" spans="10:44" ht="16.2" thickBot="1">
      <c r="J100" s="262"/>
      <c r="K100" s="262"/>
      <c r="L100" s="302"/>
      <c r="M100" s="301"/>
      <c r="N100" s="300">
        <v>0</v>
      </c>
      <c r="O100" s="299">
        <v>1</v>
      </c>
      <c r="P100" s="299">
        <v>2</v>
      </c>
      <c r="Q100" s="299">
        <v>3</v>
      </c>
      <c r="R100" s="299">
        <v>4</v>
      </c>
      <c r="S100" s="299">
        <v>5</v>
      </c>
      <c r="T100" s="299">
        <v>6</v>
      </c>
      <c r="U100" s="299">
        <v>7</v>
      </c>
      <c r="V100" s="299">
        <v>8</v>
      </c>
      <c r="W100" s="299">
        <v>9</v>
      </c>
      <c r="X100" s="299">
        <v>10</v>
      </c>
      <c r="Y100" s="299">
        <v>11</v>
      </c>
      <c r="Z100" s="299">
        <v>12</v>
      </c>
      <c r="AA100" s="299">
        <v>13</v>
      </c>
      <c r="AB100" s="299">
        <v>14</v>
      </c>
      <c r="AC100" s="299">
        <v>15</v>
      </c>
      <c r="AD100" s="299">
        <v>16</v>
      </c>
      <c r="AE100" s="299">
        <v>17</v>
      </c>
      <c r="AF100" s="299">
        <v>18</v>
      </c>
      <c r="AG100" s="299">
        <v>19</v>
      </c>
      <c r="AH100" s="299">
        <v>20</v>
      </c>
      <c r="AI100" s="299">
        <v>21</v>
      </c>
      <c r="AJ100" s="299">
        <v>22</v>
      </c>
      <c r="AK100" s="299">
        <v>23</v>
      </c>
      <c r="AL100" s="299">
        <v>24</v>
      </c>
      <c r="AM100" s="299">
        <v>25</v>
      </c>
      <c r="AN100" s="299">
        <v>26</v>
      </c>
      <c r="AO100" s="299">
        <v>27</v>
      </c>
      <c r="AP100" s="299">
        <v>28</v>
      </c>
      <c r="AQ100" s="299">
        <v>29</v>
      </c>
      <c r="AR100" s="298">
        <v>30</v>
      </c>
    </row>
    <row r="101" spans="10:44" ht="20.399999999999999">
      <c r="J101" s="262"/>
      <c r="K101" s="262"/>
      <c r="L101" s="829" t="s">
        <v>354</v>
      </c>
      <c r="M101" s="297" t="s">
        <v>311</v>
      </c>
      <c r="N101" s="296">
        <f>(M55)</f>
        <v>0</v>
      </c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3"/>
    </row>
    <row r="102" spans="10:44" ht="21" thickBot="1">
      <c r="J102" s="262"/>
      <c r="K102" s="262"/>
      <c r="L102" s="830"/>
      <c r="M102" s="292" t="s">
        <v>314</v>
      </c>
      <c r="N102" s="290">
        <f>M56</f>
        <v>0</v>
      </c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  <c r="AO102" s="261"/>
      <c r="AP102" s="261"/>
      <c r="AQ102" s="261"/>
      <c r="AR102" s="288"/>
    </row>
    <row r="103" spans="10:44" ht="20.399999999999999">
      <c r="J103" s="262"/>
      <c r="K103" s="262"/>
      <c r="L103" s="829" t="s">
        <v>356</v>
      </c>
      <c r="M103" s="291" t="s">
        <v>357</v>
      </c>
      <c r="N103" s="290">
        <f>M57+M58</f>
        <v>0</v>
      </c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  <c r="AO103" s="261"/>
      <c r="AP103" s="261"/>
      <c r="AQ103" s="261"/>
      <c r="AR103" s="288"/>
    </row>
    <row r="104" spans="10:44" ht="16.2" thickBot="1">
      <c r="J104" s="262"/>
      <c r="K104" s="262"/>
      <c r="L104" s="830"/>
      <c r="M104" s="287" t="s">
        <v>358</v>
      </c>
      <c r="N104" s="278"/>
      <c r="O104" s="277" t="str">
        <f t="shared" ref="O104:AR104" si="9">IF(O100&lt;=$M$63,$M$62,"")</f>
        <v/>
      </c>
      <c r="P104" s="277" t="str">
        <f t="shared" si="9"/>
        <v/>
      </c>
      <c r="Q104" s="277" t="str">
        <f t="shared" si="9"/>
        <v/>
      </c>
      <c r="R104" s="277" t="str">
        <f t="shared" si="9"/>
        <v/>
      </c>
      <c r="S104" s="277" t="str">
        <f t="shared" si="9"/>
        <v/>
      </c>
      <c r="T104" s="277" t="str">
        <f t="shared" si="9"/>
        <v/>
      </c>
      <c r="U104" s="277" t="str">
        <f t="shared" si="9"/>
        <v/>
      </c>
      <c r="V104" s="277" t="str">
        <f t="shared" si="9"/>
        <v/>
      </c>
      <c r="W104" s="277" t="str">
        <f t="shared" si="9"/>
        <v/>
      </c>
      <c r="X104" s="277" t="str">
        <f t="shared" si="9"/>
        <v/>
      </c>
      <c r="Y104" s="277" t="str">
        <f t="shared" si="9"/>
        <v/>
      </c>
      <c r="Z104" s="277" t="str">
        <f t="shared" si="9"/>
        <v/>
      </c>
      <c r="AA104" s="277" t="str">
        <f t="shared" si="9"/>
        <v/>
      </c>
      <c r="AB104" s="277" t="str">
        <f t="shared" si="9"/>
        <v/>
      </c>
      <c r="AC104" s="277" t="str">
        <f t="shared" si="9"/>
        <v/>
      </c>
      <c r="AD104" s="277" t="str">
        <f t="shared" si="9"/>
        <v/>
      </c>
      <c r="AE104" s="277" t="str">
        <f t="shared" si="9"/>
        <v/>
      </c>
      <c r="AF104" s="277" t="str">
        <f t="shared" si="9"/>
        <v/>
      </c>
      <c r="AG104" s="277" t="str">
        <f t="shared" si="9"/>
        <v/>
      </c>
      <c r="AH104" s="277" t="str">
        <f t="shared" si="9"/>
        <v/>
      </c>
      <c r="AI104" s="277" t="str">
        <f t="shared" si="9"/>
        <v/>
      </c>
      <c r="AJ104" s="277" t="str">
        <f t="shared" si="9"/>
        <v/>
      </c>
      <c r="AK104" s="277" t="str">
        <f t="shared" si="9"/>
        <v/>
      </c>
      <c r="AL104" s="277" t="str">
        <f t="shared" si="9"/>
        <v/>
      </c>
      <c r="AM104" s="277" t="str">
        <f t="shared" si="9"/>
        <v/>
      </c>
      <c r="AN104" s="277" t="str">
        <f t="shared" si="9"/>
        <v/>
      </c>
      <c r="AO104" s="277" t="str">
        <f t="shared" si="9"/>
        <v/>
      </c>
      <c r="AP104" s="277" t="str">
        <f t="shared" si="9"/>
        <v/>
      </c>
      <c r="AQ104" s="277" t="str">
        <f t="shared" si="9"/>
        <v/>
      </c>
      <c r="AR104" s="276" t="str">
        <f t="shared" si="9"/>
        <v/>
      </c>
    </row>
    <row r="105" spans="10:44" ht="16.2" thickBot="1">
      <c r="J105" s="262"/>
      <c r="K105" s="262"/>
      <c r="L105" s="286" t="s">
        <v>360</v>
      </c>
      <c r="M105" s="285" t="s">
        <v>360</v>
      </c>
      <c r="N105" s="274"/>
      <c r="O105" s="284">
        <f>IF(O100&lt;=$K$16,($M$61+$M$64+$M$65+$M$66+$M$67+$M$68+$M$69+$M$70+$M$71+$M$72),"")</f>
        <v>0</v>
      </c>
      <c r="P105" s="284">
        <f>IF(P100&lt;=$K$16,O105*(1+Paramètres!$B$20),"")</f>
        <v>0</v>
      </c>
      <c r="Q105" s="284">
        <f>IF(Q100&lt;=$K$16,P105*(1+Paramètres!$B$20),"")</f>
        <v>0</v>
      </c>
      <c r="R105" s="284">
        <f>IF(R100&lt;=$K$16,Q105*(1+Paramètres!$B$20),"")</f>
        <v>0</v>
      </c>
      <c r="S105" s="284">
        <f>IF(S100&lt;=$K$16,R105*(1+Paramètres!$B$20),"")</f>
        <v>0</v>
      </c>
      <c r="T105" s="284">
        <f>IF(T100&lt;=$K$16,S105*(1+Paramètres!$B$20),"")</f>
        <v>0</v>
      </c>
      <c r="U105" s="284">
        <f>IF(U100&lt;=$K$16,T105*(1+Paramètres!$B$20),"")</f>
        <v>0</v>
      </c>
      <c r="V105" s="284">
        <f>IF(V100&lt;=$K$16,U105*(1+Paramètres!$B$20),"")</f>
        <v>0</v>
      </c>
      <c r="W105" s="284">
        <f>IF(W100&lt;=$K$16,V105*(1+Paramètres!$B$20),"")</f>
        <v>0</v>
      </c>
      <c r="X105" s="284">
        <f>IF(X100&lt;=$K$16,W105*(1+Paramètres!$B$20),"")</f>
        <v>0</v>
      </c>
      <c r="Y105" s="284">
        <f>IF(Y100&lt;=$K$16,X105*(1+Paramètres!$B$20),"")</f>
        <v>0</v>
      </c>
      <c r="Z105" s="284">
        <f>IF(Z100&lt;=$K$16,Y105*(1+Paramètres!$B$20),"")</f>
        <v>0</v>
      </c>
      <c r="AA105" s="284">
        <f>IF(AA100&lt;=$K$16,Z105*(1+Paramètres!$B$20),"")</f>
        <v>0</v>
      </c>
      <c r="AB105" s="284">
        <f>IF(AB100&lt;=$K$16,AA105*(1+Paramètres!$B$20),"")</f>
        <v>0</v>
      </c>
      <c r="AC105" s="284">
        <f>IF(AC100&lt;=$K$16,AB105*(1+Paramètres!$B$20),"")</f>
        <v>0</v>
      </c>
      <c r="AD105" s="284" t="str">
        <f>IF(AD100&lt;=$K$16,AC105*(1+Paramètres!$B$20),"")</f>
        <v/>
      </c>
      <c r="AE105" s="284" t="str">
        <f>IF(AE100&lt;=$K$16,AD105*(1+Paramètres!$B$20),"")</f>
        <v/>
      </c>
      <c r="AF105" s="284" t="str">
        <f>IF(AF100&lt;=$K$16,AE105*(1+Paramètres!$B$20),"")</f>
        <v/>
      </c>
      <c r="AG105" s="284" t="str">
        <f>IF(AG100&lt;=$K$16,AF105*(1+Paramètres!$B$20),"")</f>
        <v/>
      </c>
      <c r="AH105" s="284" t="str">
        <f>IF(AH100&lt;=$K$16,AG105*(1+Paramètres!$B$20),"")</f>
        <v/>
      </c>
      <c r="AI105" s="284" t="str">
        <f>IF(AI100&lt;=$K$16,AH105*(1+Paramètres!$B$20),"")</f>
        <v/>
      </c>
      <c r="AJ105" s="284" t="str">
        <f>IF(AJ100&lt;=$K$16,AI105*(1+Paramètres!$B$20),"")</f>
        <v/>
      </c>
      <c r="AK105" s="284" t="str">
        <f>IF(AK100&lt;=$K$16,AJ105*(1+Paramètres!$B$20),"")</f>
        <v/>
      </c>
      <c r="AL105" s="284" t="str">
        <f>IF(AL100&lt;=$K$16,AK105*(1+Paramètres!$B$20),"")</f>
        <v/>
      </c>
      <c r="AM105" s="284" t="str">
        <f>IF(AM100&lt;=$K$16,AL105*(1+Paramètres!$B$20),"")</f>
        <v/>
      </c>
      <c r="AN105" s="284" t="str">
        <f>IF(AN100&lt;=$K$16,AM105*(1+Paramètres!$B$20),"")</f>
        <v/>
      </c>
      <c r="AO105" s="284" t="str">
        <f>IF(AO100&lt;=$K$16,AN105*(1+Paramètres!$B$20),"")</f>
        <v/>
      </c>
      <c r="AP105" s="284" t="str">
        <f>IF(AP100&lt;=$K$16,AO105*(1+Paramètres!$B$20),"")</f>
        <v/>
      </c>
      <c r="AQ105" s="284" t="str">
        <f>IF(AQ100&lt;=$K$16,AP105*(1+Paramètres!$B$20),"")</f>
        <v/>
      </c>
      <c r="AR105" s="283" t="str">
        <f>IF(AR100&lt;=$K$16,AQ105*(1+Paramètres!$B$20),"")</f>
        <v/>
      </c>
    </row>
    <row r="106" spans="10:44" ht="15.6">
      <c r="J106" s="262"/>
      <c r="K106" s="262"/>
      <c r="L106" s="829" t="s">
        <v>367</v>
      </c>
      <c r="M106" s="282" t="s">
        <v>46</v>
      </c>
      <c r="N106" s="281"/>
      <c r="O106" s="280">
        <f>IF(AND(O100=1,K23="OUI"),(Paramètres!$B$22*AA0!M55),"")</f>
        <v>0</v>
      </c>
      <c r="P106" s="280" t="str">
        <f>IF(P100=1,(Paramètres!$B$22*AA0!N55),"")</f>
        <v/>
      </c>
      <c r="Q106" s="280" t="str">
        <f>IF(Q100=1,(Paramètres!$B$22*AA0!O55),"")</f>
        <v/>
      </c>
      <c r="R106" s="280" t="str">
        <f>IF(R100=1,(Paramètres!$B$22*AA0!P55),"")</f>
        <v/>
      </c>
      <c r="S106" s="280" t="str">
        <f>IF(S100=1,(Paramètres!$B$22*AA0!Q55),"")</f>
        <v/>
      </c>
      <c r="T106" s="280" t="str">
        <f>IF(T100=1,(Paramètres!$B$22*AA0!R55),"")</f>
        <v/>
      </c>
      <c r="U106" s="280" t="str">
        <f>IF(U100=1,(Paramètres!$B$22*AA0!S55),"")</f>
        <v/>
      </c>
      <c r="V106" s="280" t="str">
        <f>IF(V100=1,(Paramètres!$B$22*AA0!T55),"")</f>
        <v/>
      </c>
      <c r="W106" s="280" t="str">
        <f>IF(W100=1,(Paramètres!$B$22*AA0!U55),"")</f>
        <v/>
      </c>
      <c r="X106" s="280" t="str">
        <f>IF(X100=1,(Paramètres!$B$22*AA0!V55),"")</f>
        <v/>
      </c>
      <c r="Y106" s="280" t="str">
        <f>IF(Y100=1,(Paramètres!$B$22*AA0!W55),"")</f>
        <v/>
      </c>
      <c r="Z106" s="280" t="str">
        <f>IF(Z100=1,(Paramètres!$B$22*AA0!X55),"")</f>
        <v/>
      </c>
      <c r="AA106" s="280" t="str">
        <f>IF(AA100=1,(Paramètres!$B$22*AA0!Y55),"")</f>
        <v/>
      </c>
      <c r="AB106" s="280" t="str">
        <f>IF(AB100=1,(Paramètres!$B$22*AA0!Z55),"")</f>
        <v/>
      </c>
      <c r="AC106" s="280" t="str">
        <f>IF(AC100=1,(Paramètres!$B$22*AA0!AA55),"")</f>
        <v/>
      </c>
      <c r="AD106" s="280" t="str">
        <f>IF(AD100=1,(Paramètres!$B$22*AA0!AB55),"")</f>
        <v/>
      </c>
      <c r="AE106" s="280" t="str">
        <f>IF(AE100=1,(Paramètres!$B$22*AA0!AC55),"")</f>
        <v/>
      </c>
      <c r="AF106" s="280" t="str">
        <f>IF(AF100=1,(Paramètres!$B$22*AA0!AD55),"")</f>
        <v/>
      </c>
      <c r="AG106" s="280" t="str">
        <f>IF(AG100=1,(Paramètres!$B$22*AA0!AE55),"")</f>
        <v/>
      </c>
      <c r="AH106" s="280" t="str">
        <f>IF(AH100=1,(Paramètres!$B$22*AA0!AF55),"")</f>
        <v/>
      </c>
      <c r="AI106" s="280" t="str">
        <f>IF(AI100=1,(Paramètres!$B$22*AA0!AG55),"")</f>
        <v/>
      </c>
      <c r="AJ106" s="280" t="str">
        <f>IF(AJ100=1,(Paramètres!$B$22*AA0!AH55),"")</f>
        <v/>
      </c>
      <c r="AK106" s="280" t="str">
        <f>IF(AK100=1,(Paramètres!$B$22*AA0!AI55),"")</f>
        <v/>
      </c>
      <c r="AL106" s="280" t="str">
        <f>IF(AL100=1,(Paramètres!$B$22*AA0!AJ55),"")</f>
        <v/>
      </c>
      <c r="AM106" s="280" t="str">
        <f>IF(AM100=1,(Paramètres!$B$22*AA0!AK55),"")</f>
        <v/>
      </c>
      <c r="AN106" s="280" t="str">
        <f>IF(AN100=1,(Paramètres!$B$22*AA0!AL55),"")</f>
        <v/>
      </c>
      <c r="AO106" s="280" t="str">
        <f>IF(AO100=1,(Paramètres!$B$22*AA0!AM55),"")</f>
        <v/>
      </c>
      <c r="AP106" s="280" t="str">
        <f>IF(AP100=1,(Paramètres!$B$22*AA0!AN55),"")</f>
        <v/>
      </c>
      <c r="AQ106" s="280" t="str">
        <f>IF(AQ100=1,(Paramètres!$B$22*AA0!AO55),"")</f>
        <v/>
      </c>
      <c r="AR106" s="279" t="str">
        <f>IF(AR100=1,(Paramètres!$B$22*AA0!AP55),"")</f>
        <v/>
      </c>
    </row>
    <row r="107" spans="10:44" ht="15.6">
      <c r="J107" s="262"/>
      <c r="K107" s="262"/>
      <c r="L107" s="843"/>
      <c r="M107" s="275" t="s">
        <v>368</v>
      </c>
      <c r="N107" s="278"/>
      <c r="O107" s="277">
        <f t="shared" ref="O107:AR107" si="10">IF(O100&lt;=$K$20,$M$55/$K$20,"")</f>
        <v>0</v>
      </c>
      <c r="P107" s="277">
        <f t="shared" si="10"/>
        <v>0</v>
      </c>
      <c r="Q107" s="277">
        <f t="shared" si="10"/>
        <v>0</v>
      </c>
      <c r="R107" s="277">
        <f t="shared" si="10"/>
        <v>0</v>
      </c>
      <c r="S107" s="277">
        <f t="shared" si="10"/>
        <v>0</v>
      </c>
      <c r="T107" s="277">
        <f t="shared" si="10"/>
        <v>0</v>
      </c>
      <c r="U107" s="277">
        <f t="shared" si="10"/>
        <v>0</v>
      </c>
      <c r="V107" s="277">
        <f t="shared" si="10"/>
        <v>0</v>
      </c>
      <c r="W107" s="277">
        <f t="shared" si="10"/>
        <v>0</v>
      </c>
      <c r="X107" s="277">
        <f t="shared" si="10"/>
        <v>0</v>
      </c>
      <c r="Y107" s="277" t="str">
        <f t="shared" si="10"/>
        <v/>
      </c>
      <c r="Z107" s="277" t="str">
        <f t="shared" si="10"/>
        <v/>
      </c>
      <c r="AA107" s="277" t="str">
        <f t="shared" si="10"/>
        <v/>
      </c>
      <c r="AB107" s="277" t="str">
        <f t="shared" si="10"/>
        <v/>
      </c>
      <c r="AC107" s="277" t="str">
        <f t="shared" si="10"/>
        <v/>
      </c>
      <c r="AD107" s="277" t="str">
        <f t="shared" si="10"/>
        <v/>
      </c>
      <c r="AE107" s="277" t="str">
        <f t="shared" si="10"/>
        <v/>
      </c>
      <c r="AF107" s="277" t="str">
        <f t="shared" si="10"/>
        <v/>
      </c>
      <c r="AG107" s="277" t="str">
        <f t="shared" si="10"/>
        <v/>
      </c>
      <c r="AH107" s="277" t="str">
        <f t="shared" si="10"/>
        <v/>
      </c>
      <c r="AI107" s="277" t="str">
        <f t="shared" si="10"/>
        <v/>
      </c>
      <c r="AJ107" s="277" t="str">
        <f t="shared" si="10"/>
        <v/>
      </c>
      <c r="AK107" s="277" t="str">
        <f t="shared" si="10"/>
        <v/>
      </c>
      <c r="AL107" s="277" t="str">
        <f t="shared" si="10"/>
        <v/>
      </c>
      <c r="AM107" s="277" t="str">
        <f t="shared" si="10"/>
        <v/>
      </c>
      <c r="AN107" s="277" t="str">
        <f t="shared" si="10"/>
        <v/>
      </c>
      <c r="AO107" s="277" t="str">
        <f t="shared" si="10"/>
        <v/>
      </c>
      <c r="AP107" s="277" t="str">
        <f t="shared" si="10"/>
        <v/>
      </c>
      <c r="AQ107" s="277" t="str">
        <f t="shared" si="10"/>
        <v/>
      </c>
      <c r="AR107" s="276" t="str">
        <f t="shared" si="10"/>
        <v/>
      </c>
    </row>
    <row r="108" spans="10:44" ht="16.2" thickBot="1">
      <c r="J108" s="262"/>
      <c r="K108" s="262"/>
      <c r="L108" s="843"/>
      <c r="M108" s="275" t="s">
        <v>369</v>
      </c>
      <c r="N108" s="274"/>
      <c r="O108" s="273" t="str">
        <f t="shared" ref="O108:AR108" si="11">IF(SUM(O104:O107)=0,"",SUM(O104:O107))</f>
        <v/>
      </c>
      <c r="P108" s="273" t="str">
        <f t="shared" si="11"/>
        <v/>
      </c>
      <c r="Q108" s="273" t="str">
        <f t="shared" si="11"/>
        <v/>
      </c>
      <c r="R108" s="273" t="str">
        <f t="shared" si="11"/>
        <v/>
      </c>
      <c r="S108" s="273" t="str">
        <f t="shared" si="11"/>
        <v/>
      </c>
      <c r="T108" s="273" t="str">
        <f t="shared" si="11"/>
        <v/>
      </c>
      <c r="U108" s="273" t="str">
        <f t="shared" si="11"/>
        <v/>
      </c>
      <c r="V108" s="273" t="str">
        <f t="shared" si="11"/>
        <v/>
      </c>
      <c r="W108" s="273" t="str">
        <f t="shared" si="11"/>
        <v/>
      </c>
      <c r="X108" s="273" t="str">
        <f t="shared" si="11"/>
        <v/>
      </c>
      <c r="Y108" s="273" t="str">
        <f t="shared" si="11"/>
        <v/>
      </c>
      <c r="Z108" s="273" t="str">
        <f t="shared" si="11"/>
        <v/>
      </c>
      <c r="AA108" s="273" t="str">
        <f t="shared" si="11"/>
        <v/>
      </c>
      <c r="AB108" s="273" t="str">
        <f t="shared" si="11"/>
        <v/>
      </c>
      <c r="AC108" s="273" t="str">
        <f t="shared" si="11"/>
        <v/>
      </c>
      <c r="AD108" s="273" t="str">
        <f t="shared" si="11"/>
        <v/>
      </c>
      <c r="AE108" s="273" t="str">
        <f t="shared" si="11"/>
        <v/>
      </c>
      <c r="AF108" s="273" t="str">
        <f t="shared" si="11"/>
        <v/>
      </c>
      <c r="AG108" s="273" t="str">
        <f t="shared" si="11"/>
        <v/>
      </c>
      <c r="AH108" s="273" t="str">
        <f t="shared" si="11"/>
        <v/>
      </c>
      <c r="AI108" s="273" t="str">
        <f t="shared" si="11"/>
        <v/>
      </c>
      <c r="AJ108" s="273" t="str">
        <f t="shared" si="11"/>
        <v/>
      </c>
      <c r="AK108" s="273" t="str">
        <f t="shared" si="11"/>
        <v/>
      </c>
      <c r="AL108" s="273" t="str">
        <f t="shared" si="11"/>
        <v/>
      </c>
      <c r="AM108" s="273" t="str">
        <f t="shared" si="11"/>
        <v/>
      </c>
      <c r="AN108" s="273" t="str">
        <f t="shared" si="11"/>
        <v/>
      </c>
      <c r="AO108" s="273" t="str">
        <f t="shared" si="11"/>
        <v/>
      </c>
      <c r="AP108" s="273" t="str">
        <f t="shared" si="11"/>
        <v/>
      </c>
      <c r="AQ108" s="273" t="str">
        <f t="shared" si="11"/>
        <v/>
      </c>
      <c r="AR108" s="272" t="str">
        <f t="shared" si="11"/>
        <v/>
      </c>
    </row>
    <row r="109" spans="10:44" ht="16.2" thickBot="1">
      <c r="J109" s="262"/>
      <c r="K109" s="262"/>
      <c r="L109" s="830"/>
      <c r="M109" s="271" t="s">
        <v>370</v>
      </c>
      <c r="N109" s="270">
        <f>N102*Paramètres!$B$21</f>
        <v>0</v>
      </c>
      <c r="O109" s="269" t="str">
        <f>IF(N(O108)&gt;0,O108*Paramètres!$B$21,"")</f>
        <v/>
      </c>
      <c r="P109" s="269" t="str">
        <f>IF(N(P108)&gt;0,P108*Paramètres!$B$21,"")</f>
        <v/>
      </c>
      <c r="Q109" s="269" t="str">
        <f>IF(N(Q108)&gt;0,Q108*Paramètres!$B$21,"")</f>
        <v/>
      </c>
      <c r="R109" s="269" t="str">
        <f>IF(N(R108)&gt;0,R108*Paramètres!$B$21,"")</f>
        <v/>
      </c>
      <c r="S109" s="269" t="str">
        <f>IF(N(S108)&gt;0,S108*Paramètres!$B$21,"")</f>
        <v/>
      </c>
      <c r="T109" s="269" t="str">
        <f>IF(N(T108)&gt;0,T108*Paramètres!$B$21,"")</f>
        <v/>
      </c>
      <c r="U109" s="269" t="str">
        <f>IF(N(U108)&gt;0,U108*Paramètres!$B$21,"")</f>
        <v/>
      </c>
      <c r="V109" s="269" t="str">
        <f>IF(N(V108)&gt;0,V108*Paramètres!$B$21,"")</f>
        <v/>
      </c>
      <c r="W109" s="269" t="str">
        <f>IF(N(W108)&gt;0,W108*Paramètres!$B$21,"")</f>
        <v/>
      </c>
      <c r="X109" s="269" t="str">
        <f>IF(N(X108)&gt;0,X108*Paramètres!$B$21,"")</f>
        <v/>
      </c>
      <c r="Y109" s="269" t="str">
        <f>IF(N(Y108)&gt;0,Y108*Paramètres!$B$21,"")</f>
        <v/>
      </c>
      <c r="Z109" s="269" t="str">
        <f>IF(N(Z108)&gt;0,Z108*Paramètres!$B$21,"")</f>
        <v/>
      </c>
      <c r="AA109" s="269" t="str">
        <f>IF(N(AA108)&gt;0,AA108*Paramètres!$B$21,"")</f>
        <v/>
      </c>
      <c r="AB109" s="269" t="str">
        <f>IF(N(AB108)&gt;0,AB108*Paramètres!$B$21,"")</f>
        <v/>
      </c>
      <c r="AC109" s="269" t="str">
        <f>IF(N(AC108)&gt;0,AC108*Paramètres!$B$21,"")</f>
        <v/>
      </c>
      <c r="AD109" s="269" t="str">
        <f>IF(N(AD108)&gt;0,AD108*Paramètres!$B$21,"")</f>
        <v/>
      </c>
      <c r="AE109" s="269" t="str">
        <f>IF(N(AE108)&gt;0,AE108*Paramètres!$B$21,"")</f>
        <v/>
      </c>
      <c r="AF109" s="269" t="str">
        <f>IF(N(AF108)&gt;0,AF108*Paramètres!$B$21,"")</f>
        <v/>
      </c>
      <c r="AG109" s="269" t="str">
        <f>IF(N(AG108)&gt;0,AG108*Paramètres!$B$21,"")</f>
        <v/>
      </c>
      <c r="AH109" s="269" t="str">
        <f>IF(N(AH108)&gt;0,AH108*Paramètres!$B$21,"")</f>
        <v/>
      </c>
      <c r="AI109" s="269" t="str">
        <f>IF(N(AI108)&gt;0,AI108*Paramètres!$B$21,"")</f>
        <v/>
      </c>
      <c r="AJ109" s="269" t="str">
        <f>IF(N(AJ108)&gt;0,AJ108*Paramètres!$B$21,"")</f>
        <v/>
      </c>
      <c r="AK109" s="269" t="str">
        <f>IF(N(AK108)&gt;0,AK108*Paramètres!$B$21,"")</f>
        <v/>
      </c>
      <c r="AL109" s="269" t="str">
        <f>IF(N(AL108)&gt;0,AL108*Paramètres!$B$21,"")</f>
        <v/>
      </c>
      <c r="AM109" s="269" t="str">
        <f>IF(N(AM108)&gt;0,AM108*Paramètres!$B$21,"")</f>
        <v/>
      </c>
      <c r="AN109" s="269" t="str">
        <f>IF(N(AN108)&gt;0,AN108*Paramètres!$B$21,"")</f>
        <v/>
      </c>
      <c r="AO109" s="269" t="str">
        <f>IF(N(AO108)&gt;0,AO108*Paramètres!$B$21,"")</f>
        <v/>
      </c>
      <c r="AP109" s="269" t="str">
        <f>IF(N(AP108)&gt;0,AP108*Paramètres!$B$21,"")</f>
        <v/>
      </c>
      <c r="AQ109" s="269" t="str">
        <f>IF(N(AQ108)&gt;0,AQ108*Paramètres!$B$21,"")</f>
        <v/>
      </c>
      <c r="AR109" s="268" t="str">
        <f>IF(N(AR108)&gt;0,AR108*Paramètres!$B$21,"")</f>
        <v/>
      </c>
    </row>
    <row r="110" spans="10:44" ht="16.2" thickBot="1">
      <c r="J110" s="262"/>
      <c r="K110" s="262"/>
      <c r="L110" s="267" t="s">
        <v>361</v>
      </c>
      <c r="M110" s="266" t="s">
        <v>319</v>
      </c>
      <c r="N110" s="265" t="str">
        <f t="shared" ref="N110:AR110" si="12">IF(N100=$K$16,$M$59,"")</f>
        <v/>
      </c>
      <c r="O110" s="264" t="str">
        <f t="shared" si="12"/>
        <v/>
      </c>
      <c r="P110" s="264" t="str">
        <f t="shared" si="12"/>
        <v/>
      </c>
      <c r="Q110" s="264" t="str">
        <f t="shared" si="12"/>
        <v/>
      </c>
      <c r="R110" s="264" t="str">
        <f t="shared" si="12"/>
        <v/>
      </c>
      <c r="S110" s="264" t="str">
        <f t="shared" si="12"/>
        <v/>
      </c>
      <c r="T110" s="264" t="str">
        <f t="shared" si="12"/>
        <v/>
      </c>
      <c r="U110" s="264" t="str">
        <f t="shared" si="12"/>
        <v/>
      </c>
      <c r="V110" s="264" t="str">
        <f t="shared" si="12"/>
        <v/>
      </c>
      <c r="W110" s="264" t="str">
        <f t="shared" si="12"/>
        <v/>
      </c>
      <c r="X110" s="264" t="str">
        <f t="shared" si="12"/>
        <v/>
      </c>
      <c r="Y110" s="264" t="str">
        <f t="shared" si="12"/>
        <v/>
      </c>
      <c r="Z110" s="264" t="str">
        <f t="shared" si="12"/>
        <v/>
      </c>
      <c r="AA110" s="264" t="str">
        <f t="shared" si="12"/>
        <v/>
      </c>
      <c r="AB110" s="264" t="str">
        <f t="shared" si="12"/>
        <v/>
      </c>
      <c r="AC110" s="264">
        <f t="shared" si="12"/>
        <v>0</v>
      </c>
      <c r="AD110" s="264" t="str">
        <f t="shared" si="12"/>
        <v/>
      </c>
      <c r="AE110" s="264" t="str">
        <f t="shared" si="12"/>
        <v/>
      </c>
      <c r="AF110" s="264" t="str">
        <f t="shared" si="12"/>
        <v/>
      </c>
      <c r="AG110" s="264" t="str">
        <f t="shared" si="12"/>
        <v/>
      </c>
      <c r="AH110" s="264" t="str">
        <f t="shared" si="12"/>
        <v/>
      </c>
      <c r="AI110" s="264" t="str">
        <f t="shared" si="12"/>
        <v/>
      </c>
      <c r="AJ110" s="264" t="str">
        <f t="shared" si="12"/>
        <v/>
      </c>
      <c r="AK110" s="264" t="str">
        <f t="shared" si="12"/>
        <v/>
      </c>
      <c r="AL110" s="264" t="str">
        <f t="shared" si="12"/>
        <v/>
      </c>
      <c r="AM110" s="264" t="str">
        <f t="shared" si="12"/>
        <v/>
      </c>
      <c r="AN110" s="264" t="str">
        <f t="shared" si="12"/>
        <v/>
      </c>
      <c r="AO110" s="264" t="str">
        <f t="shared" si="12"/>
        <v/>
      </c>
      <c r="AP110" s="264" t="str">
        <f t="shared" si="12"/>
        <v/>
      </c>
      <c r="AQ110" s="264" t="str">
        <f t="shared" si="12"/>
        <v/>
      </c>
      <c r="AR110" s="263" t="str">
        <f t="shared" si="12"/>
        <v/>
      </c>
    </row>
    <row r="111" spans="10:44" ht="16.2" thickBot="1">
      <c r="J111" s="262"/>
      <c r="K111" s="262"/>
      <c r="L111" s="841" t="s">
        <v>362</v>
      </c>
      <c r="M111" s="844"/>
      <c r="N111" s="260" t="str">
        <f>IF((SUM(N101:N103)-N109)=0,"",(SUM(N101:N103))-N109)</f>
        <v/>
      </c>
      <c r="O111" s="259" t="str">
        <f t="shared" ref="O111:AR111" si="13">IF(SUM(N(O104)+N(O105)-N(O109)+N(O110))=0,"",SUM(N(O104)+N(O105)-N(O109)+N(O110)))</f>
        <v/>
      </c>
      <c r="P111" s="259" t="str">
        <f t="shared" si="13"/>
        <v/>
      </c>
      <c r="Q111" s="259" t="str">
        <f t="shared" si="13"/>
        <v/>
      </c>
      <c r="R111" s="259" t="str">
        <f t="shared" si="13"/>
        <v/>
      </c>
      <c r="S111" s="259" t="str">
        <f t="shared" si="13"/>
        <v/>
      </c>
      <c r="T111" s="259" t="str">
        <f t="shared" si="13"/>
        <v/>
      </c>
      <c r="U111" s="259" t="str">
        <f t="shared" si="13"/>
        <v/>
      </c>
      <c r="V111" s="259" t="str">
        <f t="shared" si="13"/>
        <v/>
      </c>
      <c r="W111" s="259" t="str">
        <f t="shared" si="13"/>
        <v/>
      </c>
      <c r="X111" s="259" t="str">
        <f t="shared" si="13"/>
        <v/>
      </c>
      <c r="Y111" s="259" t="str">
        <f t="shared" si="13"/>
        <v/>
      </c>
      <c r="Z111" s="259" t="str">
        <f t="shared" si="13"/>
        <v/>
      </c>
      <c r="AA111" s="259" t="str">
        <f t="shared" si="13"/>
        <v/>
      </c>
      <c r="AB111" s="259" t="str">
        <f t="shared" si="13"/>
        <v/>
      </c>
      <c r="AC111" s="259" t="str">
        <f t="shared" si="13"/>
        <v/>
      </c>
      <c r="AD111" s="259" t="str">
        <f t="shared" si="13"/>
        <v/>
      </c>
      <c r="AE111" s="259" t="str">
        <f t="shared" si="13"/>
        <v/>
      </c>
      <c r="AF111" s="259" t="str">
        <f t="shared" si="13"/>
        <v/>
      </c>
      <c r="AG111" s="259" t="str">
        <f t="shared" si="13"/>
        <v/>
      </c>
      <c r="AH111" s="259" t="str">
        <f t="shared" si="13"/>
        <v/>
      </c>
      <c r="AI111" s="259" t="str">
        <f t="shared" si="13"/>
        <v/>
      </c>
      <c r="AJ111" s="259" t="str">
        <f t="shared" si="13"/>
        <v/>
      </c>
      <c r="AK111" s="259" t="str">
        <f t="shared" si="13"/>
        <v/>
      </c>
      <c r="AL111" s="259" t="str">
        <f t="shared" si="13"/>
        <v/>
      </c>
      <c r="AM111" s="259" t="str">
        <f t="shared" si="13"/>
        <v/>
      </c>
      <c r="AN111" s="259" t="str">
        <f t="shared" si="13"/>
        <v/>
      </c>
      <c r="AO111" s="259" t="str">
        <f t="shared" si="13"/>
        <v/>
      </c>
      <c r="AP111" s="259" t="str">
        <f t="shared" si="13"/>
        <v/>
      </c>
      <c r="AQ111" s="259" t="str">
        <f t="shared" si="13"/>
        <v/>
      </c>
      <c r="AR111" s="258" t="str">
        <f t="shared" si="13"/>
        <v/>
      </c>
    </row>
    <row r="112" spans="10:44" ht="13.8" thickBot="1">
      <c r="J112" s="250"/>
      <c r="K112" s="250"/>
      <c r="L112" s="841" t="s">
        <v>363</v>
      </c>
      <c r="M112" s="844"/>
      <c r="N112" s="260" t="str">
        <f>IF(N111="","",((N111)/(1+Paramètres!$B$19)^N100))</f>
        <v/>
      </c>
      <c r="O112" s="259" t="str">
        <f>IF(O111="","",((O111)/(1+Paramètres!$B$19)^O100))</f>
        <v/>
      </c>
      <c r="P112" s="259" t="str">
        <f>IF(P111="","",((P111)/(1+Paramètres!$B$19)^P100))</f>
        <v/>
      </c>
      <c r="Q112" s="259" t="str">
        <f>IF(Q111="","",((Q111)/(1+Paramètres!$B$19)^Q100))</f>
        <v/>
      </c>
      <c r="R112" s="259" t="str">
        <f>IF(R111="","",((R111)/(1+Paramètres!$B$19)^R100))</f>
        <v/>
      </c>
      <c r="S112" s="259" t="str">
        <f>IF(S111="","",((S111)/(1+Paramètres!$B$19)^S100))</f>
        <v/>
      </c>
      <c r="T112" s="259" t="str">
        <f>IF(T111="","",((T111)/(1+Paramètres!$B$19)^T100))</f>
        <v/>
      </c>
      <c r="U112" s="259" t="str">
        <f>IF(U111="","",((U111)/(1+Paramètres!$B$19)^U100))</f>
        <v/>
      </c>
      <c r="V112" s="259" t="str">
        <f>IF(V111="","",((V111)/(1+Paramètres!$B$19)^V100))</f>
        <v/>
      </c>
      <c r="W112" s="259" t="str">
        <f>IF(W111="","",((W111)/(1+Paramètres!$B$19)^W100))</f>
        <v/>
      </c>
      <c r="X112" s="259" t="str">
        <f>IF(X111="","",((X111)/(1+Paramètres!$B$19)^X100))</f>
        <v/>
      </c>
      <c r="Y112" s="259" t="str">
        <f>IF(Y111="","",((Y111)/(1+Paramètres!$B$19)^Y100))</f>
        <v/>
      </c>
      <c r="Z112" s="259" t="str">
        <f>IF(Z111="","",((Z111)/(1+Paramètres!$B$19)^Z100))</f>
        <v/>
      </c>
      <c r="AA112" s="259" t="str">
        <f>IF(AA111="","",((AA111)/(1+Paramètres!$B$19)^AA100))</f>
        <v/>
      </c>
      <c r="AB112" s="259" t="str">
        <f>IF(AB111="","",((AB111)/(1+Paramètres!$B$19)^AB100))</f>
        <v/>
      </c>
      <c r="AC112" s="259" t="str">
        <f>IF(AC111="","",((AC111)/(1+Paramètres!$B$19)^AC100))</f>
        <v/>
      </c>
      <c r="AD112" s="259" t="str">
        <f>IF(AD111="","",((AD111)/(1+Paramètres!$B$19)^AD100))</f>
        <v/>
      </c>
      <c r="AE112" s="259" t="str">
        <f>IF(AE111="","",((AE111)/(1+Paramètres!$B$19)^AE100))</f>
        <v/>
      </c>
      <c r="AF112" s="259" t="str">
        <f>IF(AF111="","",((AF111)/(1+Paramètres!$B$19)^AF100))</f>
        <v/>
      </c>
      <c r="AG112" s="259" t="str">
        <f>IF(AG111="","",((AG111)/(1+Paramètres!$B$19)^AG100))</f>
        <v/>
      </c>
      <c r="AH112" s="259" t="str">
        <f>IF(AH111="","",((AH111)/(1+Paramètres!$B$19)^AH100))</f>
        <v/>
      </c>
      <c r="AI112" s="259" t="str">
        <f>IF(AI111="","",((AI111)/(1+Paramètres!$B$19)^AI100))</f>
        <v/>
      </c>
      <c r="AJ112" s="259" t="str">
        <f>IF(AJ111="","",((AJ111)/(1+Paramètres!$B$19)^AJ100))</f>
        <v/>
      </c>
      <c r="AK112" s="259" t="str">
        <f>IF(AK111="","",((AK111)/(1+Paramètres!$B$19)^AK100))</f>
        <v/>
      </c>
      <c r="AL112" s="259" t="str">
        <f>IF(AL111="","",((AL111)/(1+Paramètres!$B$19)^AL100))</f>
        <v/>
      </c>
      <c r="AM112" s="259" t="str">
        <f>IF(AM111="","",((AM111)/(1+Paramètres!$B$19)^AM100))</f>
        <v/>
      </c>
      <c r="AN112" s="259" t="str">
        <f>IF(AN111="","",((AN111)/(1+Paramètres!$B$19)^AN100))</f>
        <v/>
      </c>
      <c r="AO112" s="259" t="str">
        <f>IF(AO111="","",((AO111)/(1+Paramètres!$B$19)^AO100))</f>
        <v/>
      </c>
      <c r="AP112" s="259" t="str">
        <f>IF(AP111="","",((AP111)/(1+Paramètres!$B$19)^AP100))</f>
        <v/>
      </c>
      <c r="AQ112" s="259" t="str">
        <f>IF(AQ111="","",((AQ111)/(1+Paramètres!$B$19)^AQ100))</f>
        <v/>
      </c>
      <c r="AR112" s="258" t="str">
        <f>IF(AR111="","",((AR111)/(1+Paramètres!$B$19)^AR100))</f>
        <v/>
      </c>
    </row>
    <row r="113" spans="10:44" ht="13.8" thickBot="1">
      <c r="J113" s="250"/>
      <c r="K113" s="250"/>
      <c r="L113" s="841" t="s">
        <v>364</v>
      </c>
      <c r="M113" s="844"/>
      <c r="N113" s="257" t="str">
        <f>N112</f>
        <v/>
      </c>
      <c r="O113" s="256" t="str">
        <f t="shared" ref="O113:AR113" si="14">IF(O112="","",((N113+O90)))</f>
        <v/>
      </c>
      <c r="P113" s="256" t="str">
        <f t="shared" si="14"/>
        <v/>
      </c>
      <c r="Q113" s="256" t="str">
        <f t="shared" si="14"/>
        <v/>
      </c>
      <c r="R113" s="256" t="str">
        <f t="shared" si="14"/>
        <v/>
      </c>
      <c r="S113" s="256" t="str">
        <f t="shared" si="14"/>
        <v/>
      </c>
      <c r="T113" s="256" t="str">
        <f t="shared" si="14"/>
        <v/>
      </c>
      <c r="U113" s="256" t="str">
        <f t="shared" si="14"/>
        <v/>
      </c>
      <c r="V113" s="256" t="str">
        <f t="shared" si="14"/>
        <v/>
      </c>
      <c r="W113" s="256" t="str">
        <f t="shared" si="14"/>
        <v/>
      </c>
      <c r="X113" s="256" t="str">
        <f t="shared" si="14"/>
        <v/>
      </c>
      <c r="Y113" s="256" t="str">
        <f t="shared" si="14"/>
        <v/>
      </c>
      <c r="Z113" s="256" t="str">
        <f t="shared" si="14"/>
        <v/>
      </c>
      <c r="AA113" s="256" t="str">
        <f t="shared" si="14"/>
        <v/>
      </c>
      <c r="AB113" s="256" t="str">
        <f t="shared" si="14"/>
        <v/>
      </c>
      <c r="AC113" s="256" t="str">
        <f t="shared" si="14"/>
        <v/>
      </c>
      <c r="AD113" s="256" t="str">
        <f t="shared" si="14"/>
        <v/>
      </c>
      <c r="AE113" s="256" t="str">
        <f t="shared" si="14"/>
        <v/>
      </c>
      <c r="AF113" s="256" t="str">
        <f t="shared" si="14"/>
        <v/>
      </c>
      <c r="AG113" s="256" t="str">
        <f t="shared" si="14"/>
        <v/>
      </c>
      <c r="AH113" s="256" t="str">
        <f t="shared" si="14"/>
        <v/>
      </c>
      <c r="AI113" s="256" t="str">
        <f t="shared" si="14"/>
        <v/>
      </c>
      <c r="AJ113" s="256" t="str">
        <f t="shared" si="14"/>
        <v/>
      </c>
      <c r="AK113" s="256" t="str">
        <f t="shared" si="14"/>
        <v/>
      </c>
      <c r="AL113" s="256" t="str">
        <f t="shared" si="14"/>
        <v/>
      </c>
      <c r="AM113" s="256" t="str">
        <f t="shared" si="14"/>
        <v/>
      </c>
      <c r="AN113" s="256" t="str">
        <f t="shared" si="14"/>
        <v/>
      </c>
      <c r="AO113" s="256" t="str">
        <f t="shared" si="14"/>
        <v/>
      </c>
      <c r="AP113" s="256" t="str">
        <f t="shared" si="14"/>
        <v/>
      </c>
      <c r="AQ113" s="256" t="str">
        <f t="shared" si="14"/>
        <v/>
      </c>
      <c r="AR113" s="255" t="str">
        <f t="shared" si="14"/>
        <v/>
      </c>
    </row>
    <row r="114" spans="10:44" ht="13.8" thickBot="1"/>
    <row r="115" spans="10:44">
      <c r="L115" s="254" t="s">
        <v>225</v>
      </c>
      <c r="M115" s="253" t="str">
        <f>IFERROR(IRR(N111:AR111), "PROJET NON RENTABLE")</f>
        <v>PROJET NON RENTABLE</v>
      </c>
    </row>
    <row r="116" spans="10:44" ht="13.8" thickBot="1">
      <c r="L116" s="252" t="s">
        <v>224</v>
      </c>
      <c r="M116" s="412" cm="1">
        <f t="array" ref="M116">IFERROR(INDEX(N100:AR100,MATCH(TRUE,N113:AR113&gt;0,0)),"PROJET NON RENTABLE")</f>
        <v>0</v>
      </c>
    </row>
  </sheetData>
  <mergeCells count="63">
    <mergeCell ref="L103:L104"/>
    <mergeCell ref="L106:L109"/>
    <mergeCell ref="L111:M111"/>
    <mergeCell ref="L112:M112"/>
    <mergeCell ref="L113:M113"/>
    <mergeCell ref="L101:L102"/>
    <mergeCell ref="N79:AR79"/>
    <mergeCell ref="B80:H80"/>
    <mergeCell ref="E81:F81"/>
    <mergeCell ref="L81:L82"/>
    <mergeCell ref="L83:L85"/>
    <mergeCell ref="B87:F87"/>
    <mergeCell ref="L89:M89"/>
    <mergeCell ref="L90:M90"/>
    <mergeCell ref="L91:M91"/>
    <mergeCell ref="J97:AR97"/>
    <mergeCell ref="N99:AR99"/>
    <mergeCell ref="K67:K72"/>
    <mergeCell ref="B70:H70"/>
    <mergeCell ref="E71:F71"/>
    <mergeCell ref="B77:F77"/>
    <mergeCell ref="J77:AR77"/>
    <mergeCell ref="B58:E58"/>
    <mergeCell ref="B59:F59"/>
    <mergeCell ref="B60:F60"/>
    <mergeCell ref="B61:F61"/>
    <mergeCell ref="J61:J72"/>
    <mergeCell ref="B67:F67"/>
    <mergeCell ref="K62:K63"/>
    <mergeCell ref="B64:F64"/>
    <mergeCell ref="K64:K65"/>
    <mergeCell ref="B65:F65"/>
    <mergeCell ref="B66:F66"/>
    <mergeCell ref="N48:O48"/>
    <mergeCell ref="J51:Q51"/>
    <mergeCell ref="J54:N54"/>
    <mergeCell ref="J55:J59"/>
    <mergeCell ref="K55:K56"/>
    <mergeCell ref="K57:K58"/>
    <mergeCell ref="N47:O47"/>
    <mergeCell ref="B21:H21"/>
    <mergeCell ref="J26:Q26"/>
    <mergeCell ref="C31:F31"/>
    <mergeCell ref="N31:O31"/>
    <mergeCell ref="C33:F33"/>
    <mergeCell ref="N33:O33"/>
    <mergeCell ref="C35:F35"/>
    <mergeCell ref="N35:O35"/>
    <mergeCell ref="O37:O45"/>
    <mergeCell ref="B42:H42"/>
    <mergeCell ref="B46:H46"/>
    <mergeCell ref="B17:H17"/>
    <mergeCell ref="B1:H1"/>
    <mergeCell ref="B2:H2"/>
    <mergeCell ref="J2:AR2"/>
    <mergeCell ref="B3:H3"/>
    <mergeCell ref="F5:G5"/>
    <mergeCell ref="L6:M6"/>
    <mergeCell ref="L7:M7"/>
    <mergeCell ref="J8:K8"/>
    <mergeCell ref="M8:N8"/>
    <mergeCell ref="B9:H9"/>
    <mergeCell ref="B13:C13"/>
  </mergeCells>
  <dataValidations disablePrompts="1" count="5">
    <dataValidation type="list" showInputMessage="1" showErrorMessage="1" sqref="K15" xr:uid="{829479F8-E602-4910-8528-F93A117630BE}">
      <formula1>"Tertiaire Public,Tertiaire Privé,Industrie"</formula1>
    </dataValidation>
    <dataValidation type="list" showInputMessage="1" showErrorMessage="1" sqref="K10:K14" xr:uid="{0B10F3F1-C511-4502-8BDE-F38D75D73238}">
      <formula1>Poste</formula1>
    </dataValidation>
    <dataValidation type="list" allowBlank="1" showInputMessage="1" showErrorMessage="1" sqref="K24" xr:uid="{D7F23A96-D747-4462-9CBD-520B5EF756DA}">
      <formula1>"Oui,Non"</formula1>
    </dataValidation>
    <dataValidation type="list" allowBlank="1" showInputMessage="1" showErrorMessage="1" sqref="K22:K23" xr:uid="{C58DE361-6726-4464-A703-0B7EFCB28779}">
      <formula1>"OUI,NON"</formula1>
    </dataValidation>
    <dataValidation type="list" allowBlank="1" showInputMessage="1" showErrorMessage="1" sqref="C37" xr:uid="{6EDF3E3D-2C33-4377-B2B8-C324BF94B939}">
      <formula1>"2030,2040,2050"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1200" r:id="rId1"/>
  <headerFooter alignWithMargins="0">
    <oddHeader>&amp;C&amp;"Arial,Gras"&amp;14ECONOTEC / 3J-CONSULT</oddHeader>
    <oddFooter>&amp;L&amp;F&amp;R&amp;A</oddFooter>
  </headerFooter>
  <rowBreaks count="1" manualBreakCount="1">
    <brk id="67" max="16383" man="1"/>
  </rowBreaks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96E4C0EF-E649-43A2-ABED-D7FB621B65A0}">
          <x14:formula1>
            <xm:f>Paramètres!$C$57:$C$60</xm:f>
          </x14:formula1>
          <xm:sqref>F27</xm:sqref>
        </x14:dataValidation>
        <x14:dataValidation type="list" allowBlank="1" showInputMessage="1" showErrorMessage="1" xr:uid="{D3F33164-F1D8-4D88-9C20-FBF4F0A5B598}">
          <x14:formula1>
            <xm:f>Paramètres!$A$57:$A$83</xm:f>
          </x14:formula1>
          <xm:sqref>B13:B14</xm:sqref>
        </x14:dataValidation>
        <x14:dataValidation type="list" allowBlank="1" showInputMessage="1" showErrorMessage="1" xr:uid="{33DBC454-0022-480D-ACE4-FE78EA802915}">
          <x14:formula1>
            <xm:f>Paramètres!$B$57:$B$82</xm:f>
          </x14:formula1>
          <xm:sqref>C33:F33 C31:F31 C35:F35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7257D-BF03-4A73-8B88-70E145F42AB5}">
  <dimension ref="B1:AR116"/>
  <sheetViews>
    <sheetView zoomScale="90" zoomScaleNormal="90" workbookViewId="0">
      <selection activeCell="F27" sqref="F27"/>
    </sheetView>
  </sheetViews>
  <sheetFormatPr baseColWidth="10" defaultColWidth="11.44140625" defaultRowHeight="13.2"/>
  <cols>
    <col min="1" max="1" width="1.88671875" customWidth="1"/>
    <col min="2" max="2" width="16.88671875" customWidth="1"/>
    <col min="6" max="6" width="14" bestFit="1" customWidth="1"/>
    <col min="7" max="7" width="11.88671875" customWidth="1"/>
    <col min="8" max="8" width="12.6640625" bestFit="1" customWidth="1"/>
    <col min="10" max="10" width="49" bestFit="1" customWidth="1"/>
    <col min="11" max="11" width="31.109375" bestFit="1" customWidth="1"/>
    <col min="12" max="12" width="41.44140625" bestFit="1" customWidth="1"/>
    <col min="13" max="13" width="35.5546875" bestFit="1" customWidth="1"/>
    <col min="14" max="14" width="10.109375" bestFit="1" customWidth="1"/>
    <col min="15" max="15" width="9.6640625" bestFit="1" customWidth="1"/>
    <col min="16" max="18" width="5" bestFit="1" customWidth="1"/>
    <col min="19" max="29" width="5.33203125" bestFit="1" customWidth="1"/>
    <col min="30" max="44" width="2.88671875" bestFit="1" customWidth="1"/>
  </cols>
  <sheetData>
    <row r="1" spans="2:44" ht="21">
      <c r="B1" s="772" t="str">
        <f>Entête!C15</f>
        <v>NOM DE L'ENTITE</v>
      </c>
      <c r="C1" s="773"/>
      <c r="D1" s="773"/>
      <c r="E1" s="773"/>
      <c r="F1" s="773"/>
      <c r="G1" s="773"/>
      <c r="H1" s="774"/>
      <c r="J1" s="250"/>
      <c r="K1" s="250"/>
      <c r="L1" s="250"/>
      <c r="M1" s="251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</row>
    <row r="2" spans="2:44" ht="21">
      <c r="B2" s="775"/>
      <c r="C2" s="776"/>
      <c r="D2" s="776"/>
      <c r="E2" s="776"/>
      <c r="F2" s="776"/>
      <c r="G2" s="776"/>
      <c r="H2" s="777"/>
      <c r="J2" s="778" t="s">
        <v>260</v>
      </c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79"/>
      <c r="AP2" s="779"/>
      <c r="AQ2" s="779"/>
      <c r="AR2" s="779"/>
    </row>
    <row r="3" spans="2:44" ht="16.2" thickBot="1">
      <c r="B3" s="780" t="s">
        <v>261</v>
      </c>
      <c r="C3" s="781"/>
      <c r="D3" s="781"/>
      <c r="E3" s="781"/>
      <c r="F3" s="781"/>
      <c r="G3" s="781"/>
      <c r="H3" s="782"/>
      <c r="J3" s="375"/>
      <c r="K3" s="375"/>
      <c r="L3" s="375"/>
      <c r="M3" s="416"/>
      <c r="N3" s="375"/>
      <c r="O3" s="375"/>
      <c r="P3" s="375"/>
      <c r="Q3" s="375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</row>
    <row r="4" spans="2:44">
      <c r="J4" s="375"/>
      <c r="K4" s="375"/>
      <c r="L4" s="375"/>
      <c r="M4" s="375"/>
      <c r="N4" s="375"/>
      <c r="O4" s="375"/>
      <c r="P4" s="375"/>
      <c r="Q4" s="375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</row>
    <row r="5" spans="2:44" ht="16.2" thickBot="1">
      <c r="B5" s="198" t="s">
        <v>262</v>
      </c>
      <c r="F5" s="783" t="s">
        <v>371</v>
      </c>
      <c r="G5" s="784"/>
      <c r="J5" s="375"/>
      <c r="K5" s="375"/>
      <c r="L5" s="375"/>
      <c r="M5" s="417"/>
      <c r="N5" s="375"/>
      <c r="O5" s="375"/>
      <c r="P5" s="375"/>
      <c r="Q5" s="375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</row>
    <row r="6" spans="2:44" ht="16.2" thickBot="1">
      <c r="B6" s="198"/>
      <c r="F6" s="199"/>
      <c r="G6" s="199"/>
      <c r="J6" s="376" t="s">
        <v>264</v>
      </c>
      <c r="K6" s="389"/>
      <c r="L6" s="785"/>
      <c r="M6" s="785"/>
      <c r="N6" s="387"/>
      <c r="O6" s="387"/>
      <c r="P6" s="387"/>
      <c r="Q6" s="387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4"/>
      <c r="AE6" s="414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</row>
    <row r="7" spans="2:44" ht="16.2" thickBot="1">
      <c r="B7" s="198" t="s">
        <v>265</v>
      </c>
      <c r="J7" s="388"/>
      <c r="K7" s="387"/>
      <c r="L7" s="785"/>
      <c r="M7" s="785"/>
      <c r="N7" s="387"/>
      <c r="O7" s="387"/>
      <c r="P7" s="387"/>
      <c r="Q7" s="387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4"/>
      <c r="AE7" s="414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</row>
    <row r="8" spans="2:44" ht="16.2" thickBot="1">
      <c r="J8" s="786" t="s">
        <v>266</v>
      </c>
      <c r="K8" s="787"/>
      <c r="L8" s="374"/>
      <c r="M8" s="786" t="s">
        <v>267</v>
      </c>
      <c r="N8" s="787"/>
      <c r="O8" s="374"/>
      <c r="P8" s="374"/>
      <c r="Q8" s="374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</row>
    <row r="9" spans="2:44" ht="16.2" thickBot="1">
      <c r="B9" s="788" t="s">
        <v>372</v>
      </c>
      <c r="C9" s="789"/>
      <c r="D9" s="789"/>
      <c r="E9" s="789"/>
      <c r="F9" s="789"/>
      <c r="G9" s="789"/>
      <c r="H9" s="790"/>
      <c r="J9" s="262"/>
      <c r="K9" s="262"/>
      <c r="L9" s="262"/>
      <c r="M9" s="262"/>
      <c r="N9" s="262"/>
      <c r="O9" s="262"/>
      <c r="P9" s="262"/>
      <c r="Q9" s="262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</row>
    <row r="10" spans="2:44" ht="16.2" thickBot="1">
      <c r="J10" s="378" t="s">
        <v>268</v>
      </c>
      <c r="K10" s="376" t="s">
        <v>55</v>
      </c>
      <c r="L10" s="262"/>
      <c r="M10" s="386" t="s">
        <v>269</v>
      </c>
      <c r="N10" s="385" t="str">
        <f>M93</f>
        <v>PROJET NON RENTABLE</v>
      </c>
      <c r="O10" s="262"/>
      <c r="P10" s="262"/>
      <c r="Q10" s="262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</row>
    <row r="11" spans="2:44" ht="15.6">
      <c r="B11" s="198" t="s">
        <v>191</v>
      </c>
      <c r="J11" s="262"/>
      <c r="K11" s="621"/>
      <c r="L11" s="262"/>
      <c r="M11" s="622"/>
      <c r="N11" s="623"/>
      <c r="O11" s="262"/>
      <c r="P11" s="262"/>
      <c r="Q11" s="262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</row>
    <row r="12" spans="2:44" ht="15.6">
      <c r="B12" s="635" t="s">
        <v>270</v>
      </c>
      <c r="J12" s="262"/>
      <c r="K12" s="621"/>
      <c r="L12" s="262"/>
      <c r="M12" s="622"/>
      <c r="N12" s="623"/>
      <c r="O12" s="262"/>
      <c r="P12" s="262"/>
      <c r="Q12" s="262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2:44" ht="24" customHeight="1">
      <c r="B13" s="810" t="s">
        <v>111</v>
      </c>
      <c r="C13" s="812"/>
      <c r="J13" s="262"/>
      <c r="K13" s="621"/>
      <c r="L13" s="262"/>
      <c r="M13" s="622"/>
      <c r="N13" s="623"/>
      <c r="O13" s="262"/>
      <c r="P13" s="262"/>
      <c r="Q13" s="262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</row>
    <row r="14" spans="2:44" ht="15.6">
      <c r="B14" s="199"/>
      <c r="J14" s="262"/>
      <c r="K14" s="621"/>
      <c r="L14" s="262"/>
      <c r="M14" s="622"/>
      <c r="N14" s="623"/>
      <c r="O14" s="262"/>
      <c r="P14" s="262"/>
      <c r="Q14" s="262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</row>
    <row r="15" spans="2:44" ht="16.2" thickBot="1">
      <c r="B15" s="198" t="s">
        <v>271</v>
      </c>
      <c r="J15" s="262"/>
      <c r="K15" s="262"/>
      <c r="L15" s="262"/>
      <c r="M15" s="384" t="s">
        <v>272</v>
      </c>
      <c r="N15" s="383">
        <f>M94</f>
        <v>0</v>
      </c>
      <c r="O15" s="262"/>
      <c r="P15" s="262"/>
      <c r="Q15" s="262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</row>
    <row r="16" spans="2:44" ht="16.2" thickBot="1">
      <c r="J16" s="378" t="s">
        <v>51</v>
      </c>
      <c r="K16" s="381">
        <f>VLOOKUP(K10,Paramètres!A27:C29,3)</f>
        <v>15</v>
      </c>
      <c r="L16" s="375"/>
      <c r="M16" s="310"/>
      <c r="N16" s="310"/>
      <c r="O16" s="262"/>
      <c r="P16" s="262"/>
      <c r="Q16" s="262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</row>
    <row r="17" spans="2:44" ht="29.25" customHeight="1" thickBot="1">
      <c r="B17" s="769"/>
      <c r="C17" s="770"/>
      <c r="D17" s="770"/>
      <c r="E17" s="770"/>
      <c r="F17" s="770"/>
      <c r="G17" s="770"/>
      <c r="H17" s="771"/>
      <c r="J17" s="262"/>
      <c r="K17" s="262"/>
      <c r="L17" s="375"/>
      <c r="M17" s="300" t="s">
        <v>273</v>
      </c>
      <c r="N17" s="382" t="str">
        <f>M115</f>
        <v>PROJET NON RENTABLE</v>
      </c>
      <c r="O17" s="262"/>
      <c r="P17" s="262"/>
      <c r="Q17" s="262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</row>
    <row r="18" spans="2:44" ht="16.2" thickBot="1">
      <c r="J18" s="378" t="s">
        <v>274</v>
      </c>
      <c r="K18" s="381">
        <f>VLOOKUP(K10,Paramètres!A27:D29,4)</f>
        <v>8</v>
      </c>
      <c r="L18" s="262"/>
      <c r="M18" s="311" t="s">
        <v>275</v>
      </c>
      <c r="N18" s="380">
        <f>M116</f>
        <v>0</v>
      </c>
      <c r="O18" s="262"/>
      <c r="P18" s="262"/>
      <c r="Q18" s="262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</row>
    <row r="19" spans="2:44" ht="16.2" thickBot="1">
      <c r="B19" s="198" t="s">
        <v>276</v>
      </c>
      <c r="J19" s="262"/>
      <c r="K19" s="262"/>
      <c r="L19" s="262"/>
      <c r="M19" s="375"/>
      <c r="N19" s="375"/>
      <c r="O19" s="262"/>
      <c r="P19" s="262"/>
      <c r="Q19" s="262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</row>
    <row r="20" spans="2:44" ht="16.2" thickBot="1">
      <c r="J20" s="377" t="s">
        <v>277</v>
      </c>
      <c r="K20" s="379">
        <v>10</v>
      </c>
      <c r="L20" s="262"/>
      <c r="M20" s="262"/>
      <c r="N20" s="418"/>
      <c r="O20" s="262"/>
      <c r="P20" s="262"/>
      <c r="Q20" s="262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</row>
    <row r="21" spans="2:44" ht="16.2" thickBot="1">
      <c r="B21" s="769"/>
      <c r="C21" s="770"/>
      <c r="D21" s="770"/>
      <c r="E21" s="770"/>
      <c r="F21" s="770"/>
      <c r="G21" s="770"/>
      <c r="H21" s="771"/>
      <c r="J21" s="374"/>
      <c r="K21" s="262"/>
      <c r="L21" s="262"/>
      <c r="M21" s="262"/>
      <c r="N21" s="418"/>
      <c r="O21" s="262"/>
      <c r="P21" s="262"/>
      <c r="Q21" s="262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</row>
    <row r="22" spans="2:44" ht="16.2" thickBot="1">
      <c r="J22" s="378" t="s">
        <v>278</v>
      </c>
      <c r="K22" s="376" t="s">
        <v>279</v>
      </c>
      <c r="L22" s="262"/>
      <c r="M22" s="262"/>
      <c r="N22" s="262"/>
      <c r="O22" s="262"/>
      <c r="P22" s="262"/>
      <c r="Q22" s="262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</row>
    <row r="23" spans="2:44" ht="16.2" thickBot="1">
      <c r="B23" s="198" t="s">
        <v>280</v>
      </c>
      <c r="F23" s="421">
        <f>C50*Paramètres!C13+C51*Paramètres!D13</f>
        <v>0</v>
      </c>
      <c r="G23" s="145"/>
      <c r="J23" s="377" t="s">
        <v>281</v>
      </c>
      <c r="K23" s="376" t="s">
        <v>282</v>
      </c>
      <c r="L23" s="262"/>
      <c r="M23" s="262"/>
      <c r="N23" s="262"/>
      <c r="O23" s="262"/>
      <c r="P23" s="262"/>
      <c r="Q23" s="262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</row>
    <row r="24" spans="2:44" ht="15.6">
      <c r="J24" s="262"/>
      <c r="K24" s="262"/>
      <c r="L24" s="262"/>
      <c r="M24" s="262"/>
      <c r="N24" s="262"/>
      <c r="O24" s="262"/>
      <c r="P24" s="262"/>
      <c r="Q24" s="262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</row>
    <row r="25" spans="2:44" ht="16.2" thickBot="1">
      <c r="B25" s="198" t="s">
        <v>283</v>
      </c>
      <c r="F25" s="421">
        <f>+G61*1000</f>
        <v>0</v>
      </c>
      <c r="J25" s="374"/>
      <c r="K25" s="262"/>
      <c r="L25" s="262"/>
      <c r="M25" s="262"/>
      <c r="N25" s="262"/>
      <c r="O25" s="262"/>
      <c r="P25" s="302"/>
      <c r="Q25" s="302"/>
      <c r="R25" s="302"/>
      <c r="S25" s="302"/>
      <c r="T25" s="302"/>
      <c r="U25" s="302"/>
      <c r="V25" s="302"/>
      <c r="W25" s="302"/>
      <c r="X25" s="302"/>
      <c r="Y25" s="321"/>
      <c r="Z25" s="321"/>
      <c r="AA25" s="321"/>
      <c r="AB25" s="321"/>
      <c r="AC25" s="321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</row>
    <row r="26" spans="2:44" ht="16.2" thickBot="1">
      <c r="J26" s="786" t="s">
        <v>284</v>
      </c>
      <c r="K26" s="793"/>
      <c r="L26" s="793"/>
      <c r="M26" s="793"/>
      <c r="N26" s="793"/>
      <c r="O26" s="793"/>
      <c r="P26" s="793"/>
      <c r="Q26" s="787"/>
      <c r="R26" s="302"/>
      <c r="S26" s="302"/>
      <c r="T26" s="302"/>
      <c r="U26" s="302"/>
      <c r="V26" s="302"/>
      <c r="W26" s="302"/>
      <c r="X26" s="302"/>
      <c r="Y26" s="321"/>
      <c r="Z26" s="321"/>
      <c r="AA26" s="321"/>
      <c r="AB26" s="321"/>
      <c r="AC26" s="321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</row>
    <row r="27" spans="2:44" ht="15.6">
      <c r="B27" s="198" t="s">
        <v>78</v>
      </c>
      <c r="F27" s="628" t="s">
        <v>88</v>
      </c>
      <c r="G27" s="420"/>
      <c r="J27" s="374"/>
      <c r="K27" s="262"/>
      <c r="L27" s="262"/>
      <c r="M27" s="262"/>
      <c r="N27" s="262"/>
      <c r="O27" s="262"/>
      <c r="P27" s="302"/>
      <c r="Q27" s="302"/>
      <c r="R27" s="302"/>
      <c r="S27" s="302"/>
      <c r="T27" s="302"/>
      <c r="U27" s="302"/>
      <c r="V27" s="302"/>
      <c r="W27" s="302"/>
      <c r="X27" s="302"/>
      <c r="Y27" s="321"/>
      <c r="Z27" s="321"/>
      <c r="AA27" s="321"/>
      <c r="AB27" s="321"/>
      <c r="AC27" s="321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</row>
    <row r="28" spans="2:44" ht="15.6">
      <c r="B28" s="198"/>
      <c r="F28" s="199"/>
      <c r="G28" s="420"/>
      <c r="J28" s="374"/>
      <c r="K28" s="262"/>
      <c r="L28" s="262"/>
      <c r="M28" s="262"/>
      <c r="N28" s="262"/>
      <c r="O28" s="262"/>
      <c r="P28" s="302"/>
      <c r="Q28" s="302"/>
      <c r="R28" s="302"/>
      <c r="S28" s="302"/>
      <c r="T28" s="302"/>
      <c r="U28" s="302"/>
      <c r="V28" s="302"/>
      <c r="W28" s="302"/>
      <c r="X28" s="302"/>
      <c r="Y28" s="321"/>
      <c r="Z28" s="321"/>
      <c r="AA28" s="321"/>
      <c r="AB28" s="321"/>
      <c r="AC28" s="321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</row>
    <row r="29" spans="2:44" ht="15.6">
      <c r="C29" s="198" t="s">
        <v>285</v>
      </c>
      <c r="F29" s="199"/>
      <c r="G29" s="420"/>
      <c r="J29" s="374"/>
      <c r="K29" s="262"/>
      <c r="L29" s="262"/>
      <c r="M29" s="262"/>
      <c r="N29" s="262"/>
      <c r="O29" s="262"/>
      <c r="P29" s="302"/>
      <c r="Q29" s="302"/>
      <c r="R29" s="302"/>
      <c r="S29" s="302"/>
      <c r="T29" s="302"/>
      <c r="U29" s="302"/>
      <c r="V29" s="302"/>
      <c r="W29" s="302"/>
      <c r="X29" s="302"/>
      <c r="Y29" s="321"/>
      <c r="Z29" s="321"/>
      <c r="AA29" s="321"/>
      <c r="AB29" s="321"/>
      <c r="AC29" s="321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</row>
    <row r="30" spans="2:44" ht="16.2" thickBot="1">
      <c r="B30" s="198"/>
      <c r="C30" s="635" t="s">
        <v>270</v>
      </c>
      <c r="F30" s="199"/>
      <c r="G30" s="420"/>
      <c r="J30" s="374"/>
      <c r="K30" s="262"/>
      <c r="L30" s="262"/>
      <c r="M30" s="262"/>
      <c r="N30" s="262"/>
      <c r="O30" s="262"/>
      <c r="P30" s="302"/>
      <c r="Q30" s="302"/>
      <c r="R30" s="302"/>
      <c r="S30" s="302"/>
      <c r="T30" s="302"/>
      <c r="U30" s="302"/>
      <c r="V30" s="302"/>
      <c r="W30" s="302"/>
      <c r="X30" s="302"/>
      <c r="Y30" s="321"/>
      <c r="Z30" s="321"/>
      <c r="AA30" s="321"/>
      <c r="AB30" s="321"/>
      <c r="AC30" s="321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</row>
    <row r="31" spans="2:44" ht="12.9" customHeight="1">
      <c r="B31" t="s">
        <v>286</v>
      </c>
      <c r="C31" s="794" t="s">
        <v>97</v>
      </c>
      <c r="D31" s="795"/>
      <c r="E31" s="795"/>
      <c r="F31" s="796"/>
      <c r="G31" s="420"/>
      <c r="J31" s="373"/>
      <c r="K31" s="302"/>
      <c r="L31" s="302"/>
      <c r="M31" s="319"/>
      <c r="N31" s="797" t="s">
        <v>287</v>
      </c>
      <c r="O31" s="798"/>
      <c r="P31" s="302"/>
      <c r="Q31" s="302"/>
      <c r="R31" s="302"/>
      <c r="S31" s="302"/>
      <c r="T31" s="302"/>
      <c r="U31" s="302"/>
      <c r="V31" s="302"/>
      <c r="W31" s="321"/>
      <c r="X31" s="321"/>
      <c r="Y31" s="321"/>
      <c r="Z31" s="321"/>
      <c r="AA31" s="321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</row>
    <row r="32" spans="2:44" ht="16.2" thickBot="1">
      <c r="B32" s="198"/>
      <c r="C32" s="625"/>
      <c r="D32" s="625"/>
      <c r="E32" s="625"/>
      <c r="F32" s="626"/>
      <c r="G32" s="420"/>
      <c r="J32" s="374"/>
      <c r="K32" s="262"/>
      <c r="L32" s="262"/>
      <c r="M32" s="262"/>
      <c r="N32" s="262"/>
      <c r="O32" s="262"/>
      <c r="P32" s="302"/>
      <c r="Q32" s="302"/>
      <c r="R32" s="302"/>
      <c r="S32" s="302"/>
      <c r="T32" s="302"/>
      <c r="U32" s="302"/>
      <c r="V32" s="302"/>
      <c r="W32" s="302"/>
      <c r="X32" s="302"/>
      <c r="Y32" s="321"/>
      <c r="Z32" s="321"/>
      <c r="AA32" s="321"/>
      <c r="AB32" s="321"/>
      <c r="AC32" s="321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</row>
    <row r="33" spans="2:44" ht="13.8">
      <c r="B33" t="s">
        <v>288</v>
      </c>
      <c r="C33" s="794" t="s">
        <v>81</v>
      </c>
      <c r="D33" s="795"/>
      <c r="E33" s="795"/>
      <c r="F33" s="796"/>
      <c r="G33" s="420"/>
      <c r="J33" s="373"/>
      <c r="K33" s="302"/>
      <c r="L33" s="302"/>
      <c r="M33" s="319"/>
      <c r="N33" s="797" t="s">
        <v>287</v>
      </c>
      <c r="O33" s="798"/>
      <c r="P33" s="302"/>
      <c r="Q33" s="302"/>
      <c r="R33" s="302"/>
      <c r="S33" s="302"/>
      <c r="T33" s="302"/>
      <c r="U33" s="302"/>
      <c r="V33" s="302"/>
      <c r="W33" s="321"/>
      <c r="X33" s="321"/>
      <c r="Y33" s="321"/>
      <c r="Z33" s="321"/>
      <c r="AA33" s="321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</row>
    <row r="34" spans="2:44" ht="16.2" thickBot="1">
      <c r="B34" s="198"/>
      <c r="C34" s="625"/>
      <c r="D34" s="625"/>
      <c r="E34" s="625"/>
      <c r="F34" s="626"/>
      <c r="G34" s="420"/>
      <c r="J34" s="374"/>
      <c r="K34" s="262"/>
      <c r="L34" s="262"/>
      <c r="M34" s="262"/>
      <c r="N34" s="262"/>
      <c r="O34" s="262"/>
      <c r="P34" s="302"/>
      <c r="Q34" s="302"/>
      <c r="R34" s="302"/>
      <c r="S34" s="302"/>
      <c r="T34" s="302"/>
      <c r="U34" s="302"/>
      <c r="V34" s="302"/>
      <c r="W34" s="302"/>
      <c r="X34" s="302"/>
      <c r="Y34" s="321"/>
      <c r="Z34" s="321"/>
      <c r="AA34" s="321"/>
      <c r="AB34" s="321"/>
      <c r="AC34" s="321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</row>
    <row r="35" spans="2:44" ht="14.4" thickBot="1">
      <c r="B35" t="s">
        <v>289</v>
      </c>
      <c r="C35" s="794" t="s">
        <v>81</v>
      </c>
      <c r="D35" s="795"/>
      <c r="E35" s="795"/>
      <c r="F35" s="796"/>
      <c r="G35" s="420"/>
      <c r="J35" s="373"/>
      <c r="K35" s="302"/>
      <c r="L35" s="302"/>
      <c r="M35" s="319"/>
      <c r="N35" s="797" t="s">
        <v>287</v>
      </c>
      <c r="O35" s="798"/>
      <c r="P35" s="302"/>
      <c r="Q35" s="302"/>
      <c r="R35" s="302"/>
      <c r="S35" s="302"/>
      <c r="T35" s="302"/>
      <c r="U35" s="302"/>
      <c r="V35" s="302"/>
      <c r="W35" s="321"/>
      <c r="X35" s="321"/>
      <c r="Y35" s="321"/>
      <c r="Z35" s="321"/>
      <c r="AA35" s="321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</row>
    <row r="36" spans="2:44" ht="36.6" thickBot="1">
      <c r="C36" s="635" t="s">
        <v>270</v>
      </c>
      <c r="J36" s="370" t="s">
        <v>290</v>
      </c>
      <c r="K36" s="370" t="s">
        <v>291</v>
      </c>
      <c r="L36" s="372" t="s">
        <v>292</v>
      </c>
      <c r="M36" s="372" t="s">
        <v>293</v>
      </c>
      <c r="N36" s="371" t="s">
        <v>294</v>
      </c>
      <c r="O36" s="370" t="s">
        <v>295</v>
      </c>
      <c r="P36" s="302"/>
      <c r="Q36" s="302"/>
      <c r="R36" s="302"/>
      <c r="S36" s="302"/>
      <c r="T36" s="302"/>
      <c r="U36" s="302"/>
      <c r="V36" s="302"/>
      <c r="W36" s="321"/>
      <c r="X36" s="321"/>
      <c r="Y36" s="321"/>
      <c r="Z36" s="321"/>
      <c r="AA36" s="321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</row>
    <row r="37" spans="2:44" ht="15.6">
      <c r="B37" s="198" t="s">
        <v>79</v>
      </c>
      <c r="C37" s="629">
        <v>2030</v>
      </c>
      <c r="J37" s="369" t="s">
        <v>296</v>
      </c>
      <c r="K37" s="368">
        <f>Paramètres!C12</f>
        <v>0.216</v>
      </c>
      <c r="L37" s="367"/>
      <c r="M37" s="367"/>
      <c r="N37" s="366">
        <f>Paramètres!C13*1000</f>
        <v>0</v>
      </c>
      <c r="O37" s="799">
        <v>70</v>
      </c>
      <c r="P37" s="302"/>
      <c r="Q37" s="302"/>
      <c r="R37" s="302"/>
      <c r="S37" s="302"/>
      <c r="T37" s="302"/>
      <c r="U37" s="302"/>
      <c r="V37" s="302"/>
      <c r="W37" s="321"/>
      <c r="X37" s="321"/>
      <c r="Y37" s="321"/>
      <c r="Z37" s="321"/>
      <c r="AA37" s="321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</row>
    <row r="38" spans="2:44" ht="15.6">
      <c r="B38" s="198"/>
      <c r="J38" s="364" t="s">
        <v>12</v>
      </c>
      <c r="K38" s="365">
        <f>Paramètres!D12</f>
        <v>0.218</v>
      </c>
      <c r="L38" s="362"/>
      <c r="M38" s="362"/>
      <c r="N38" s="361">
        <f>Paramètres!D13*1000</f>
        <v>0</v>
      </c>
      <c r="O38" s="800"/>
      <c r="P38" s="302"/>
      <c r="Q38" s="302"/>
      <c r="R38" s="302"/>
      <c r="S38" s="302"/>
      <c r="T38" s="302"/>
      <c r="U38" s="302"/>
      <c r="V38" s="302"/>
      <c r="W38" s="321"/>
      <c r="X38" s="321"/>
      <c r="Y38" s="321"/>
      <c r="Z38" s="321"/>
      <c r="AA38" s="321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</row>
    <row r="39" spans="2:44">
      <c r="J39" s="364" t="s">
        <v>297</v>
      </c>
      <c r="K39" s="365">
        <f>Paramètres!E12/1000/(35.9/0.94/3600)</f>
        <v>0.30700138161559892</v>
      </c>
      <c r="L39" s="362"/>
      <c r="M39" s="362"/>
      <c r="N39" s="361">
        <f>Paramètres!E13/Paramètres!E10*1000</f>
        <v>0</v>
      </c>
      <c r="O39" s="800"/>
      <c r="P39" s="302"/>
      <c r="Q39" s="302"/>
      <c r="R39" s="302"/>
      <c r="S39" s="302"/>
      <c r="T39" s="302"/>
      <c r="U39" s="302"/>
      <c r="V39" s="302"/>
      <c r="W39" s="321"/>
      <c r="X39" s="321"/>
      <c r="Y39" s="321"/>
      <c r="Z39" s="321"/>
      <c r="AA39" s="321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</row>
    <row r="40" spans="2:44" ht="15.6">
      <c r="B40" s="198" t="s">
        <v>298</v>
      </c>
      <c r="J40" s="364" t="s">
        <v>299</v>
      </c>
      <c r="K40" s="365">
        <f>2.9209/1000/(43.77/0.94/3600)</f>
        <v>0.22582420836189168</v>
      </c>
      <c r="L40" s="362"/>
      <c r="M40" s="362"/>
      <c r="N40" s="361"/>
      <c r="O40" s="800"/>
      <c r="P40" s="302"/>
      <c r="Q40" s="302"/>
      <c r="R40" s="302"/>
      <c r="S40" s="302"/>
      <c r="T40" s="302"/>
      <c r="U40" s="302"/>
      <c r="V40" s="302"/>
      <c r="W40" s="321"/>
      <c r="X40" s="321"/>
      <c r="Y40" s="321"/>
      <c r="Z40" s="321"/>
      <c r="AA40" s="321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</row>
    <row r="41" spans="2:44">
      <c r="J41" s="364" t="s">
        <v>300</v>
      </c>
      <c r="K41" s="365">
        <f>3.3679/1000/(35.9/0.94/3600)</f>
        <v>0.31746444568245125</v>
      </c>
      <c r="L41" s="362"/>
      <c r="M41" s="362"/>
      <c r="N41" s="361"/>
      <c r="O41" s="800"/>
      <c r="P41" s="302"/>
      <c r="Q41" s="302"/>
      <c r="R41" s="302"/>
      <c r="S41" s="302"/>
      <c r="T41" s="302"/>
      <c r="U41" s="302"/>
      <c r="V41" s="302"/>
      <c r="W41" s="321"/>
      <c r="X41" s="321"/>
      <c r="Y41" s="321"/>
      <c r="Z41" s="321"/>
      <c r="AA41" s="321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</row>
    <row r="42" spans="2:44" ht="12.9" customHeight="1">
      <c r="B42" s="769"/>
      <c r="C42" s="770"/>
      <c r="D42" s="770"/>
      <c r="E42" s="770"/>
      <c r="F42" s="770"/>
      <c r="G42" s="770"/>
      <c r="H42" s="771"/>
      <c r="J42" s="364" t="s">
        <v>301</v>
      </c>
      <c r="K42" s="365">
        <f>3.0567/1000/(29.31/0.96/3600)</f>
        <v>0.36042153531218019</v>
      </c>
      <c r="L42" s="362"/>
      <c r="M42" s="362"/>
      <c r="N42" s="361"/>
      <c r="O42" s="800"/>
      <c r="P42" s="302"/>
      <c r="Q42" s="302"/>
      <c r="R42" s="302"/>
      <c r="S42" s="302"/>
      <c r="T42" s="302"/>
      <c r="U42" s="302"/>
      <c r="V42" s="302"/>
      <c r="W42" s="321"/>
      <c r="X42" s="321"/>
      <c r="Y42" s="321"/>
      <c r="Z42" s="321"/>
      <c r="AA42" s="321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</row>
    <row r="43" spans="2:44">
      <c r="J43" s="364" t="s">
        <v>302</v>
      </c>
      <c r="K43" s="411">
        <v>0</v>
      </c>
      <c r="L43" s="362"/>
      <c r="M43" s="362"/>
      <c r="N43" s="361"/>
      <c r="O43" s="800"/>
      <c r="P43" s="302"/>
      <c r="Q43" s="302"/>
      <c r="R43" s="302"/>
      <c r="S43" s="302"/>
      <c r="T43" s="302"/>
      <c r="U43" s="302"/>
      <c r="V43" s="302"/>
      <c r="W43" s="321"/>
      <c r="X43" s="321"/>
      <c r="Y43" s="321"/>
      <c r="Z43" s="321"/>
      <c r="AA43" s="321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</row>
    <row r="44" spans="2:44" ht="15.6">
      <c r="B44" s="198" t="s">
        <v>303</v>
      </c>
      <c r="J44" s="364" t="s">
        <v>304</v>
      </c>
      <c r="K44" s="363"/>
      <c r="L44" s="362"/>
      <c r="M44" s="362"/>
      <c r="N44" s="361"/>
      <c r="O44" s="800"/>
      <c r="P44" s="302"/>
      <c r="Q44" s="302"/>
      <c r="R44" s="302"/>
      <c r="S44" s="302"/>
      <c r="T44" s="302"/>
      <c r="U44" s="302"/>
      <c r="V44" s="302"/>
      <c r="W44" s="321"/>
      <c r="X44" s="321"/>
      <c r="Y44" s="321"/>
      <c r="Z44" s="321"/>
      <c r="AA44" s="321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</row>
    <row r="45" spans="2:44" ht="13.8" thickBot="1">
      <c r="J45" s="360" t="s">
        <v>304</v>
      </c>
      <c r="K45" s="359"/>
      <c r="L45" s="358"/>
      <c r="M45" s="358"/>
      <c r="N45" s="357"/>
      <c r="O45" s="801"/>
      <c r="P45" s="302"/>
      <c r="Q45" s="302"/>
      <c r="R45" s="302"/>
      <c r="S45" s="302"/>
      <c r="T45" s="302"/>
      <c r="U45" s="302"/>
      <c r="V45" s="302"/>
      <c r="W45" s="321"/>
      <c r="X45" s="321"/>
      <c r="Y45" s="321"/>
      <c r="Z45" s="321"/>
      <c r="AA45" s="321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</row>
    <row r="46" spans="2:44" ht="25.5" customHeight="1" thickBot="1">
      <c r="B46" s="788" t="s">
        <v>373</v>
      </c>
      <c r="C46" s="789"/>
      <c r="D46" s="789"/>
      <c r="E46" s="789"/>
      <c r="F46" s="789"/>
      <c r="G46" s="789"/>
      <c r="H46" s="790"/>
      <c r="J46" s="302"/>
      <c r="K46" s="302"/>
      <c r="L46" s="302"/>
      <c r="M46" s="319"/>
      <c r="N46" s="302"/>
      <c r="O46" s="302"/>
      <c r="P46" s="302"/>
      <c r="Q46" s="302"/>
      <c r="R46" s="302"/>
      <c r="S46" s="302"/>
      <c r="T46" s="302"/>
      <c r="U46" s="302"/>
      <c r="V46" s="302"/>
      <c r="W46" s="321"/>
      <c r="X46" s="321"/>
      <c r="Y46" s="321"/>
      <c r="Z46" s="321"/>
      <c r="AA46" s="321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</row>
    <row r="47" spans="2:44" ht="13.8" thickBot="1">
      <c r="B47" s="197"/>
      <c r="C47" s="197"/>
      <c r="D47" s="197"/>
      <c r="E47" s="197"/>
      <c r="F47" s="197"/>
      <c r="G47" s="197"/>
      <c r="H47" s="197"/>
      <c r="I47" s="1"/>
      <c r="J47" s="302"/>
      <c r="K47" s="302"/>
      <c r="L47" s="302"/>
      <c r="M47" s="356" t="s">
        <v>305</v>
      </c>
      <c r="N47" s="791">
        <f>(((L37-M37)*N37)+((L38-M38)*N38)+((L39-M39)*N39)+((L40-M40)*N40)+((L41-M41)*N41)+((L42-M42)*N42)+((L43-M43)*N43)+((L44-M44)*N44)+((L45-M45)*N45))</f>
        <v>0</v>
      </c>
      <c r="O47" s="792"/>
      <c r="P47" s="302"/>
      <c r="Q47" s="302"/>
      <c r="R47" s="302"/>
      <c r="S47" s="302"/>
      <c r="T47" s="302"/>
      <c r="U47" s="302"/>
      <c r="V47" s="302"/>
      <c r="W47" s="321"/>
      <c r="X47" s="321"/>
      <c r="Y47" s="321"/>
      <c r="Z47" s="321"/>
      <c r="AA47" s="321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</row>
    <row r="48" spans="2:44" ht="16.2" thickBot="1">
      <c r="B48" s="198" t="s">
        <v>306</v>
      </c>
      <c r="C48" s="423"/>
      <c r="D48" s="423"/>
      <c r="E48" s="423"/>
      <c r="F48" s="423"/>
      <c r="G48" s="423"/>
      <c r="H48" s="423"/>
      <c r="I48" s="1"/>
      <c r="J48" s="302"/>
      <c r="K48" s="302"/>
      <c r="L48" s="302"/>
      <c r="M48" s="355" t="s">
        <v>307</v>
      </c>
      <c r="N48" s="791">
        <f>IF(K22="OUI",((((L38-M38)*K38)+((L39-M39)*K39)+((L40-M40)*K40)+((L41-M41)*K41)+((L42-M42)*K42)+((L43-M43)*K43)+((L44-M44)*K44)+((L45-M45)*K45)))*O37,0)</f>
        <v>0</v>
      </c>
      <c r="O48" s="792"/>
      <c r="P48" s="302"/>
      <c r="Q48" s="302"/>
      <c r="R48" s="302"/>
      <c r="S48" s="302"/>
      <c r="T48" s="302"/>
      <c r="U48" s="302"/>
      <c r="V48" s="302"/>
      <c r="W48" s="321"/>
      <c r="X48" s="321"/>
      <c r="Y48" s="321"/>
      <c r="Z48" s="321"/>
      <c r="AA48" s="321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</row>
    <row r="49" spans="2:44">
      <c r="G49" s="196"/>
      <c r="I49" s="1"/>
      <c r="J49" s="302"/>
      <c r="K49" s="302"/>
      <c r="L49" s="302"/>
      <c r="M49" s="354"/>
      <c r="N49" s="353"/>
      <c r="O49" s="353"/>
      <c r="P49" s="302"/>
      <c r="Q49" s="302"/>
      <c r="R49" s="302"/>
      <c r="S49" s="302"/>
      <c r="T49" s="302"/>
      <c r="U49" s="302"/>
      <c r="V49" s="302"/>
      <c r="W49" s="321"/>
      <c r="X49" s="321"/>
      <c r="Y49" s="321"/>
      <c r="Z49" s="321"/>
      <c r="AA49" s="321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</row>
    <row r="50" spans="2:44" ht="17.100000000000001" customHeight="1" thickBot="1">
      <c r="B50" t="str">
        <f>Paramètres!C5</f>
        <v>Electricité 
achetée</v>
      </c>
      <c r="C50" s="448">
        <v>3000000</v>
      </c>
      <c r="D50" t="str">
        <f>Paramètres!C6</f>
        <v>kWh</v>
      </c>
      <c r="G50" s="196"/>
      <c r="J50" s="302"/>
      <c r="K50" s="302"/>
      <c r="L50" s="302"/>
      <c r="M50" s="354"/>
      <c r="N50" s="353"/>
      <c r="O50" s="353"/>
      <c r="P50" s="353"/>
      <c r="Q50" s="353"/>
      <c r="R50" s="302"/>
      <c r="S50" s="302"/>
      <c r="T50" s="302"/>
      <c r="U50" s="302"/>
      <c r="V50" s="302"/>
      <c r="W50" s="302"/>
      <c r="X50" s="302"/>
      <c r="Y50" s="321"/>
      <c r="Z50" s="321"/>
      <c r="AA50" s="321"/>
      <c r="AB50" s="321"/>
      <c r="AC50" s="321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</row>
    <row r="51" spans="2:44" ht="17.100000000000001" customHeight="1" thickBot="1">
      <c r="B51" t="str">
        <f>Paramètres!D5</f>
        <v>Gaz Naturel</v>
      </c>
      <c r="C51" s="448"/>
      <c r="D51" s="145" t="str">
        <f>Paramètres!D6</f>
        <v>kWhs</v>
      </c>
      <c r="G51" s="196"/>
      <c r="H51" s="145"/>
      <c r="J51" s="786" t="s">
        <v>308</v>
      </c>
      <c r="K51" s="793"/>
      <c r="L51" s="793"/>
      <c r="M51" s="793"/>
      <c r="N51" s="793"/>
      <c r="O51" s="793"/>
      <c r="P51" s="793"/>
      <c r="Q51" s="787"/>
      <c r="R51" s="302"/>
      <c r="S51" s="302"/>
      <c r="T51" s="302"/>
      <c r="U51" s="302"/>
      <c r="V51" s="302"/>
      <c r="W51" s="302"/>
      <c r="X51" s="302"/>
      <c r="Y51" s="321"/>
      <c r="Z51" s="321"/>
      <c r="AA51" s="321"/>
      <c r="AB51" s="321"/>
      <c r="AC51" s="321"/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</row>
    <row r="52" spans="2:44" ht="17.100000000000001" customHeight="1">
      <c r="B52" t="str">
        <f>Paramètres!F5</f>
        <v>Biogaz</v>
      </c>
      <c r="C52" s="448"/>
      <c r="D52" s="145" t="str">
        <f>Paramètres!F6</f>
        <v>kWhs</v>
      </c>
      <c r="G52" s="196"/>
      <c r="H52" s="145"/>
      <c r="J52" s="633"/>
      <c r="K52" s="633"/>
      <c r="L52" s="633"/>
      <c r="M52" s="633"/>
      <c r="N52" s="633"/>
      <c r="O52" s="633"/>
      <c r="P52" s="633"/>
      <c r="Q52" s="633"/>
      <c r="R52" s="302"/>
      <c r="S52" s="302"/>
      <c r="T52" s="302"/>
      <c r="U52" s="302"/>
      <c r="V52" s="302"/>
      <c r="W52" s="302"/>
      <c r="X52" s="302"/>
      <c r="Y52" s="321"/>
      <c r="Z52" s="321"/>
      <c r="AA52" s="321"/>
      <c r="AB52" s="321"/>
      <c r="AC52" s="321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</row>
    <row r="53" spans="2:44" ht="17.100000000000001" customHeight="1">
      <c r="B53" t="str">
        <f>Paramètres!G5</f>
        <v>Elec SER</v>
      </c>
      <c r="C53" s="448"/>
      <c r="D53" s="145" t="str">
        <f>Paramètres!G6</f>
        <v>kWh</v>
      </c>
      <c r="G53" s="196"/>
      <c r="H53" s="145"/>
      <c r="J53" s="633"/>
      <c r="K53" s="633"/>
      <c r="L53" s="633"/>
      <c r="M53" s="633"/>
      <c r="N53" s="633"/>
      <c r="O53" s="633"/>
      <c r="P53" s="633"/>
      <c r="Q53" s="633"/>
      <c r="R53" s="302"/>
      <c r="S53" s="302"/>
      <c r="T53" s="302"/>
      <c r="U53" s="302"/>
      <c r="V53" s="302"/>
      <c r="W53" s="302"/>
      <c r="X53" s="302"/>
      <c r="Y53" s="321"/>
      <c r="Z53" s="321"/>
      <c r="AA53" s="321"/>
      <c r="AB53" s="321"/>
      <c r="AC53" s="321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</row>
    <row r="54" spans="2:44" ht="17.100000000000001" customHeight="1" thickBot="1">
      <c r="B54" t="str">
        <f>Paramètres!H5</f>
        <v>Process</v>
      </c>
      <c r="C54" s="448"/>
      <c r="D54" s="145" t="str">
        <f>Paramètres!H6</f>
        <v>kgCO2</v>
      </c>
      <c r="G54" s="196"/>
      <c r="J54" s="802"/>
      <c r="K54" s="802"/>
      <c r="L54" s="802"/>
      <c r="M54" s="802"/>
      <c r="N54" s="8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21"/>
      <c r="AB54" s="321"/>
      <c r="AC54" s="321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</row>
    <row r="55" spans="2:44">
      <c r="C55" s="195"/>
      <c r="J55" s="803" t="s">
        <v>309</v>
      </c>
      <c r="K55" s="806" t="s">
        <v>310</v>
      </c>
      <c r="L55" s="330" t="s">
        <v>311</v>
      </c>
      <c r="M55" s="352"/>
      <c r="N55" s="333" t="s">
        <v>312</v>
      </c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21"/>
      <c r="AB55" s="321"/>
      <c r="AC55" s="321"/>
      <c r="AD55" s="321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</row>
    <row r="56" spans="2:44" ht="16.2" thickBot="1">
      <c r="B56" s="198" t="s">
        <v>313</v>
      </c>
      <c r="C56" s="423"/>
      <c r="D56" s="423"/>
      <c r="E56" s="423"/>
      <c r="F56" s="423"/>
      <c r="G56" s="423"/>
      <c r="H56" s="423"/>
      <c r="J56" s="804"/>
      <c r="K56" s="807"/>
      <c r="L56" s="326" t="s">
        <v>314</v>
      </c>
      <c r="M56" s="327"/>
      <c r="N56" s="326" t="s">
        <v>312</v>
      </c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21"/>
      <c r="AB56" s="321"/>
      <c r="AC56" s="321"/>
      <c r="AD56" s="321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</row>
    <row r="57" spans="2:44">
      <c r="H57" s="178"/>
      <c r="J57" s="804"/>
      <c r="K57" s="807" t="s">
        <v>315</v>
      </c>
      <c r="L57" s="341" t="s">
        <v>316</v>
      </c>
      <c r="M57" s="340"/>
      <c r="N57" s="333" t="s">
        <v>312</v>
      </c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21"/>
      <c r="AB57" s="321"/>
      <c r="AC57" s="321"/>
      <c r="AD57" s="321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</row>
    <row r="58" spans="2:44" ht="13.8" thickBot="1">
      <c r="B58" s="810"/>
      <c r="C58" s="811"/>
      <c r="D58" s="811"/>
      <c r="E58" s="812"/>
      <c r="G58" s="630">
        <v>0</v>
      </c>
      <c r="H58" s="476"/>
      <c r="J58" s="804"/>
      <c r="K58" s="807"/>
      <c r="L58" s="339" t="s">
        <v>317</v>
      </c>
      <c r="M58" s="351"/>
      <c r="N58" s="326" t="s">
        <v>312</v>
      </c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21"/>
      <c r="AB58" s="321"/>
      <c r="AC58" s="321"/>
      <c r="AD58" s="321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</row>
    <row r="59" spans="2:44" ht="13.8" thickBot="1">
      <c r="B59" s="808"/>
      <c r="C59" s="808"/>
      <c r="D59" s="808"/>
      <c r="E59" s="808"/>
      <c r="F59" s="808"/>
      <c r="G59" s="422"/>
      <c r="H59" s="178"/>
      <c r="J59" s="805"/>
      <c r="K59" s="350" t="s">
        <v>318</v>
      </c>
      <c r="L59" s="322" t="s">
        <v>319</v>
      </c>
      <c r="M59" s="349"/>
      <c r="N59" s="331" t="s">
        <v>312</v>
      </c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21"/>
      <c r="AB59" s="321"/>
      <c r="AC59" s="321"/>
      <c r="AD59" s="321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</row>
    <row r="60" spans="2:44" ht="13.8" thickBot="1">
      <c r="B60" s="808"/>
      <c r="C60" s="808"/>
      <c r="D60" s="808"/>
      <c r="E60" s="808"/>
      <c r="F60" s="808"/>
      <c r="G60" s="422"/>
      <c r="H60" s="178"/>
      <c r="J60" s="348"/>
      <c r="K60" s="346"/>
      <c r="L60" s="346"/>
      <c r="M60" s="347"/>
      <c r="N60" s="346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21"/>
      <c r="AB60" s="321"/>
      <c r="AC60" s="321"/>
      <c r="AD60" s="321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</row>
    <row r="61" spans="2:44" ht="13.8" thickBot="1">
      <c r="B61" s="813" t="s">
        <v>320</v>
      </c>
      <c r="C61" s="813"/>
      <c r="D61" s="813"/>
      <c r="E61" s="813"/>
      <c r="F61" s="813"/>
      <c r="G61" s="449">
        <f>SUM(G58:G60)/1000</f>
        <v>0</v>
      </c>
      <c r="H61" s="190"/>
      <c r="J61" s="814" t="s">
        <v>321</v>
      </c>
      <c r="K61" s="344" t="s">
        <v>322</v>
      </c>
      <c r="L61" s="343" t="s">
        <v>323</v>
      </c>
      <c r="M61" s="342"/>
      <c r="N61" s="333" t="s">
        <v>324</v>
      </c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21"/>
      <c r="AB61" s="321"/>
      <c r="AC61" s="321"/>
      <c r="AD61" s="321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</row>
    <row r="62" spans="2:44">
      <c r="B62" s="193"/>
      <c r="C62" s="194"/>
      <c r="D62" s="193"/>
      <c r="E62" s="193"/>
      <c r="F62" s="193"/>
      <c r="J62" s="815"/>
      <c r="K62" s="807" t="s">
        <v>325</v>
      </c>
      <c r="L62" s="341" t="s">
        <v>326</v>
      </c>
      <c r="M62" s="340"/>
      <c r="N62" s="333" t="s">
        <v>324</v>
      </c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21"/>
      <c r="AB62" s="321"/>
      <c r="AC62" s="321"/>
      <c r="AD62" s="321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</row>
    <row r="63" spans="2:44" ht="16.2" thickBot="1">
      <c r="B63" s="198" t="s">
        <v>327</v>
      </c>
      <c r="C63" s="423"/>
      <c r="D63" s="423"/>
      <c r="E63" s="423"/>
      <c r="F63" s="423"/>
      <c r="G63" s="423"/>
      <c r="H63" s="423"/>
      <c r="J63" s="815"/>
      <c r="K63" s="807"/>
      <c r="L63" s="339" t="s">
        <v>328</v>
      </c>
      <c r="M63" s="338"/>
      <c r="N63" s="322" t="s">
        <v>329</v>
      </c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21"/>
      <c r="AB63" s="321"/>
      <c r="AC63" s="321"/>
      <c r="AD63" s="321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</row>
    <row r="64" spans="2:44">
      <c r="B64" s="808"/>
      <c r="C64" s="808"/>
      <c r="D64" s="808"/>
      <c r="E64" s="808"/>
      <c r="F64" s="808"/>
      <c r="G64" s="192"/>
      <c r="H64" s="178" t="s">
        <v>330</v>
      </c>
      <c r="J64" s="815"/>
      <c r="K64" s="807" t="s">
        <v>331</v>
      </c>
      <c r="L64" s="337" t="s">
        <v>332</v>
      </c>
      <c r="M64" s="336">
        <f>N47/1000</f>
        <v>0</v>
      </c>
      <c r="N64" s="333" t="s">
        <v>324</v>
      </c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21"/>
      <c r="AB64" s="321"/>
      <c r="AC64" s="321"/>
      <c r="AD64" s="321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</row>
    <row r="65" spans="2:44" ht="13.8" thickBot="1">
      <c r="B65" s="808"/>
      <c r="C65" s="808"/>
      <c r="D65" s="808"/>
      <c r="E65" s="808"/>
      <c r="F65" s="808"/>
      <c r="G65" s="192"/>
      <c r="H65" s="178" t="s">
        <v>330</v>
      </c>
      <c r="J65" s="815"/>
      <c r="K65" s="809"/>
      <c r="L65" s="328" t="s">
        <v>333</v>
      </c>
      <c r="M65" s="335">
        <f>N48/1000</f>
        <v>0</v>
      </c>
      <c r="N65" s="326" t="s">
        <v>324</v>
      </c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21"/>
      <c r="AB65" s="321"/>
      <c r="AC65" s="321"/>
      <c r="AD65" s="321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</row>
    <row r="66" spans="2:44" ht="13.8" thickBot="1">
      <c r="B66" s="808"/>
      <c r="C66" s="808"/>
      <c r="D66" s="808"/>
      <c r="E66" s="808"/>
      <c r="F66" s="808"/>
      <c r="G66" s="192"/>
      <c r="H66" s="178" t="s">
        <v>330</v>
      </c>
      <c r="J66" s="815"/>
      <c r="K66" s="334" t="s">
        <v>334</v>
      </c>
      <c r="L66" s="333" t="s">
        <v>335</v>
      </c>
      <c r="M66" s="332">
        <v>0</v>
      </c>
      <c r="N66" s="331" t="s">
        <v>324</v>
      </c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21"/>
      <c r="AB66" s="321"/>
      <c r="AC66" s="321"/>
      <c r="AD66" s="321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</row>
    <row r="67" spans="2:44">
      <c r="B67" s="813" t="s">
        <v>336</v>
      </c>
      <c r="C67" s="813"/>
      <c r="D67" s="813"/>
      <c r="E67" s="813"/>
      <c r="F67" s="813"/>
      <c r="G67" s="191">
        <f>SUM(G64:G66)</f>
        <v>0</v>
      </c>
      <c r="H67" s="190" t="s">
        <v>330</v>
      </c>
      <c r="J67" s="815"/>
      <c r="K67" s="817" t="s">
        <v>337</v>
      </c>
      <c r="L67" s="330" t="s">
        <v>338</v>
      </c>
      <c r="M67" s="327"/>
      <c r="N67" s="326" t="s">
        <v>324</v>
      </c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21"/>
      <c r="AB67" s="321"/>
      <c r="AC67" s="321"/>
      <c r="AD67" s="321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</row>
    <row r="68" spans="2:44" ht="26.4">
      <c r="B68" s="423"/>
      <c r="C68" s="423"/>
      <c r="D68" s="423"/>
      <c r="E68" s="423"/>
      <c r="F68" s="423"/>
      <c r="G68" s="423"/>
      <c r="H68" s="423"/>
      <c r="J68" s="815"/>
      <c r="K68" s="807"/>
      <c r="L68" s="328" t="s">
        <v>339</v>
      </c>
      <c r="M68" s="327"/>
      <c r="N68" s="326" t="s">
        <v>324</v>
      </c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21"/>
      <c r="AB68" s="321"/>
      <c r="AC68" s="321"/>
      <c r="AD68" s="321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</row>
    <row r="69" spans="2:44">
      <c r="B69" s="145"/>
      <c r="J69" s="815"/>
      <c r="K69" s="807"/>
      <c r="L69" s="328" t="s">
        <v>340</v>
      </c>
      <c r="M69" s="327"/>
      <c r="N69" s="326" t="s">
        <v>324</v>
      </c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21"/>
      <c r="AB69" s="321"/>
      <c r="AC69" s="321"/>
      <c r="AD69" s="321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</row>
    <row r="70" spans="2:44" ht="18" customHeight="1">
      <c r="B70" s="819" t="s">
        <v>341</v>
      </c>
      <c r="C70" s="820"/>
      <c r="D70" s="820"/>
      <c r="E70" s="820"/>
      <c r="F70" s="820"/>
      <c r="G70" s="820"/>
      <c r="H70" s="821"/>
      <c r="J70" s="815"/>
      <c r="K70" s="807"/>
      <c r="L70" s="328" t="s">
        <v>342</v>
      </c>
      <c r="M70" s="327"/>
      <c r="N70" s="326" t="s">
        <v>324</v>
      </c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21"/>
      <c r="AB70" s="321"/>
      <c r="AC70" s="321"/>
      <c r="AD70" s="321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</row>
    <row r="71" spans="2:44" ht="34.5" customHeight="1">
      <c r="B71" s="186" t="s">
        <v>343</v>
      </c>
      <c r="C71" s="187" t="s">
        <v>344</v>
      </c>
      <c r="D71" s="187" t="s">
        <v>129</v>
      </c>
      <c r="E71" s="822" t="s">
        <v>345</v>
      </c>
      <c r="F71" s="823"/>
      <c r="G71" s="186" t="s">
        <v>346</v>
      </c>
      <c r="H71" s="185"/>
      <c r="J71" s="815"/>
      <c r="K71" s="807"/>
      <c r="L71" s="328" t="s">
        <v>347</v>
      </c>
      <c r="M71" s="327"/>
      <c r="N71" s="326" t="s">
        <v>324</v>
      </c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21"/>
      <c r="AB71" s="321"/>
      <c r="AC71" s="321"/>
      <c r="AD71" s="321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</row>
    <row r="72" spans="2:44" ht="13.8" thickBot="1">
      <c r="B72" s="184" t="str">
        <f t="shared" ref="B72:D76" si="0">+B50</f>
        <v>Electricité 
achetée</v>
      </c>
      <c r="C72" s="183">
        <f t="shared" si="0"/>
        <v>3000000</v>
      </c>
      <c r="D72" t="str">
        <f t="shared" si="0"/>
        <v>kWh</v>
      </c>
      <c r="E72" s="189">
        <f>Paramètres!C10</f>
        <v>1</v>
      </c>
      <c r="F72" s="145" t="str">
        <f>"kWhf/"&amp;D72</f>
        <v>kWhf/kWh</v>
      </c>
      <c r="G72" s="214">
        <f>+C72*E72/1000</f>
        <v>3000</v>
      </c>
      <c r="H72" s="212" t="s">
        <v>233</v>
      </c>
      <c r="J72" s="816"/>
      <c r="K72" s="818"/>
      <c r="L72" s="324" t="s">
        <v>232</v>
      </c>
      <c r="M72" s="323"/>
      <c r="N72" s="322" t="s">
        <v>324</v>
      </c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21"/>
      <c r="AB72" s="321"/>
      <c r="AC72" s="321"/>
      <c r="AD72" s="321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</row>
    <row r="73" spans="2:44" ht="14.4">
      <c r="B73" s="184" t="str">
        <f t="shared" si="0"/>
        <v>Gaz Naturel</v>
      </c>
      <c r="C73" s="183">
        <f t="shared" si="0"/>
        <v>0</v>
      </c>
      <c r="D73" t="str">
        <f t="shared" si="0"/>
        <v>kWhs</v>
      </c>
      <c r="E73" s="189">
        <f>Paramètres!D10</f>
        <v>1</v>
      </c>
      <c r="F73" s="145" t="str">
        <f t="shared" ref="F73:F75" si="1">"kWhf/"&amp;D73</f>
        <v>kWhf/kWhs</v>
      </c>
      <c r="G73" s="214">
        <f>+C73*E73/1000</f>
        <v>0</v>
      </c>
      <c r="H73" s="212" t="s">
        <v>233</v>
      </c>
      <c r="J73" s="320"/>
      <c r="K73" s="302"/>
      <c r="L73" s="302"/>
      <c r="M73" s="319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</row>
    <row r="74" spans="2:44" ht="14.4">
      <c r="B74" s="184" t="str">
        <f t="shared" si="0"/>
        <v>Biogaz</v>
      </c>
      <c r="C74" s="183">
        <f t="shared" si="0"/>
        <v>0</v>
      </c>
      <c r="D74" t="str">
        <f t="shared" si="0"/>
        <v>kWhs</v>
      </c>
      <c r="E74" s="189">
        <f>Paramètres!F10</f>
        <v>1</v>
      </c>
      <c r="F74" s="145" t="str">
        <f t="shared" ref="F74" si="2">"kWhf/"&amp;D74</f>
        <v>kWhf/kWhs</v>
      </c>
      <c r="G74" s="214">
        <f>+C74*E74/1000</f>
        <v>0</v>
      </c>
      <c r="H74" s="212" t="s">
        <v>233</v>
      </c>
      <c r="J74" s="320"/>
      <c r="K74" s="302"/>
      <c r="L74" s="302"/>
      <c r="M74" s="319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</row>
    <row r="75" spans="2:44" ht="14.4">
      <c r="B75" s="184" t="str">
        <f t="shared" si="0"/>
        <v>Elec SER</v>
      </c>
      <c r="C75" s="183">
        <f t="shared" si="0"/>
        <v>0</v>
      </c>
      <c r="D75" t="str">
        <f t="shared" si="0"/>
        <v>kWh</v>
      </c>
      <c r="E75" s="189">
        <f>Paramètres!G10</f>
        <v>1</v>
      </c>
      <c r="F75" s="145" t="str">
        <f t="shared" si="1"/>
        <v>kWhf/kWh</v>
      </c>
      <c r="G75" s="214">
        <f>+C75*E75/1000</f>
        <v>0</v>
      </c>
      <c r="H75" s="212" t="s">
        <v>233</v>
      </c>
      <c r="J75" s="320"/>
      <c r="K75" s="302"/>
      <c r="L75" s="302"/>
      <c r="M75" s="319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</row>
    <row r="76" spans="2:44" ht="15" thickBot="1">
      <c r="B76" s="184" t="str">
        <f t="shared" si="0"/>
        <v>Process</v>
      </c>
      <c r="C76" s="183">
        <f t="shared" si="0"/>
        <v>0</v>
      </c>
      <c r="D76" t="str">
        <f t="shared" si="0"/>
        <v>kgCO2</v>
      </c>
      <c r="E76" s="189">
        <f>Paramètres!H10</f>
        <v>0</v>
      </c>
      <c r="F76" s="145" t="str">
        <f t="shared" ref="F76" si="3">"kWhf/"&amp;D76</f>
        <v>kWhf/kgCO2</v>
      </c>
      <c r="G76" s="214">
        <f>+C76*E76/1000</f>
        <v>0</v>
      </c>
      <c r="H76" s="212" t="s">
        <v>233</v>
      </c>
      <c r="J76" s="320"/>
      <c r="K76" s="302"/>
      <c r="L76" s="302"/>
      <c r="M76" s="319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</row>
    <row r="77" spans="2:44" ht="16.2" thickBot="1">
      <c r="B77" s="824" t="s">
        <v>348</v>
      </c>
      <c r="C77" s="825"/>
      <c r="D77" s="825"/>
      <c r="E77" s="825"/>
      <c r="F77" s="825"/>
      <c r="G77" s="215">
        <f>SUM(G72:G75)</f>
        <v>3000</v>
      </c>
      <c r="H77" s="213" t="s">
        <v>233</v>
      </c>
      <c r="J77" s="826" t="s">
        <v>349</v>
      </c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7"/>
      <c r="V77" s="827"/>
      <c r="W77" s="827"/>
      <c r="X77" s="827"/>
      <c r="Y77" s="827"/>
      <c r="Z77" s="827"/>
      <c r="AA77" s="827"/>
      <c r="AB77" s="827"/>
      <c r="AC77" s="827"/>
      <c r="AD77" s="827"/>
      <c r="AE77" s="827"/>
      <c r="AF77" s="827"/>
      <c r="AG77" s="827"/>
      <c r="AH77" s="827"/>
      <c r="AI77" s="827"/>
      <c r="AJ77" s="827"/>
      <c r="AK77" s="827"/>
      <c r="AL77" s="827"/>
      <c r="AM77" s="827"/>
      <c r="AN77" s="827"/>
      <c r="AO77" s="827"/>
      <c r="AP77" s="827"/>
      <c r="AQ77" s="827"/>
      <c r="AR77" s="828"/>
    </row>
    <row r="78" spans="2:44" ht="13.8" thickBot="1">
      <c r="B78" s="86"/>
      <c r="C78" s="86"/>
      <c r="D78" s="86"/>
      <c r="E78" s="86"/>
      <c r="F78" s="86"/>
      <c r="G78" s="216">
        <f>G77/'2023'!H35</f>
        <v>3.125E-2</v>
      </c>
      <c r="H78" s="228">
        <f>G77/'2023'!T17</f>
        <v>3.125E-2</v>
      </c>
      <c r="J78" s="302"/>
      <c r="K78" s="302"/>
      <c r="L78" s="302"/>
      <c r="M78" s="301"/>
      <c r="N78" s="302"/>
      <c r="O78" s="308"/>
      <c r="P78" s="308"/>
      <c r="Q78" s="308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</row>
    <row r="79" spans="2:44" ht="14.4" thickBot="1">
      <c r="B79" s="188"/>
      <c r="C79" s="188"/>
      <c r="D79" s="188"/>
      <c r="E79" s="188"/>
      <c r="F79" s="188"/>
      <c r="G79" s="188"/>
      <c r="H79" s="188"/>
      <c r="J79" s="302"/>
      <c r="K79" s="302"/>
      <c r="L79" s="302"/>
      <c r="M79" s="301"/>
      <c r="N79" s="831" t="s">
        <v>350</v>
      </c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  <c r="AQ79" s="832"/>
      <c r="AR79" s="833"/>
    </row>
    <row r="80" spans="2:44" ht="19.5" customHeight="1" thickBot="1">
      <c r="B80" s="819" t="s">
        <v>351</v>
      </c>
      <c r="C80" s="820"/>
      <c r="D80" s="820"/>
      <c r="E80" s="820"/>
      <c r="F80" s="820"/>
      <c r="G80" s="820"/>
      <c r="H80" s="821"/>
      <c r="J80" s="302"/>
      <c r="K80" s="302"/>
      <c r="L80" s="310"/>
      <c r="M80" s="310"/>
      <c r="N80" s="300">
        <v>0</v>
      </c>
      <c r="O80" s="299">
        <v>1</v>
      </c>
      <c r="P80" s="299">
        <v>2</v>
      </c>
      <c r="Q80" s="299">
        <v>3</v>
      </c>
      <c r="R80" s="299">
        <v>4</v>
      </c>
      <c r="S80" s="299">
        <v>5</v>
      </c>
      <c r="T80" s="299">
        <v>6</v>
      </c>
      <c r="U80" s="299">
        <v>7</v>
      </c>
      <c r="V80" s="299">
        <v>8</v>
      </c>
      <c r="W80" s="299">
        <v>9</v>
      </c>
      <c r="X80" s="299">
        <v>10</v>
      </c>
      <c r="Y80" s="299">
        <v>11</v>
      </c>
      <c r="Z80" s="299">
        <v>12</v>
      </c>
      <c r="AA80" s="299">
        <v>13</v>
      </c>
      <c r="AB80" s="299">
        <v>14</v>
      </c>
      <c r="AC80" s="299">
        <v>15</v>
      </c>
      <c r="AD80" s="299">
        <v>16</v>
      </c>
      <c r="AE80" s="299">
        <v>17</v>
      </c>
      <c r="AF80" s="299">
        <v>18</v>
      </c>
      <c r="AG80" s="299">
        <v>19</v>
      </c>
      <c r="AH80" s="299">
        <v>20</v>
      </c>
      <c r="AI80" s="299">
        <v>21</v>
      </c>
      <c r="AJ80" s="299">
        <v>22</v>
      </c>
      <c r="AK80" s="299">
        <v>23</v>
      </c>
      <c r="AL80" s="299">
        <v>24</v>
      </c>
      <c r="AM80" s="299">
        <v>25</v>
      </c>
      <c r="AN80" s="299">
        <v>26</v>
      </c>
      <c r="AO80" s="299">
        <v>27</v>
      </c>
      <c r="AP80" s="299">
        <v>28</v>
      </c>
      <c r="AQ80" s="299">
        <v>29</v>
      </c>
      <c r="AR80" s="298">
        <v>30</v>
      </c>
    </row>
    <row r="81" spans="2:44" ht="30" customHeight="1">
      <c r="B81" s="186" t="str">
        <f>+B71</f>
        <v>Vecteurs énergétiques</v>
      </c>
      <c r="C81" s="186" t="str">
        <f>+C71</f>
        <v>Quantités</v>
      </c>
      <c r="D81" s="186" t="str">
        <f>+D71</f>
        <v>Unités</v>
      </c>
      <c r="E81" s="834" t="s">
        <v>352</v>
      </c>
      <c r="F81" s="834"/>
      <c r="G81" s="186" t="s">
        <v>353</v>
      </c>
      <c r="H81" s="185"/>
      <c r="J81" s="302"/>
      <c r="K81" s="302"/>
      <c r="L81" s="835" t="s">
        <v>354</v>
      </c>
      <c r="M81" s="297" t="s">
        <v>311</v>
      </c>
      <c r="N81" s="296">
        <f>(M55)</f>
        <v>0</v>
      </c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7"/>
    </row>
    <row r="82" spans="2:44" ht="16.2" thickBot="1">
      <c r="B82" s="184" t="str">
        <f>+B72</f>
        <v>Electricité 
achetée</v>
      </c>
      <c r="C82" s="183">
        <f t="shared" ref="C82:D86" si="4">C72</f>
        <v>3000000</v>
      </c>
      <c r="D82" s="183" t="str">
        <f t="shared" si="4"/>
        <v>kWh</v>
      </c>
      <c r="E82" s="211">
        <f>Paramètres!C$12</f>
        <v>0.216</v>
      </c>
      <c r="F82" s="145" t="str">
        <f>"kgCO2/"&amp;D82</f>
        <v>kgCO2/kWh</v>
      </c>
      <c r="G82" s="182">
        <f>+C82*E82</f>
        <v>648000</v>
      </c>
      <c r="H82" s="181" t="s">
        <v>355</v>
      </c>
      <c r="J82" s="302"/>
      <c r="K82" s="302"/>
      <c r="L82" s="836"/>
      <c r="M82" s="310" t="s">
        <v>314</v>
      </c>
      <c r="N82" s="290">
        <f>M56</f>
        <v>0</v>
      </c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16"/>
    </row>
    <row r="83" spans="2:44" ht="15.6">
      <c r="B83" s="184" t="str">
        <f>+B73</f>
        <v>Gaz Naturel</v>
      </c>
      <c r="C83" s="183">
        <f t="shared" si="4"/>
        <v>0</v>
      </c>
      <c r="D83" s="183" t="str">
        <f t="shared" si="4"/>
        <v>kWhs</v>
      </c>
      <c r="E83" s="211">
        <f>Paramètres!D$12</f>
        <v>0.218</v>
      </c>
      <c r="F83" s="145" t="str">
        <f t="shared" ref="F83:F86" si="5">"kgCO2/"&amp;D83</f>
        <v>kgCO2/kWhs</v>
      </c>
      <c r="G83" s="182">
        <f>+C83*E83</f>
        <v>0</v>
      </c>
      <c r="H83" s="181" t="s">
        <v>355</v>
      </c>
      <c r="I83" s="81"/>
      <c r="J83" s="302"/>
      <c r="K83" s="302"/>
      <c r="L83" s="837" t="s">
        <v>356</v>
      </c>
      <c r="M83" s="297" t="s">
        <v>357</v>
      </c>
      <c r="N83" s="290">
        <f>M57+M58</f>
        <v>0</v>
      </c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16"/>
    </row>
    <row r="84" spans="2:44" ht="15.6">
      <c r="B84" s="184" t="str">
        <f>+B74</f>
        <v>Biogaz</v>
      </c>
      <c r="C84" s="183">
        <f t="shared" si="4"/>
        <v>0</v>
      </c>
      <c r="D84" s="183" t="str">
        <f t="shared" si="4"/>
        <v>kWhs</v>
      </c>
      <c r="E84" s="211">
        <f>Paramètres!F$12</f>
        <v>0</v>
      </c>
      <c r="F84" s="145" t="str">
        <f t="shared" ref="F84" si="6">"kgCO2/"&amp;D84</f>
        <v>kgCO2/kWhs</v>
      </c>
      <c r="G84" s="182">
        <f>+C84*E84</f>
        <v>0</v>
      </c>
      <c r="H84" s="181" t="s">
        <v>355</v>
      </c>
      <c r="I84" s="81"/>
      <c r="J84" s="302"/>
      <c r="K84" s="302"/>
      <c r="L84" s="836"/>
      <c r="M84" s="310"/>
      <c r="N84" s="290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16"/>
    </row>
    <row r="85" spans="2:44" ht="16.2" thickBot="1">
      <c r="B85" s="184" t="str">
        <f>+B75</f>
        <v>Elec SER</v>
      </c>
      <c r="C85" s="183">
        <f t="shared" si="4"/>
        <v>0</v>
      </c>
      <c r="D85" s="183" t="str">
        <f t="shared" si="4"/>
        <v>kWh</v>
      </c>
      <c r="E85" s="211">
        <f>Paramètres!G$12</f>
        <v>0</v>
      </c>
      <c r="F85" s="145" t="str">
        <f t="shared" si="5"/>
        <v>kgCO2/kWh</v>
      </c>
      <c r="G85" s="182">
        <f>+C85*E85</f>
        <v>0</v>
      </c>
      <c r="H85" s="181" t="s">
        <v>355</v>
      </c>
      <c r="J85" s="302"/>
      <c r="K85" s="302"/>
      <c r="L85" s="838"/>
      <c r="M85" s="315" t="s">
        <v>358</v>
      </c>
      <c r="N85" s="278"/>
      <c r="O85" s="277" t="str">
        <f t="shared" ref="O85:Y85" si="7">IF(O80&lt;=$M$63,$M$62,"")</f>
        <v/>
      </c>
      <c r="P85" s="277" t="str">
        <f t="shared" si="7"/>
        <v/>
      </c>
      <c r="Q85" s="277" t="str">
        <f t="shared" si="7"/>
        <v/>
      </c>
      <c r="R85" s="277" t="str">
        <f t="shared" si="7"/>
        <v/>
      </c>
      <c r="S85" s="277" t="str">
        <f t="shared" si="7"/>
        <v/>
      </c>
      <c r="T85" s="277" t="str">
        <f t="shared" si="7"/>
        <v/>
      </c>
      <c r="U85" s="277" t="str">
        <f t="shared" si="7"/>
        <v/>
      </c>
      <c r="V85" s="277" t="str">
        <f t="shared" si="7"/>
        <v/>
      </c>
      <c r="W85" s="277" t="str">
        <f t="shared" si="7"/>
        <v/>
      </c>
      <c r="X85" s="277" t="str">
        <f t="shared" si="7"/>
        <v/>
      </c>
      <c r="Y85" s="277" t="str">
        <f t="shared" si="7"/>
        <v/>
      </c>
      <c r="Z85" s="277" t="str">
        <f t="shared" ref="Z85:AR85" si="8">IF(X80&lt;=$M$63,$M$62,"")</f>
        <v/>
      </c>
      <c r="AA85" s="277" t="str">
        <f t="shared" si="8"/>
        <v/>
      </c>
      <c r="AB85" s="277" t="str">
        <f t="shared" si="8"/>
        <v/>
      </c>
      <c r="AC85" s="277" t="str">
        <f t="shared" si="8"/>
        <v/>
      </c>
      <c r="AD85" s="277" t="str">
        <f t="shared" si="8"/>
        <v/>
      </c>
      <c r="AE85" s="277" t="str">
        <f t="shared" si="8"/>
        <v/>
      </c>
      <c r="AF85" s="277" t="str">
        <f t="shared" si="8"/>
        <v/>
      </c>
      <c r="AG85" s="277" t="str">
        <f t="shared" si="8"/>
        <v/>
      </c>
      <c r="AH85" s="277" t="str">
        <f t="shared" si="8"/>
        <v/>
      </c>
      <c r="AI85" s="277" t="str">
        <f t="shared" si="8"/>
        <v/>
      </c>
      <c r="AJ85" s="277" t="str">
        <f t="shared" si="8"/>
        <v/>
      </c>
      <c r="AK85" s="277" t="str">
        <f t="shared" si="8"/>
        <v/>
      </c>
      <c r="AL85" s="277" t="str">
        <f t="shared" si="8"/>
        <v/>
      </c>
      <c r="AM85" s="277" t="str">
        <f t="shared" si="8"/>
        <v/>
      </c>
      <c r="AN85" s="277" t="str">
        <f t="shared" si="8"/>
        <v/>
      </c>
      <c r="AO85" s="277" t="str">
        <f t="shared" si="8"/>
        <v/>
      </c>
      <c r="AP85" s="277" t="str">
        <f t="shared" si="8"/>
        <v/>
      </c>
      <c r="AQ85" s="277" t="str">
        <f t="shared" si="8"/>
        <v/>
      </c>
      <c r="AR85" s="276" t="str">
        <f t="shared" si="8"/>
        <v/>
      </c>
    </row>
    <row r="86" spans="2:44" ht="16.2" thickBot="1">
      <c r="B86" s="184" t="str">
        <f>+B76</f>
        <v>Process</v>
      </c>
      <c r="C86" s="183">
        <f t="shared" si="4"/>
        <v>0</v>
      </c>
      <c r="D86" s="183" t="str">
        <f t="shared" si="4"/>
        <v>kgCO2</v>
      </c>
      <c r="E86" s="211">
        <f>Paramètres!H$12</f>
        <v>1</v>
      </c>
      <c r="F86" s="145" t="str">
        <f t="shared" si="5"/>
        <v>kgCO2/kgCO2</v>
      </c>
      <c r="G86" s="182">
        <f>+C86*E86</f>
        <v>0</v>
      </c>
      <c r="H86" s="181" t="s">
        <v>355</v>
      </c>
      <c r="J86" s="302"/>
      <c r="K86" s="302"/>
      <c r="L86" s="312"/>
      <c r="M86" s="292"/>
      <c r="N86" s="278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6"/>
    </row>
    <row r="87" spans="2:44" ht="16.2" thickBot="1">
      <c r="B87" s="824" t="s">
        <v>359</v>
      </c>
      <c r="C87" s="825"/>
      <c r="D87" s="825"/>
      <c r="E87" s="825"/>
      <c r="F87" s="825"/>
      <c r="G87" s="180">
        <f>SUM(G82:G85)</f>
        <v>648000</v>
      </c>
      <c r="H87" s="179" t="s">
        <v>355</v>
      </c>
      <c r="J87" s="302"/>
      <c r="K87" s="302"/>
      <c r="L87" s="314" t="s">
        <v>360</v>
      </c>
      <c r="M87" s="313" t="s">
        <v>360</v>
      </c>
      <c r="N87" s="278"/>
      <c r="O87" s="277">
        <f>IF(O80&lt;=$K$16,($M$61+$M$64+$M$65+$M$66+$M$67+$M$68+$M$69+$M$70+$M$71+$M$72),"")</f>
        <v>0</v>
      </c>
      <c r="P87" s="277">
        <f>IF(P80&lt;=$K$16,('AA1'!O87*(1+Paramètres!$B$20)),"")</f>
        <v>0</v>
      </c>
      <c r="Q87" s="277">
        <f>IF(Q80&lt;=$K$16,('AA1'!P87*(1+Paramètres!$B$20)),"")</f>
        <v>0</v>
      </c>
      <c r="R87" s="277">
        <f>IF(R80&lt;=$K$16,('AA1'!Q87*(1+Paramètres!$B$20)),"")</f>
        <v>0</v>
      </c>
      <c r="S87" s="277">
        <f>IF(S80&lt;=$K$16,('AA1'!R87*(1+Paramètres!$B$20)),"")</f>
        <v>0</v>
      </c>
      <c r="T87" s="277">
        <f>IF(T80&lt;=$K$16,('AA1'!S87*(1+Paramètres!$B$20)),"")</f>
        <v>0</v>
      </c>
      <c r="U87" s="277">
        <f>IF(U80&lt;=$K$16,('AA1'!T87*(1+Paramètres!$B$20)),"")</f>
        <v>0</v>
      </c>
      <c r="V87" s="277">
        <f>IF(V80&lt;=$K$16,('AA1'!U87*(1+Paramètres!$B$20)),"")</f>
        <v>0</v>
      </c>
      <c r="W87" s="277">
        <f>IF(W80&lt;=$K$16,('AA1'!V87*(1+Paramètres!$B$20)),"")</f>
        <v>0</v>
      </c>
      <c r="X87" s="277">
        <f>IF(X80&lt;=$K$16,('AA1'!W87*(1+Paramètres!$B$20)),"")</f>
        <v>0</v>
      </c>
      <c r="Y87" s="277">
        <f>IF(Y80&lt;=$K$16,('AA1'!X87*(1+Paramètres!$B$20)),"")</f>
        <v>0</v>
      </c>
      <c r="Z87" s="277">
        <f>IF(Z80&lt;=$K$16,('AA1'!Y87*(1+Paramètres!$B$20)),"")</f>
        <v>0</v>
      </c>
      <c r="AA87" s="277">
        <f>IF(AA80&lt;=$K$16,('AA1'!Z87*(1+Paramètres!$B$20)),"")</f>
        <v>0</v>
      </c>
      <c r="AB87" s="277">
        <f>IF(AB80&lt;=$K$16,('AA1'!AA87*(1+Paramètres!$B$20)),"")</f>
        <v>0</v>
      </c>
      <c r="AC87" s="277">
        <f>IF(AC80&lt;=$K$16,('AA1'!AB87*(1+Paramètres!$B$20)),"")</f>
        <v>0</v>
      </c>
      <c r="AD87" s="277" t="str">
        <f>IF(AD80&lt;=$K$16,('AA1'!AC87*(1+Paramètres!$B$20)),"")</f>
        <v/>
      </c>
      <c r="AE87" s="277" t="str">
        <f>IF(AE80&lt;=$K$16,('AA1'!AD87*(1+Paramètres!$B$20)),"")</f>
        <v/>
      </c>
      <c r="AF87" s="277" t="str">
        <f>IF(AF80&lt;=$K$16,('AA1'!AE87*(1+Paramètres!$B$20)),"")</f>
        <v/>
      </c>
      <c r="AG87" s="277" t="str">
        <f>IF(AG80&lt;=$K$16,('AA1'!AF87*(1+Paramètres!$B$20)),"")</f>
        <v/>
      </c>
      <c r="AH87" s="277" t="str">
        <f>IF(AH80&lt;=$K$16,('AA1'!AG87*(1+Paramètres!$B$20)),"")</f>
        <v/>
      </c>
      <c r="AI87" s="277" t="str">
        <f>IF(AI80&lt;=$K$16,('AA1'!AH87*(1+Paramètres!$B$20)),"")</f>
        <v/>
      </c>
      <c r="AJ87" s="277" t="str">
        <f>IF(AJ80&lt;=$K$16,('AA1'!AI87*(1+Paramètres!$B$20)),"")</f>
        <v/>
      </c>
      <c r="AK87" s="277" t="str">
        <f>IF(AK80&lt;=$K$16,('AA1'!AJ87*(1+Paramètres!$B$20)),"")</f>
        <v/>
      </c>
      <c r="AL87" s="277" t="str">
        <f>IF(AL80&lt;=$K$16,('AA1'!AK87*(1+Paramètres!$B$20)),"")</f>
        <v/>
      </c>
      <c r="AM87" s="277" t="str">
        <f>IF(AM80&lt;=$K$16,('AA1'!AL87*(1+Paramètres!$B$20)),"")</f>
        <v/>
      </c>
      <c r="AN87" s="277" t="str">
        <f>IF(AN80&lt;=$K$16,('AA1'!AM87*(1+Paramètres!$B$20)),"")</f>
        <v/>
      </c>
      <c r="AO87" s="277" t="str">
        <f>IF(AO80&lt;=$K$16,('AA1'!AN87*(1+Paramètres!$B$20)),"")</f>
        <v/>
      </c>
      <c r="AP87" s="277" t="str">
        <f>IF(AP80&lt;=$K$16,('AA1'!AO87*(1+Paramètres!$B$20)),"")</f>
        <v/>
      </c>
      <c r="AQ87" s="277" t="str">
        <f>IF(AQ80&lt;=$K$16,('AA1'!AP87*(1+Paramètres!$B$20)),"")</f>
        <v/>
      </c>
      <c r="AR87" s="276" t="str">
        <f>IF(AR80&lt;=$K$16,('AA1'!AQ87*(1+Paramètres!$B$20)),"")</f>
        <v/>
      </c>
    </row>
    <row r="88" spans="2:44" ht="13.8" thickBot="1">
      <c r="G88" s="217">
        <f>G87/'2023'!H36</f>
        <v>2.3641006931776724E-2</v>
      </c>
      <c r="H88" s="144">
        <f>G87/'2023'!H36</f>
        <v>2.3641006931776724E-2</v>
      </c>
      <c r="J88" s="302"/>
      <c r="K88" s="302"/>
      <c r="L88" s="312" t="s">
        <v>361</v>
      </c>
      <c r="M88" s="292" t="s">
        <v>319</v>
      </c>
      <c r="N88" s="265" t="str">
        <f t="shared" ref="N88:AR88" si="9">IF(N80=$K$16,$M$59,"")</f>
        <v/>
      </c>
      <c r="O88" s="264" t="str">
        <f t="shared" si="9"/>
        <v/>
      </c>
      <c r="P88" s="264" t="str">
        <f t="shared" si="9"/>
        <v/>
      </c>
      <c r="Q88" s="264" t="str">
        <f t="shared" si="9"/>
        <v/>
      </c>
      <c r="R88" s="264" t="str">
        <f t="shared" si="9"/>
        <v/>
      </c>
      <c r="S88" s="264" t="str">
        <f t="shared" si="9"/>
        <v/>
      </c>
      <c r="T88" s="264" t="str">
        <f t="shared" si="9"/>
        <v/>
      </c>
      <c r="U88" s="264" t="str">
        <f t="shared" si="9"/>
        <v/>
      </c>
      <c r="V88" s="264" t="str">
        <f t="shared" si="9"/>
        <v/>
      </c>
      <c r="W88" s="264" t="str">
        <f t="shared" si="9"/>
        <v/>
      </c>
      <c r="X88" s="264" t="str">
        <f t="shared" si="9"/>
        <v/>
      </c>
      <c r="Y88" s="264" t="str">
        <f t="shared" si="9"/>
        <v/>
      </c>
      <c r="Z88" s="264" t="str">
        <f t="shared" si="9"/>
        <v/>
      </c>
      <c r="AA88" s="264" t="str">
        <f t="shared" si="9"/>
        <v/>
      </c>
      <c r="AB88" s="264" t="str">
        <f t="shared" si="9"/>
        <v/>
      </c>
      <c r="AC88" s="264">
        <f t="shared" si="9"/>
        <v>0</v>
      </c>
      <c r="AD88" s="264" t="str">
        <f t="shared" si="9"/>
        <v/>
      </c>
      <c r="AE88" s="264" t="str">
        <f t="shared" si="9"/>
        <v/>
      </c>
      <c r="AF88" s="264" t="str">
        <f t="shared" si="9"/>
        <v/>
      </c>
      <c r="AG88" s="264" t="str">
        <f t="shared" si="9"/>
        <v/>
      </c>
      <c r="AH88" s="264" t="str">
        <f t="shared" si="9"/>
        <v/>
      </c>
      <c r="AI88" s="264" t="str">
        <f t="shared" si="9"/>
        <v/>
      </c>
      <c r="AJ88" s="264" t="str">
        <f t="shared" si="9"/>
        <v/>
      </c>
      <c r="AK88" s="264" t="str">
        <f t="shared" si="9"/>
        <v/>
      </c>
      <c r="AL88" s="264" t="str">
        <f t="shared" si="9"/>
        <v/>
      </c>
      <c r="AM88" s="264" t="str">
        <f t="shared" si="9"/>
        <v/>
      </c>
      <c r="AN88" s="264" t="str">
        <f t="shared" si="9"/>
        <v/>
      </c>
      <c r="AO88" s="264" t="str">
        <f t="shared" si="9"/>
        <v/>
      </c>
      <c r="AP88" s="264" t="str">
        <f t="shared" si="9"/>
        <v/>
      </c>
      <c r="AQ88" s="264" t="str">
        <f t="shared" si="9"/>
        <v/>
      </c>
      <c r="AR88" s="263" t="str">
        <f t="shared" si="9"/>
        <v/>
      </c>
    </row>
    <row r="89" spans="2:44" ht="13.8" thickBot="1">
      <c r="J89" s="302"/>
      <c r="K89" s="302"/>
      <c r="L89" s="839" t="s">
        <v>362</v>
      </c>
      <c r="M89" s="840"/>
      <c r="N89" s="260" t="str">
        <f t="shared" ref="N89:AR89" si="10">IF(SUM(N81:N88)=0,"",SUM(N81:N88))</f>
        <v/>
      </c>
      <c r="O89" s="259" t="str">
        <f t="shared" si="10"/>
        <v/>
      </c>
      <c r="P89" s="259" t="str">
        <f t="shared" si="10"/>
        <v/>
      </c>
      <c r="Q89" s="259" t="str">
        <f t="shared" si="10"/>
        <v/>
      </c>
      <c r="R89" s="259" t="str">
        <f t="shared" si="10"/>
        <v/>
      </c>
      <c r="S89" s="259" t="str">
        <f t="shared" si="10"/>
        <v/>
      </c>
      <c r="T89" s="259" t="str">
        <f t="shared" si="10"/>
        <v/>
      </c>
      <c r="U89" s="259" t="str">
        <f t="shared" si="10"/>
        <v/>
      </c>
      <c r="V89" s="259" t="str">
        <f t="shared" si="10"/>
        <v/>
      </c>
      <c r="W89" s="259" t="str">
        <f t="shared" si="10"/>
        <v/>
      </c>
      <c r="X89" s="259" t="str">
        <f t="shared" si="10"/>
        <v/>
      </c>
      <c r="Y89" s="259" t="str">
        <f t="shared" si="10"/>
        <v/>
      </c>
      <c r="Z89" s="259" t="str">
        <f t="shared" si="10"/>
        <v/>
      </c>
      <c r="AA89" s="259" t="str">
        <f t="shared" si="10"/>
        <v/>
      </c>
      <c r="AB89" s="259" t="str">
        <f t="shared" si="10"/>
        <v/>
      </c>
      <c r="AC89" s="259" t="str">
        <f t="shared" si="10"/>
        <v/>
      </c>
      <c r="AD89" s="259" t="str">
        <f t="shared" si="10"/>
        <v/>
      </c>
      <c r="AE89" s="259" t="str">
        <f t="shared" si="10"/>
        <v/>
      </c>
      <c r="AF89" s="259" t="str">
        <f t="shared" si="10"/>
        <v/>
      </c>
      <c r="AG89" s="259" t="str">
        <f t="shared" si="10"/>
        <v/>
      </c>
      <c r="AH89" s="259" t="str">
        <f t="shared" si="10"/>
        <v/>
      </c>
      <c r="AI89" s="259" t="str">
        <f t="shared" si="10"/>
        <v/>
      </c>
      <c r="AJ89" s="259" t="str">
        <f t="shared" si="10"/>
        <v/>
      </c>
      <c r="AK89" s="259" t="str">
        <f t="shared" si="10"/>
        <v/>
      </c>
      <c r="AL89" s="259" t="str">
        <f t="shared" si="10"/>
        <v/>
      </c>
      <c r="AM89" s="259" t="str">
        <f t="shared" si="10"/>
        <v/>
      </c>
      <c r="AN89" s="259" t="str">
        <f t="shared" si="10"/>
        <v/>
      </c>
      <c r="AO89" s="259" t="str">
        <f t="shared" si="10"/>
        <v/>
      </c>
      <c r="AP89" s="259" t="str">
        <f t="shared" si="10"/>
        <v/>
      </c>
      <c r="AQ89" s="259" t="str">
        <f t="shared" si="10"/>
        <v/>
      </c>
      <c r="AR89" s="258" t="str">
        <f t="shared" si="10"/>
        <v/>
      </c>
    </row>
    <row r="90" spans="2:44" ht="13.8" thickBot="1">
      <c r="J90" s="302"/>
      <c r="K90" s="302"/>
      <c r="L90" s="841" t="s">
        <v>363</v>
      </c>
      <c r="M90" s="842"/>
      <c r="N90" s="260" t="str">
        <f>IF(N89="","",((N89)/(1+Paramètres!$B$19)^N80))</f>
        <v/>
      </c>
      <c r="O90" s="259" t="str">
        <f>IF(O89="","",((O89)/(1+Paramètres!$B$19)^O80))</f>
        <v/>
      </c>
      <c r="P90" s="259" t="str">
        <f>IF(P89="","",((P89)/(1+Paramètres!$B$19)^P80))</f>
        <v/>
      </c>
      <c r="Q90" s="259" t="str">
        <f>IF(Q89="","",((Q89)/(1+Paramètres!$B$19)^Q80))</f>
        <v/>
      </c>
      <c r="R90" s="259" t="str">
        <f>IF(R89="","",((R89)/(1+Paramètres!$B$19)^R80))</f>
        <v/>
      </c>
      <c r="S90" s="259" t="str">
        <f>IF(S89="","",((S89)/(1+Paramètres!$B$19)^S80))</f>
        <v/>
      </c>
      <c r="T90" s="259" t="str">
        <f>IF(T89="","",((T89)/(1+Paramètres!$B$19)^T80))</f>
        <v/>
      </c>
      <c r="U90" s="259" t="str">
        <f>IF(U89="","",((U89)/(1+Paramètres!$B$19)^U80))</f>
        <v/>
      </c>
      <c r="V90" s="259" t="str">
        <f>IF(V89="","",((V89)/(1+Paramètres!$B$19)^V80))</f>
        <v/>
      </c>
      <c r="W90" s="259" t="str">
        <f>IF(W89="","",((W89)/(1+Paramètres!$B$19)^W80))</f>
        <v/>
      </c>
      <c r="X90" s="259" t="str">
        <f>IF(X89="","",((X89)/(1+Paramètres!$B$19)^X80))</f>
        <v/>
      </c>
      <c r="Y90" s="259" t="str">
        <f>IF(Y89="","",((Y89)/(1+Paramètres!$B$19)^Y80))</f>
        <v/>
      </c>
      <c r="Z90" s="259" t="str">
        <f>IF(Z89="","",((Z89)/(1+Paramètres!$B$19)^Z80))</f>
        <v/>
      </c>
      <c r="AA90" s="259" t="str">
        <f>IF(AA89="","",((AA89)/(1+Paramètres!$B$19)^AA80))</f>
        <v/>
      </c>
      <c r="AB90" s="259" t="str">
        <f>IF(AB89="","",((AB89)/(1+Paramètres!$B$19)^AB80))</f>
        <v/>
      </c>
      <c r="AC90" s="259" t="str">
        <f>IF(AC89="","",((AC89)/(1+Paramètres!$B$19)^AC80))</f>
        <v/>
      </c>
      <c r="AD90" s="259" t="str">
        <f>IF(AD89="","",((AD89)/(1+Paramètres!$B$19)^AD80))</f>
        <v/>
      </c>
      <c r="AE90" s="259" t="str">
        <f>IF(AE89="","",((AE89)/(1+Paramètres!$B$19)^AE80))</f>
        <v/>
      </c>
      <c r="AF90" s="259" t="str">
        <f>IF(AF89="","",((AF89)/(1+Paramètres!$B$19)^AF80))</f>
        <v/>
      </c>
      <c r="AG90" s="259" t="str">
        <f>IF(AG89="","",((AG89)/(1+Paramètres!$B$19)^AG80))</f>
        <v/>
      </c>
      <c r="AH90" s="259" t="str">
        <f>IF(AH89="","",((AH89)/(1+Paramètres!$B$19)^AH80))</f>
        <v/>
      </c>
      <c r="AI90" s="259" t="str">
        <f>IF(AI89="","",((AI89)/(1+Paramètres!$B$19)^AI80))</f>
        <v/>
      </c>
      <c r="AJ90" s="259" t="str">
        <f>IF(AJ89="","",((AJ89)/(1+Paramètres!$B$19)^AJ80))</f>
        <v/>
      </c>
      <c r="AK90" s="259" t="str">
        <f>IF(AK89="","",((AK89)/(1+Paramètres!$B$19)^AK80))</f>
        <v/>
      </c>
      <c r="AL90" s="259" t="str">
        <f>IF(AL89="","",((AL89)/(1+Paramètres!$B$19)^AL80))</f>
        <v/>
      </c>
      <c r="AM90" s="259" t="str">
        <f>IF(AM89="","",((AM89)/(1+Paramètres!$B$19)^AM80))</f>
        <v/>
      </c>
      <c r="AN90" s="259" t="str">
        <f>IF(AN89="","",((AN89)/(1+Paramètres!$B$19)^AN80))</f>
        <v/>
      </c>
      <c r="AO90" s="259" t="str">
        <f>IF(AO89="","",((AO89)/(1+Paramètres!$B$19)^AO80))</f>
        <v/>
      </c>
      <c r="AP90" s="259" t="str">
        <f>IF(AP89="","",((AP89)/(1+Paramètres!$B$19)^AP80))</f>
        <v/>
      </c>
      <c r="AQ90" s="259" t="str">
        <f>IF(AQ89="","",((AQ89)/(1+Paramètres!$B$19)^AQ80))</f>
        <v/>
      </c>
      <c r="AR90" s="258" t="str">
        <f>IF(AR89="","",((AR89)/(1+Paramètres!$B$19)^AR80))</f>
        <v/>
      </c>
    </row>
    <row r="91" spans="2:44" ht="13.8" thickBot="1">
      <c r="J91" s="302"/>
      <c r="K91" s="302"/>
      <c r="L91" s="841" t="s">
        <v>364</v>
      </c>
      <c r="M91" s="842"/>
      <c r="N91" s="257" t="str">
        <f>N90</f>
        <v/>
      </c>
      <c r="O91" s="256" t="str">
        <f t="shared" ref="O91:AR91" si="11">IF(O90="","",((N91+O90)))</f>
        <v/>
      </c>
      <c r="P91" s="256" t="str">
        <f t="shared" si="11"/>
        <v/>
      </c>
      <c r="Q91" s="256" t="str">
        <f t="shared" si="11"/>
        <v/>
      </c>
      <c r="R91" s="256" t="str">
        <f t="shared" si="11"/>
        <v/>
      </c>
      <c r="S91" s="256" t="str">
        <f t="shared" si="11"/>
        <v/>
      </c>
      <c r="T91" s="256" t="str">
        <f t="shared" si="11"/>
        <v/>
      </c>
      <c r="U91" s="256" t="str">
        <f t="shared" si="11"/>
        <v/>
      </c>
      <c r="V91" s="256" t="str">
        <f t="shared" si="11"/>
        <v/>
      </c>
      <c r="W91" s="256" t="str">
        <f t="shared" si="11"/>
        <v/>
      </c>
      <c r="X91" s="256" t="str">
        <f t="shared" si="11"/>
        <v/>
      </c>
      <c r="Y91" s="256" t="str">
        <f t="shared" si="11"/>
        <v/>
      </c>
      <c r="Z91" s="256" t="str">
        <f t="shared" si="11"/>
        <v/>
      </c>
      <c r="AA91" s="256" t="str">
        <f t="shared" si="11"/>
        <v/>
      </c>
      <c r="AB91" s="256" t="str">
        <f t="shared" si="11"/>
        <v/>
      </c>
      <c r="AC91" s="256" t="str">
        <f t="shared" si="11"/>
        <v/>
      </c>
      <c r="AD91" s="256" t="str">
        <f t="shared" si="11"/>
        <v/>
      </c>
      <c r="AE91" s="256" t="str">
        <f t="shared" si="11"/>
        <v/>
      </c>
      <c r="AF91" s="256" t="str">
        <f t="shared" si="11"/>
        <v/>
      </c>
      <c r="AG91" s="256" t="str">
        <f t="shared" si="11"/>
        <v/>
      </c>
      <c r="AH91" s="256" t="str">
        <f t="shared" si="11"/>
        <v/>
      </c>
      <c r="AI91" s="256" t="str">
        <f t="shared" si="11"/>
        <v/>
      </c>
      <c r="AJ91" s="256" t="str">
        <f t="shared" si="11"/>
        <v/>
      </c>
      <c r="AK91" s="256" t="str">
        <f t="shared" si="11"/>
        <v/>
      </c>
      <c r="AL91" s="256" t="str">
        <f t="shared" si="11"/>
        <v/>
      </c>
      <c r="AM91" s="256" t="str">
        <f t="shared" si="11"/>
        <v/>
      </c>
      <c r="AN91" s="256" t="str">
        <f t="shared" si="11"/>
        <v/>
      </c>
      <c r="AO91" s="256" t="str">
        <f t="shared" si="11"/>
        <v/>
      </c>
      <c r="AP91" s="256" t="str">
        <f t="shared" si="11"/>
        <v/>
      </c>
      <c r="AQ91" s="256" t="str">
        <f t="shared" si="11"/>
        <v/>
      </c>
      <c r="AR91" s="255" t="str">
        <f t="shared" si="11"/>
        <v/>
      </c>
    </row>
    <row r="92" spans="2:44" ht="13.8" thickBot="1">
      <c r="J92" s="302"/>
      <c r="K92" s="302"/>
      <c r="L92" s="302"/>
      <c r="M92" s="302"/>
      <c r="N92" s="302"/>
      <c r="O92" s="301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</row>
    <row r="93" spans="2:44">
      <c r="J93" s="308"/>
      <c r="K93" s="308"/>
      <c r="L93" s="254" t="s">
        <v>225</v>
      </c>
      <c r="M93" s="253" t="str">
        <f>IFERROR(IRR(N89:AR89), "PROJET NON RENTABLE")</f>
        <v>PROJET NON RENTABLE</v>
      </c>
      <c r="N93" s="309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</row>
    <row r="94" spans="2:44" ht="13.8" thickBot="1">
      <c r="J94" s="305"/>
      <c r="K94" s="305"/>
      <c r="L94" s="252" t="s">
        <v>224</v>
      </c>
      <c r="M94" s="412" cm="1">
        <f t="array" ref="M94">IFERROR(INDEX(N80:AR80,MATCH(TRUE,N91:AR91&gt;0,0)),"PROJET NON RENTABLE")</f>
        <v>0</v>
      </c>
      <c r="N94" s="307"/>
      <c r="O94" s="305"/>
      <c r="P94" s="305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</row>
    <row r="95" spans="2:44">
      <c r="J95" s="302"/>
      <c r="K95" s="302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</row>
    <row r="96" spans="2:44" ht="13.8" thickBot="1">
      <c r="J96" s="302"/>
      <c r="K96" s="302"/>
      <c r="L96" s="302"/>
      <c r="M96" s="303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</row>
    <row r="97" spans="10:44" ht="16.2" thickBot="1">
      <c r="J97" s="826" t="s">
        <v>365</v>
      </c>
      <c r="K97" s="827"/>
      <c r="L97" s="827"/>
      <c r="M97" s="827"/>
      <c r="N97" s="827"/>
      <c r="O97" s="827"/>
      <c r="P97" s="827"/>
      <c r="Q97" s="827"/>
      <c r="R97" s="827"/>
      <c r="S97" s="827"/>
      <c r="T97" s="827"/>
      <c r="U97" s="827"/>
      <c r="V97" s="827"/>
      <c r="W97" s="827"/>
      <c r="X97" s="827"/>
      <c r="Y97" s="827"/>
      <c r="Z97" s="827"/>
      <c r="AA97" s="827"/>
      <c r="AB97" s="827"/>
      <c r="AC97" s="827"/>
      <c r="AD97" s="827"/>
      <c r="AE97" s="827"/>
      <c r="AF97" s="827"/>
      <c r="AG97" s="827"/>
      <c r="AH97" s="827"/>
      <c r="AI97" s="827"/>
      <c r="AJ97" s="827"/>
      <c r="AK97" s="827"/>
      <c r="AL97" s="827"/>
      <c r="AM97" s="827"/>
      <c r="AN97" s="827"/>
      <c r="AO97" s="827"/>
      <c r="AP97" s="827"/>
      <c r="AQ97" s="827"/>
      <c r="AR97" s="828"/>
    </row>
    <row r="98" spans="10:44" ht="21" thickBot="1"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1"/>
      <c r="AE98" s="261"/>
      <c r="AF98" s="261"/>
      <c r="AG98" s="261"/>
      <c r="AH98" s="261"/>
      <c r="AI98" s="261"/>
      <c r="AJ98" s="261"/>
      <c r="AK98" s="261"/>
      <c r="AL98" s="261"/>
      <c r="AM98" s="261"/>
      <c r="AN98" s="261"/>
      <c r="AO98" s="261"/>
      <c r="AP98" s="261"/>
      <c r="AQ98" s="261"/>
      <c r="AR98" s="261"/>
    </row>
    <row r="99" spans="10:44" ht="16.2" thickBot="1">
      <c r="J99" s="262"/>
      <c r="K99" s="262"/>
      <c r="L99" s="302"/>
      <c r="M99" s="301"/>
      <c r="N99" s="831" t="s">
        <v>366</v>
      </c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3"/>
    </row>
    <row r="100" spans="10:44" ht="16.2" thickBot="1">
      <c r="J100" s="262"/>
      <c r="K100" s="262"/>
      <c r="L100" s="302"/>
      <c r="M100" s="301"/>
      <c r="N100" s="300">
        <v>0</v>
      </c>
      <c r="O100" s="299">
        <v>1</v>
      </c>
      <c r="P100" s="299">
        <v>2</v>
      </c>
      <c r="Q100" s="299">
        <v>3</v>
      </c>
      <c r="R100" s="299">
        <v>4</v>
      </c>
      <c r="S100" s="299">
        <v>5</v>
      </c>
      <c r="T100" s="299">
        <v>6</v>
      </c>
      <c r="U100" s="299">
        <v>7</v>
      </c>
      <c r="V100" s="299">
        <v>8</v>
      </c>
      <c r="W100" s="299">
        <v>9</v>
      </c>
      <c r="X100" s="299">
        <v>10</v>
      </c>
      <c r="Y100" s="299">
        <v>11</v>
      </c>
      <c r="Z100" s="299">
        <v>12</v>
      </c>
      <c r="AA100" s="299">
        <v>13</v>
      </c>
      <c r="AB100" s="299">
        <v>14</v>
      </c>
      <c r="AC100" s="299">
        <v>15</v>
      </c>
      <c r="AD100" s="299">
        <v>16</v>
      </c>
      <c r="AE100" s="299">
        <v>17</v>
      </c>
      <c r="AF100" s="299">
        <v>18</v>
      </c>
      <c r="AG100" s="299">
        <v>19</v>
      </c>
      <c r="AH100" s="299">
        <v>20</v>
      </c>
      <c r="AI100" s="299">
        <v>21</v>
      </c>
      <c r="AJ100" s="299">
        <v>22</v>
      </c>
      <c r="AK100" s="299">
        <v>23</v>
      </c>
      <c r="AL100" s="299">
        <v>24</v>
      </c>
      <c r="AM100" s="299">
        <v>25</v>
      </c>
      <c r="AN100" s="299">
        <v>26</v>
      </c>
      <c r="AO100" s="299">
        <v>27</v>
      </c>
      <c r="AP100" s="299">
        <v>28</v>
      </c>
      <c r="AQ100" s="299">
        <v>29</v>
      </c>
      <c r="AR100" s="298">
        <v>30</v>
      </c>
    </row>
    <row r="101" spans="10:44" ht="20.399999999999999">
      <c r="J101" s="262"/>
      <c r="K101" s="262"/>
      <c r="L101" s="829" t="s">
        <v>354</v>
      </c>
      <c r="M101" s="297" t="s">
        <v>311</v>
      </c>
      <c r="N101" s="296">
        <f>(M55)</f>
        <v>0</v>
      </c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3"/>
    </row>
    <row r="102" spans="10:44" ht="21" thickBot="1">
      <c r="J102" s="262"/>
      <c r="K102" s="262"/>
      <c r="L102" s="830"/>
      <c r="M102" s="292" t="s">
        <v>314</v>
      </c>
      <c r="N102" s="290">
        <f>M56</f>
        <v>0</v>
      </c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  <c r="AO102" s="261"/>
      <c r="AP102" s="261"/>
      <c r="AQ102" s="261"/>
      <c r="AR102" s="288"/>
    </row>
    <row r="103" spans="10:44" ht="20.399999999999999">
      <c r="J103" s="262"/>
      <c r="K103" s="262"/>
      <c r="L103" s="829" t="s">
        <v>356</v>
      </c>
      <c r="M103" s="291" t="s">
        <v>357</v>
      </c>
      <c r="N103" s="290">
        <f>M57+M58</f>
        <v>0</v>
      </c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  <c r="AO103" s="261"/>
      <c r="AP103" s="261"/>
      <c r="AQ103" s="261"/>
      <c r="AR103" s="288"/>
    </row>
    <row r="104" spans="10:44" ht="16.2" thickBot="1">
      <c r="J104" s="262"/>
      <c r="K104" s="262"/>
      <c r="L104" s="830"/>
      <c r="M104" s="287" t="s">
        <v>358</v>
      </c>
      <c r="N104" s="278"/>
      <c r="O104" s="277" t="str">
        <f t="shared" ref="O104:AR104" si="12">IF(O100&lt;=$M$63,$M$62,"")</f>
        <v/>
      </c>
      <c r="P104" s="277" t="str">
        <f t="shared" si="12"/>
        <v/>
      </c>
      <c r="Q104" s="277" t="str">
        <f t="shared" si="12"/>
        <v/>
      </c>
      <c r="R104" s="277" t="str">
        <f t="shared" si="12"/>
        <v/>
      </c>
      <c r="S104" s="277" t="str">
        <f t="shared" si="12"/>
        <v/>
      </c>
      <c r="T104" s="277" t="str">
        <f t="shared" si="12"/>
        <v/>
      </c>
      <c r="U104" s="277" t="str">
        <f t="shared" si="12"/>
        <v/>
      </c>
      <c r="V104" s="277" t="str">
        <f t="shared" si="12"/>
        <v/>
      </c>
      <c r="W104" s="277" t="str">
        <f t="shared" si="12"/>
        <v/>
      </c>
      <c r="X104" s="277" t="str">
        <f t="shared" si="12"/>
        <v/>
      </c>
      <c r="Y104" s="277" t="str">
        <f t="shared" si="12"/>
        <v/>
      </c>
      <c r="Z104" s="277" t="str">
        <f t="shared" si="12"/>
        <v/>
      </c>
      <c r="AA104" s="277" t="str">
        <f t="shared" si="12"/>
        <v/>
      </c>
      <c r="AB104" s="277" t="str">
        <f t="shared" si="12"/>
        <v/>
      </c>
      <c r="AC104" s="277" t="str">
        <f t="shared" si="12"/>
        <v/>
      </c>
      <c r="AD104" s="277" t="str">
        <f t="shared" si="12"/>
        <v/>
      </c>
      <c r="AE104" s="277" t="str">
        <f t="shared" si="12"/>
        <v/>
      </c>
      <c r="AF104" s="277" t="str">
        <f t="shared" si="12"/>
        <v/>
      </c>
      <c r="AG104" s="277" t="str">
        <f t="shared" si="12"/>
        <v/>
      </c>
      <c r="AH104" s="277" t="str">
        <f t="shared" si="12"/>
        <v/>
      </c>
      <c r="AI104" s="277" t="str">
        <f t="shared" si="12"/>
        <v/>
      </c>
      <c r="AJ104" s="277" t="str">
        <f t="shared" si="12"/>
        <v/>
      </c>
      <c r="AK104" s="277" t="str">
        <f t="shared" si="12"/>
        <v/>
      </c>
      <c r="AL104" s="277" t="str">
        <f t="shared" si="12"/>
        <v/>
      </c>
      <c r="AM104" s="277" t="str">
        <f t="shared" si="12"/>
        <v/>
      </c>
      <c r="AN104" s="277" t="str">
        <f t="shared" si="12"/>
        <v/>
      </c>
      <c r="AO104" s="277" t="str">
        <f t="shared" si="12"/>
        <v/>
      </c>
      <c r="AP104" s="277" t="str">
        <f t="shared" si="12"/>
        <v/>
      </c>
      <c r="AQ104" s="277" t="str">
        <f t="shared" si="12"/>
        <v/>
      </c>
      <c r="AR104" s="276" t="str">
        <f t="shared" si="12"/>
        <v/>
      </c>
    </row>
    <row r="105" spans="10:44" ht="16.2" thickBot="1">
      <c r="J105" s="262"/>
      <c r="K105" s="262"/>
      <c r="L105" s="286" t="s">
        <v>360</v>
      </c>
      <c r="M105" s="285" t="s">
        <v>360</v>
      </c>
      <c r="N105" s="274"/>
      <c r="O105" s="284">
        <f>IF(O100&lt;=$K$16,($M$61+$M$64+$M$65+$M$66+$M$67+$M$68+$M$69+$M$70+$M$71+$M$72),"")</f>
        <v>0</v>
      </c>
      <c r="P105" s="284">
        <f>IF(P100&lt;=$K$16,O105*(1+Paramètres!$B$20),"")</f>
        <v>0</v>
      </c>
      <c r="Q105" s="284">
        <f>IF(Q100&lt;=$K$16,P105*(1+Paramètres!$B$20),"")</f>
        <v>0</v>
      </c>
      <c r="R105" s="284">
        <f>IF(R100&lt;=$K$16,Q105*(1+Paramètres!$B$20),"")</f>
        <v>0</v>
      </c>
      <c r="S105" s="284">
        <f>IF(S100&lt;=$K$16,R105*(1+Paramètres!$B$20),"")</f>
        <v>0</v>
      </c>
      <c r="T105" s="284">
        <f>IF(T100&lt;=$K$16,S105*(1+Paramètres!$B$20),"")</f>
        <v>0</v>
      </c>
      <c r="U105" s="284">
        <f>IF(U100&lt;=$K$16,T105*(1+Paramètres!$B$20),"")</f>
        <v>0</v>
      </c>
      <c r="V105" s="284">
        <f>IF(V100&lt;=$K$16,U105*(1+Paramètres!$B$20),"")</f>
        <v>0</v>
      </c>
      <c r="W105" s="284">
        <f>IF(W100&lt;=$K$16,V105*(1+Paramètres!$B$20),"")</f>
        <v>0</v>
      </c>
      <c r="X105" s="284">
        <f>IF(X100&lt;=$K$16,W105*(1+Paramètres!$B$20),"")</f>
        <v>0</v>
      </c>
      <c r="Y105" s="284">
        <f>IF(Y100&lt;=$K$16,X105*(1+Paramètres!$B$20),"")</f>
        <v>0</v>
      </c>
      <c r="Z105" s="284">
        <f>IF(Z100&lt;=$K$16,Y105*(1+Paramètres!$B$20),"")</f>
        <v>0</v>
      </c>
      <c r="AA105" s="284">
        <f>IF(AA100&lt;=$K$16,Z105*(1+Paramètres!$B$20),"")</f>
        <v>0</v>
      </c>
      <c r="AB105" s="284">
        <f>IF(AB100&lt;=$K$16,AA105*(1+Paramètres!$B$20),"")</f>
        <v>0</v>
      </c>
      <c r="AC105" s="284">
        <f>IF(AC100&lt;=$K$16,AB105*(1+Paramètres!$B$20),"")</f>
        <v>0</v>
      </c>
      <c r="AD105" s="284" t="str">
        <f>IF(AD100&lt;=$K$16,AC105*(1+Paramètres!$B$20),"")</f>
        <v/>
      </c>
      <c r="AE105" s="284" t="str">
        <f>IF(AE100&lt;=$K$16,AD105*(1+Paramètres!$B$20),"")</f>
        <v/>
      </c>
      <c r="AF105" s="284" t="str">
        <f>IF(AF100&lt;=$K$16,AE105*(1+Paramètres!$B$20),"")</f>
        <v/>
      </c>
      <c r="AG105" s="284" t="str">
        <f>IF(AG100&lt;=$K$16,AF105*(1+Paramètres!$B$20),"")</f>
        <v/>
      </c>
      <c r="AH105" s="284" t="str">
        <f>IF(AH100&lt;=$K$16,AG105*(1+Paramètres!$B$20),"")</f>
        <v/>
      </c>
      <c r="AI105" s="284" t="str">
        <f>IF(AI100&lt;=$K$16,AH105*(1+Paramètres!$B$20),"")</f>
        <v/>
      </c>
      <c r="AJ105" s="284" t="str">
        <f>IF(AJ100&lt;=$K$16,AI105*(1+Paramètres!$B$20),"")</f>
        <v/>
      </c>
      <c r="AK105" s="284" t="str">
        <f>IF(AK100&lt;=$K$16,AJ105*(1+Paramètres!$B$20),"")</f>
        <v/>
      </c>
      <c r="AL105" s="284" t="str">
        <f>IF(AL100&lt;=$K$16,AK105*(1+Paramètres!$B$20),"")</f>
        <v/>
      </c>
      <c r="AM105" s="284" t="str">
        <f>IF(AM100&lt;=$K$16,AL105*(1+Paramètres!$B$20),"")</f>
        <v/>
      </c>
      <c r="AN105" s="284" t="str">
        <f>IF(AN100&lt;=$K$16,AM105*(1+Paramètres!$B$20),"")</f>
        <v/>
      </c>
      <c r="AO105" s="284" t="str">
        <f>IF(AO100&lt;=$K$16,AN105*(1+Paramètres!$B$20),"")</f>
        <v/>
      </c>
      <c r="AP105" s="284" t="str">
        <f>IF(AP100&lt;=$K$16,AO105*(1+Paramètres!$B$20),"")</f>
        <v/>
      </c>
      <c r="AQ105" s="284" t="str">
        <f>IF(AQ100&lt;=$K$16,AP105*(1+Paramètres!$B$20),"")</f>
        <v/>
      </c>
      <c r="AR105" s="283" t="str">
        <f>IF(AR100&lt;=$K$16,AQ105*(1+Paramètres!$B$20),"")</f>
        <v/>
      </c>
    </row>
    <row r="106" spans="10:44" ht="15.6">
      <c r="J106" s="262"/>
      <c r="K106" s="262"/>
      <c r="L106" s="829" t="s">
        <v>367</v>
      </c>
      <c r="M106" s="282" t="s">
        <v>46</v>
      </c>
      <c r="N106" s="281"/>
      <c r="O106" s="280">
        <f>IF(AND(O100=1,K23="OUI"),(Paramètres!$B$22*'AA1'!M55),"")</f>
        <v>0</v>
      </c>
      <c r="P106" s="280" t="str">
        <f>IF(P100=1,(Paramètres!$B$22*'AA1'!N55),"")</f>
        <v/>
      </c>
      <c r="Q106" s="280" t="str">
        <f>IF(Q100=1,(Paramètres!$B$22*'AA1'!O55),"")</f>
        <v/>
      </c>
      <c r="R106" s="280" t="str">
        <f>IF(R100=1,(Paramètres!$B$22*'AA1'!P55),"")</f>
        <v/>
      </c>
      <c r="S106" s="280" t="str">
        <f>IF(S100=1,(Paramètres!$B$22*'AA1'!Q55),"")</f>
        <v/>
      </c>
      <c r="T106" s="280" t="str">
        <f>IF(T100=1,(Paramètres!$B$22*'AA1'!R55),"")</f>
        <v/>
      </c>
      <c r="U106" s="280" t="str">
        <f>IF(U100=1,(Paramètres!$B$22*'AA1'!S55),"")</f>
        <v/>
      </c>
      <c r="V106" s="280" t="str">
        <f>IF(V100=1,(Paramètres!$B$22*'AA1'!T55),"")</f>
        <v/>
      </c>
      <c r="W106" s="280" t="str">
        <f>IF(W100=1,(Paramètres!$B$22*'AA1'!U55),"")</f>
        <v/>
      </c>
      <c r="X106" s="280" t="str">
        <f>IF(X100=1,(Paramètres!$B$22*'AA1'!V55),"")</f>
        <v/>
      </c>
      <c r="Y106" s="280" t="str">
        <f>IF(Y100=1,(Paramètres!$B$22*'AA1'!W55),"")</f>
        <v/>
      </c>
      <c r="Z106" s="280" t="str">
        <f>IF(Z100=1,(Paramètres!$B$22*'AA1'!X55),"")</f>
        <v/>
      </c>
      <c r="AA106" s="280" t="str">
        <f>IF(AA100=1,(Paramètres!$B$22*'AA1'!Y55),"")</f>
        <v/>
      </c>
      <c r="AB106" s="280" t="str">
        <f>IF(AB100=1,(Paramètres!$B$22*'AA1'!Z55),"")</f>
        <v/>
      </c>
      <c r="AC106" s="280" t="str">
        <f>IF(AC100=1,(Paramètres!$B$22*'AA1'!AA55),"")</f>
        <v/>
      </c>
      <c r="AD106" s="280" t="str">
        <f>IF(AD100=1,(Paramètres!$B$22*'AA1'!AB55),"")</f>
        <v/>
      </c>
      <c r="AE106" s="280" t="str">
        <f>IF(AE100=1,(Paramètres!$B$22*'AA1'!AC55),"")</f>
        <v/>
      </c>
      <c r="AF106" s="280" t="str">
        <f>IF(AF100=1,(Paramètres!$B$22*'AA1'!AD55),"")</f>
        <v/>
      </c>
      <c r="AG106" s="280" t="str">
        <f>IF(AG100=1,(Paramètres!$B$22*'AA1'!AE55),"")</f>
        <v/>
      </c>
      <c r="AH106" s="280" t="str">
        <f>IF(AH100=1,(Paramètres!$B$22*'AA1'!AF55),"")</f>
        <v/>
      </c>
      <c r="AI106" s="280" t="str">
        <f>IF(AI100=1,(Paramètres!$B$22*'AA1'!AG55),"")</f>
        <v/>
      </c>
      <c r="AJ106" s="280" t="str">
        <f>IF(AJ100=1,(Paramètres!$B$22*'AA1'!AH55),"")</f>
        <v/>
      </c>
      <c r="AK106" s="280" t="str">
        <f>IF(AK100=1,(Paramètres!$B$22*'AA1'!AI55),"")</f>
        <v/>
      </c>
      <c r="AL106" s="280" t="str">
        <f>IF(AL100=1,(Paramètres!$B$22*'AA1'!AJ55),"")</f>
        <v/>
      </c>
      <c r="AM106" s="280" t="str">
        <f>IF(AM100=1,(Paramètres!$B$22*'AA1'!AK55),"")</f>
        <v/>
      </c>
      <c r="AN106" s="280" t="str">
        <f>IF(AN100=1,(Paramètres!$B$22*'AA1'!AL55),"")</f>
        <v/>
      </c>
      <c r="AO106" s="280" t="str">
        <f>IF(AO100=1,(Paramètres!$B$22*'AA1'!AM55),"")</f>
        <v/>
      </c>
      <c r="AP106" s="280" t="str">
        <f>IF(AP100=1,(Paramètres!$B$22*'AA1'!AN55),"")</f>
        <v/>
      </c>
      <c r="AQ106" s="280" t="str">
        <f>IF(AQ100=1,(Paramètres!$B$22*'AA1'!AO55),"")</f>
        <v/>
      </c>
      <c r="AR106" s="279" t="str">
        <f>IF(AR100=1,(Paramètres!$B$22*'AA1'!AP55),"")</f>
        <v/>
      </c>
    </row>
    <row r="107" spans="10:44" ht="15.6">
      <c r="J107" s="262"/>
      <c r="K107" s="262"/>
      <c r="L107" s="843"/>
      <c r="M107" s="275" t="s">
        <v>368</v>
      </c>
      <c r="N107" s="278"/>
      <c r="O107" s="277">
        <f t="shared" ref="O107:AR107" si="13">IF(O100&lt;=$K$20,$M$55/$K$20,"")</f>
        <v>0</v>
      </c>
      <c r="P107" s="277">
        <f t="shared" si="13"/>
        <v>0</v>
      </c>
      <c r="Q107" s="277">
        <f t="shared" si="13"/>
        <v>0</v>
      </c>
      <c r="R107" s="277">
        <f t="shared" si="13"/>
        <v>0</v>
      </c>
      <c r="S107" s="277">
        <f t="shared" si="13"/>
        <v>0</v>
      </c>
      <c r="T107" s="277">
        <f t="shared" si="13"/>
        <v>0</v>
      </c>
      <c r="U107" s="277">
        <f t="shared" si="13"/>
        <v>0</v>
      </c>
      <c r="V107" s="277">
        <f t="shared" si="13"/>
        <v>0</v>
      </c>
      <c r="W107" s="277">
        <f t="shared" si="13"/>
        <v>0</v>
      </c>
      <c r="X107" s="277">
        <f t="shared" si="13"/>
        <v>0</v>
      </c>
      <c r="Y107" s="277" t="str">
        <f t="shared" si="13"/>
        <v/>
      </c>
      <c r="Z107" s="277" t="str">
        <f t="shared" si="13"/>
        <v/>
      </c>
      <c r="AA107" s="277" t="str">
        <f t="shared" si="13"/>
        <v/>
      </c>
      <c r="AB107" s="277" t="str">
        <f t="shared" si="13"/>
        <v/>
      </c>
      <c r="AC107" s="277" t="str">
        <f t="shared" si="13"/>
        <v/>
      </c>
      <c r="AD107" s="277" t="str">
        <f t="shared" si="13"/>
        <v/>
      </c>
      <c r="AE107" s="277" t="str">
        <f t="shared" si="13"/>
        <v/>
      </c>
      <c r="AF107" s="277" t="str">
        <f t="shared" si="13"/>
        <v/>
      </c>
      <c r="AG107" s="277" t="str">
        <f t="shared" si="13"/>
        <v/>
      </c>
      <c r="AH107" s="277" t="str">
        <f t="shared" si="13"/>
        <v/>
      </c>
      <c r="AI107" s="277" t="str">
        <f t="shared" si="13"/>
        <v/>
      </c>
      <c r="AJ107" s="277" t="str">
        <f t="shared" si="13"/>
        <v/>
      </c>
      <c r="AK107" s="277" t="str">
        <f t="shared" si="13"/>
        <v/>
      </c>
      <c r="AL107" s="277" t="str">
        <f t="shared" si="13"/>
        <v/>
      </c>
      <c r="AM107" s="277" t="str">
        <f t="shared" si="13"/>
        <v/>
      </c>
      <c r="AN107" s="277" t="str">
        <f t="shared" si="13"/>
        <v/>
      </c>
      <c r="AO107" s="277" t="str">
        <f t="shared" si="13"/>
        <v/>
      </c>
      <c r="AP107" s="277" t="str">
        <f t="shared" si="13"/>
        <v/>
      </c>
      <c r="AQ107" s="277" t="str">
        <f t="shared" si="13"/>
        <v/>
      </c>
      <c r="AR107" s="276" t="str">
        <f t="shared" si="13"/>
        <v/>
      </c>
    </row>
    <row r="108" spans="10:44" ht="16.2" thickBot="1">
      <c r="J108" s="262"/>
      <c r="K108" s="262"/>
      <c r="L108" s="843"/>
      <c r="M108" s="275" t="s">
        <v>369</v>
      </c>
      <c r="N108" s="274"/>
      <c r="O108" s="273" t="str">
        <f t="shared" ref="O108:AR108" si="14">IF(SUM(O104:O107)=0,"",SUM(O104:O107))</f>
        <v/>
      </c>
      <c r="P108" s="273" t="str">
        <f t="shared" si="14"/>
        <v/>
      </c>
      <c r="Q108" s="273" t="str">
        <f t="shared" si="14"/>
        <v/>
      </c>
      <c r="R108" s="273" t="str">
        <f t="shared" si="14"/>
        <v/>
      </c>
      <c r="S108" s="273" t="str">
        <f t="shared" si="14"/>
        <v/>
      </c>
      <c r="T108" s="273" t="str">
        <f t="shared" si="14"/>
        <v/>
      </c>
      <c r="U108" s="273" t="str">
        <f t="shared" si="14"/>
        <v/>
      </c>
      <c r="V108" s="273" t="str">
        <f t="shared" si="14"/>
        <v/>
      </c>
      <c r="W108" s="273" t="str">
        <f t="shared" si="14"/>
        <v/>
      </c>
      <c r="X108" s="273" t="str">
        <f t="shared" si="14"/>
        <v/>
      </c>
      <c r="Y108" s="273" t="str">
        <f t="shared" si="14"/>
        <v/>
      </c>
      <c r="Z108" s="273" t="str">
        <f t="shared" si="14"/>
        <v/>
      </c>
      <c r="AA108" s="273" t="str">
        <f t="shared" si="14"/>
        <v/>
      </c>
      <c r="AB108" s="273" t="str">
        <f t="shared" si="14"/>
        <v/>
      </c>
      <c r="AC108" s="273" t="str">
        <f t="shared" si="14"/>
        <v/>
      </c>
      <c r="AD108" s="273" t="str">
        <f t="shared" si="14"/>
        <v/>
      </c>
      <c r="AE108" s="273" t="str">
        <f t="shared" si="14"/>
        <v/>
      </c>
      <c r="AF108" s="273" t="str">
        <f t="shared" si="14"/>
        <v/>
      </c>
      <c r="AG108" s="273" t="str">
        <f t="shared" si="14"/>
        <v/>
      </c>
      <c r="AH108" s="273" t="str">
        <f t="shared" si="14"/>
        <v/>
      </c>
      <c r="AI108" s="273" t="str">
        <f t="shared" si="14"/>
        <v/>
      </c>
      <c r="AJ108" s="273" t="str">
        <f t="shared" si="14"/>
        <v/>
      </c>
      <c r="AK108" s="273" t="str">
        <f t="shared" si="14"/>
        <v/>
      </c>
      <c r="AL108" s="273" t="str">
        <f t="shared" si="14"/>
        <v/>
      </c>
      <c r="AM108" s="273" t="str">
        <f t="shared" si="14"/>
        <v/>
      </c>
      <c r="AN108" s="273" t="str">
        <f t="shared" si="14"/>
        <v/>
      </c>
      <c r="AO108" s="273" t="str">
        <f t="shared" si="14"/>
        <v/>
      </c>
      <c r="AP108" s="273" t="str">
        <f t="shared" si="14"/>
        <v/>
      </c>
      <c r="AQ108" s="273" t="str">
        <f t="shared" si="14"/>
        <v/>
      </c>
      <c r="AR108" s="272" t="str">
        <f t="shared" si="14"/>
        <v/>
      </c>
    </row>
    <row r="109" spans="10:44" ht="16.2" thickBot="1">
      <c r="J109" s="262"/>
      <c r="K109" s="262"/>
      <c r="L109" s="830"/>
      <c r="M109" s="271" t="s">
        <v>370</v>
      </c>
      <c r="N109" s="270">
        <f>N102*Paramètres!$B$21</f>
        <v>0</v>
      </c>
      <c r="O109" s="269" t="str">
        <f>IF(N(O108)&gt;0,O108*Paramètres!$B$21,"")</f>
        <v/>
      </c>
      <c r="P109" s="269" t="str">
        <f>IF(N(P108)&gt;0,P108*Paramètres!$B$21,"")</f>
        <v/>
      </c>
      <c r="Q109" s="269" t="str">
        <f>IF(N(Q108)&gt;0,Q108*Paramètres!$B$21,"")</f>
        <v/>
      </c>
      <c r="R109" s="269" t="str">
        <f>IF(N(R108)&gt;0,R108*Paramètres!$B$21,"")</f>
        <v/>
      </c>
      <c r="S109" s="269" t="str">
        <f>IF(N(S108)&gt;0,S108*Paramètres!$B$21,"")</f>
        <v/>
      </c>
      <c r="T109" s="269" t="str">
        <f>IF(N(T108)&gt;0,T108*Paramètres!$B$21,"")</f>
        <v/>
      </c>
      <c r="U109" s="269" t="str">
        <f>IF(N(U108)&gt;0,U108*Paramètres!$B$21,"")</f>
        <v/>
      </c>
      <c r="V109" s="269" t="str">
        <f>IF(N(V108)&gt;0,V108*Paramètres!$B$21,"")</f>
        <v/>
      </c>
      <c r="W109" s="269" t="str">
        <f>IF(N(W108)&gt;0,W108*Paramètres!$B$21,"")</f>
        <v/>
      </c>
      <c r="X109" s="269" t="str">
        <f>IF(N(X108)&gt;0,X108*Paramètres!$B$21,"")</f>
        <v/>
      </c>
      <c r="Y109" s="269" t="str">
        <f>IF(N(Y108)&gt;0,Y108*Paramètres!$B$21,"")</f>
        <v/>
      </c>
      <c r="Z109" s="269" t="str">
        <f>IF(N(Z108)&gt;0,Z108*Paramètres!$B$21,"")</f>
        <v/>
      </c>
      <c r="AA109" s="269" t="str">
        <f>IF(N(AA108)&gt;0,AA108*Paramètres!$B$21,"")</f>
        <v/>
      </c>
      <c r="AB109" s="269" t="str">
        <f>IF(N(AB108)&gt;0,AB108*Paramètres!$B$21,"")</f>
        <v/>
      </c>
      <c r="AC109" s="269" t="str">
        <f>IF(N(AC108)&gt;0,AC108*Paramètres!$B$21,"")</f>
        <v/>
      </c>
      <c r="AD109" s="269" t="str">
        <f>IF(N(AD108)&gt;0,AD108*Paramètres!$B$21,"")</f>
        <v/>
      </c>
      <c r="AE109" s="269" t="str">
        <f>IF(N(AE108)&gt;0,AE108*Paramètres!$B$21,"")</f>
        <v/>
      </c>
      <c r="AF109" s="269" t="str">
        <f>IF(N(AF108)&gt;0,AF108*Paramètres!$B$21,"")</f>
        <v/>
      </c>
      <c r="AG109" s="269" t="str">
        <f>IF(N(AG108)&gt;0,AG108*Paramètres!$B$21,"")</f>
        <v/>
      </c>
      <c r="AH109" s="269" t="str">
        <f>IF(N(AH108)&gt;0,AH108*Paramètres!$B$21,"")</f>
        <v/>
      </c>
      <c r="AI109" s="269" t="str">
        <f>IF(N(AI108)&gt;0,AI108*Paramètres!$B$21,"")</f>
        <v/>
      </c>
      <c r="AJ109" s="269" t="str">
        <f>IF(N(AJ108)&gt;0,AJ108*Paramètres!$B$21,"")</f>
        <v/>
      </c>
      <c r="AK109" s="269" t="str">
        <f>IF(N(AK108)&gt;0,AK108*Paramètres!$B$21,"")</f>
        <v/>
      </c>
      <c r="AL109" s="269" t="str">
        <f>IF(N(AL108)&gt;0,AL108*Paramètres!$B$21,"")</f>
        <v/>
      </c>
      <c r="AM109" s="269" t="str">
        <f>IF(N(AM108)&gt;0,AM108*Paramètres!$B$21,"")</f>
        <v/>
      </c>
      <c r="AN109" s="269" t="str">
        <f>IF(N(AN108)&gt;0,AN108*Paramètres!$B$21,"")</f>
        <v/>
      </c>
      <c r="AO109" s="269" t="str">
        <f>IF(N(AO108)&gt;0,AO108*Paramètres!$B$21,"")</f>
        <v/>
      </c>
      <c r="AP109" s="269" t="str">
        <f>IF(N(AP108)&gt;0,AP108*Paramètres!$B$21,"")</f>
        <v/>
      </c>
      <c r="AQ109" s="269" t="str">
        <f>IF(N(AQ108)&gt;0,AQ108*Paramètres!$B$21,"")</f>
        <v/>
      </c>
      <c r="AR109" s="268" t="str">
        <f>IF(N(AR108)&gt;0,AR108*Paramètres!$B$21,"")</f>
        <v/>
      </c>
    </row>
    <row r="110" spans="10:44" ht="16.2" thickBot="1">
      <c r="J110" s="262"/>
      <c r="K110" s="262"/>
      <c r="L110" s="267" t="s">
        <v>361</v>
      </c>
      <c r="M110" s="266" t="s">
        <v>319</v>
      </c>
      <c r="N110" s="265" t="str">
        <f t="shared" ref="N110:AR110" si="15">IF(N100=$K$16,$M$59,"")</f>
        <v/>
      </c>
      <c r="O110" s="264" t="str">
        <f t="shared" si="15"/>
        <v/>
      </c>
      <c r="P110" s="264" t="str">
        <f t="shared" si="15"/>
        <v/>
      </c>
      <c r="Q110" s="264" t="str">
        <f t="shared" si="15"/>
        <v/>
      </c>
      <c r="R110" s="264" t="str">
        <f t="shared" si="15"/>
        <v/>
      </c>
      <c r="S110" s="264" t="str">
        <f t="shared" si="15"/>
        <v/>
      </c>
      <c r="T110" s="264" t="str">
        <f t="shared" si="15"/>
        <v/>
      </c>
      <c r="U110" s="264" t="str">
        <f t="shared" si="15"/>
        <v/>
      </c>
      <c r="V110" s="264" t="str">
        <f t="shared" si="15"/>
        <v/>
      </c>
      <c r="W110" s="264" t="str">
        <f t="shared" si="15"/>
        <v/>
      </c>
      <c r="X110" s="264" t="str">
        <f t="shared" si="15"/>
        <v/>
      </c>
      <c r="Y110" s="264" t="str">
        <f t="shared" si="15"/>
        <v/>
      </c>
      <c r="Z110" s="264" t="str">
        <f t="shared" si="15"/>
        <v/>
      </c>
      <c r="AA110" s="264" t="str">
        <f t="shared" si="15"/>
        <v/>
      </c>
      <c r="AB110" s="264" t="str">
        <f t="shared" si="15"/>
        <v/>
      </c>
      <c r="AC110" s="264">
        <f t="shared" si="15"/>
        <v>0</v>
      </c>
      <c r="AD110" s="264" t="str">
        <f t="shared" si="15"/>
        <v/>
      </c>
      <c r="AE110" s="264" t="str">
        <f t="shared" si="15"/>
        <v/>
      </c>
      <c r="AF110" s="264" t="str">
        <f t="shared" si="15"/>
        <v/>
      </c>
      <c r="AG110" s="264" t="str">
        <f t="shared" si="15"/>
        <v/>
      </c>
      <c r="AH110" s="264" t="str">
        <f t="shared" si="15"/>
        <v/>
      </c>
      <c r="AI110" s="264" t="str">
        <f t="shared" si="15"/>
        <v/>
      </c>
      <c r="AJ110" s="264" t="str">
        <f t="shared" si="15"/>
        <v/>
      </c>
      <c r="AK110" s="264" t="str">
        <f t="shared" si="15"/>
        <v/>
      </c>
      <c r="AL110" s="264" t="str">
        <f t="shared" si="15"/>
        <v/>
      </c>
      <c r="AM110" s="264" t="str">
        <f t="shared" si="15"/>
        <v/>
      </c>
      <c r="AN110" s="264" t="str">
        <f t="shared" si="15"/>
        <v/>
      </c>
      <c r="AO110" s="264" t="str">
        <f t="shared" si="15"/>
        <v/>
      </c>
      <c r="AP110" s="264" t="str">
        <f t="shared" si="15"/>
        <v/>
      </c>
      <c r="AQ110" s="264" t="str">
        <f t="shared" si="15"/>
        <v/>
      </c>
      <c r="AR110" s="263" t="str">
        <f t="shared" si="15"/>
        <v/>
      </c>
    </row>
    <row r="111" spans="10:44" ht="16.2" thickBot="1">
      <c r="J111" s="262"/>
      <c r="K111" s="262"/>
      <c r="L111" s="841" t="s">
        <v>362</v>
      </c>
      <c r="M111" s="844"/>
      <c r="N111" s="260" t="str">
        <f>IF((SUM(N101:N103)-N109)=0,"",(SUM(N101:N103))-N109)</f>
        <v/>
      </c>
      <c r="O111" s="259" t="str">
        <f t="shared" ref="O111:AR111" si="16">IF(SUM(N(O104)+N(O105)-N(O109)+N(O110))=0,"",SUM(N(O104)+N(O105)-N(O109)+N(O110)))</f>
        <v/>
      </c>
      <c r="P111" s="259" t="str">
        <f t="shared" si="16"/>
        <v/>
      </c>
      <c r="Q111" s="259" t="str">
        <f t="shared" si="16"/>
        <v/>
      </c>
      <c r="R111" s="259" t="str">
        <f t="shared" si="16"/>
        <v/>
      </c>
      <c r="S111" s="259" t="str">
        <f t="shared" si="16"/>
        <v/>
      </c>
      <c r="T111" s="259" t="str">
        <f t="shared" si="16"/>
        <v/>
      </c>
      <c r="U111" s="259" t="str">
        <f t="shared" si="16"/>
        <v/>
      </c>
      <c r="V111" s="259" t="str">
        <f t="shared" si="16"/>
        <v/>
      </c>
      <c r="W111" s="259" t="str">
        <f t="shared" si="16"/>
        <v/>
      </c>
      <c r="X111" s="259" t="str">
        <f t="shared" si="16"/>
        <v/>
      </c>
      <c r="Y111" s="259" t="str">
        <f t="shared" si="16"/>
        <v/>
      </c>
      <c r="Z111" s="259" t="str">
        <f t="shared" si="16"/>
        <v/>
      </c>
      <c r="AA111" s="259" t="str">
        <f t="shared" si="16"/>
        <v/>
      </c>
      <c r="AB111" s="259" t="str">
        <f t="shared" si="16"/>
        <v/>
      </c>
      <c r="AC111" s="259" t="str">
        <f t="shared" si="16"/>
        <v/>
      </c>
      <c r="AD111" s="259" t="str">
        <f t="shared" si="16"/>
        <v/>
      </c>
      <c r="AE111" s="259" t="str">
        <f t="shared" si="16"/>
        <v/>
      </c>
      <c r="AF111" s="259" t="str">
        <f t="shared" si="16"/>
        <v/>
      </c>
      <c r="AG111" s="259" t="str">
        <f t="shared" si="16"/>
        <v/>
      </c>
      <c r="AH111" s="259" t="str">
        <f t="shared" si="16"/>
        <v/>
      </c>
      <c r="AI111" s="259" t="str">
        <f t="shared" si="16"/>
        <v/>
      </c>
      <c r="AJ111" s="259" t="str">
        <f t="shared" si="16"/>
        <v/>
      </c>
      <c r="AK111" s="259" t="str">
        <f t="shared" si="16"/>
        <v/>
      </c>
      <c r="AL111" s="259" t="str">
        <f t="shared" si="16"/>
        <v/>
      </c>
      <c r="AM111" s="259" t="str">
        <f t="shared" si="16"/>
        <v/>
      </c>
      <c r="AN111" s="259" t="str">
        <f t="shared" si="16"/>
        <v/>
      </c>
      <c r="AO111" s="259" t="str">
        <f t="shared" si="16"/>
        <v/>
      </c>
      <c r="AP111" s="259" t="str">
        <f t="shared" si="16"/>
        <v/>
      </c>
      <c r="AQ111" s="259" t="str">
        <f t="shared" si="16"/>
        <v/>
      </c>
      <c r="AR111" s="258" t="str">
        <f t="shared" si="16"/>
        <v/>
      </c>
    </row>
    <row r="112" spans="10:44" ht="13.8" thickBot="1">
      <c r="J112" s="250"/>
      <c r="K112" s="250"/>
      <c r="L112" s="841" t="s">
        <v>363</v>
      </c>
      <c r="M112" s="844"/>
      <c r="N112" s="260" t="str">
        <f>IF(N111="","",((N111)/(1+Paramètres!$B$19)^N100))</f>
        <v/>
      </c>
      <c r="O112" s="259" t="str">
        <f>IF(O111="","",((O111)/(1+Paramètres!$B$19)^O100))</f>
        <v/>
      </c>
      <c r="P112" s="259" t="str">
        <f>IF(P111="","",((P111)/(1+Paramètres!$B$19)^P100))</f>
        <v/>
      </c>
      <c r="Q112" s="259" t="str">
        <f>IF(Q111="","",((Q111)/(1+Paramètres!$B$19)^Q100))</f>
        <v/>
      </c>
      <c r="R112" s="259" t="str">
        <f>IF(R111="","",((R111)/(1+Paramètres!$B$19)^R100))</f>
        <v/>
      </c>
      <c r="S112" s="259" t="str">
        <f>IF(S111="","",((S111)/(1+Paramètres!$B$19)^S100))</f>
        <v/>
      </c>
      <c r="T112" s="259" t="str">
        <f>IF(T111="","",((T111)/(1+Paramètres!$B$19)^T100))</f>
        <v/>
      </c>
      <c r="U112" s="259" t="str">
        <f>IF(U111="","",((U111)/(1+Paramètres!$B$19)^U100))</f>
        <v/>
      </c>
      <c r="V112" s="259" t="str">
        <f>IF(V111="","",((V111)/(1+Paramètres!$B$19)^V100))</f>
        <v/>
      </c>
      <c r="W112" s="259" t="str">
        <f>IF(W111="","",((W111)/(1+Paramètres!$B$19)^W100))</f>
        <v/>
      </c>
      <c r="X112" s="259" t="str">
        <f>IF(X111="","",((X111)/(1+Paramètres!$B$19)^X100))</f>
        <v/>
      </c>
      <c r="Y112" s="259" t="str">
        <f>IF(Y111="","",((Y111)/(1+Paramètres!$B$19)^Y100))</f>
        <v/>
      </c>
      <c r="Z112" s="259" t="str">
        <f>IF(Z111="","",((Z111)/(1+Paramètres!$B$19)^Z100))</f>
        <v/>
      </c>
      <c r="AA112" s="259" t="str">
        <f>IF(AA111="","",((AA111)/(1+Paramètres!$B$19)^AA100))</f>
        <v/>
      </c>
      <c r="AB112" s="259" t="str">
        <f>IF(AB111="","",((AB111)/(1+Paramètres!$B$19)^AB100))</f>
        <v/>
      </c>
      <c r="AC112" s="259" t="str">
        <f>IF(AC111="","",((AC111)/(1+Paramètres!$B$19)^AC100))</f>
        <v/>
      </c>
      <c r="AD112" s="259" t="str">
        <f>IF(AD111="","",((AD111)/(1+Paramètres!$B$19)^AD100))</f>
        <v/>
      </c>
      <c r="AE112" s="259" t="str">
        <f>IF(AE111="","",((AE111)/(1+Paramètres!$B$19)^AE100))</f>
        <v/>
      </c>
      <c r="AF112" s="259" t="str">
        <f>IF(AF111="","",((AF111)/(1+Paramètres!$B$19)^AF100))</f>
        <v/>
      </c>
      <c r="AG112" s="259" t="str">
        <f>IF(AG111="","",((AG111)/(1+Paramètres!$B$19)^AG100))</f>
        <v/>
      </c>
      <c r="AH112" s="259" t="str">
        <f>IF(AH111="","",((AH111)/(1+Paramètres!$B$19)^AH100))</f>
        <v/>
      </c>
      <c r="AI112" s="259" t="str">
        <f>IF(AI111="","",((AI111)/(1+Paramètres!$B$19)^AI100))</f>
        <v/>
      </c>
      <c r="AJ112" s="259" t="str">
        <f>IF(AJ111="","",((AJ111)/(1+Paramètres!$B$19)^AJ100))</f>
        <v/>
      </c>
      <c r="AK112" s="259" t="str">
        <f>IF(AK111="","",((AK111)/(1+Paramètres!$B$19)^AK100))</f>
        <v/>
      </c>
      <c r="AL112" s="259" t="str">
        <f>IF(AL111="","",((AL111)/(1+Paramètres!$B$19)^AL100))</f>
        <v/>
      </c>
      <c r="AM112" s="259" t="str">
        <f>IF(AM111="","",((AM111)/(1+Paramètres!$B$19)^AM100))</f>
        <v/>
      </c>
      <c r="AN112" s="259" t="str">
        <f>IF(AN111="","",((AN111)/(1+Paramètres!$B$19)^AN100))</f>
        <v/>
      </c>
      <c r="AO112" s="259" t="str">
        <f>IF(AO111="","",((AO111)/(1+Paramètres!$B$19)^AO100))</f>
        <v/>
      </c>
      <c r="AP112" s="259" t="str">
        <f>IF(AP111="","",((AP111)/(1+Paramètres!$B$19)^AP100))</f>
        <v/>
      </c>
      <c r="AQ112" s="259" t="str">
        <f>IF(AQ111="","",((AQ111)/(1+Paramètres!$B$19)^AQ100))</f>
        <v/>
      </c>
      <c r="AR112" s="258" t="str">
        <f>IF(AR111="","",((AR111)/(1+Paramètres!$B$19)^AR100))</f>
        <v/>
      </c>
    </row>
    <row r="113" spans="10:44" ht="13.8" thickBot="1">
      <c r="J113" s="250"/>
      <c r="K113" s="250"/>
      <c r="L113" s="841" t="s">
        <v>364</v>
      </c>
      <c r="M113" s="844"/>
      <c r="N113" s="257" t="str">
        <f>N112</f>
        <v/>
      </c>
      <c r="O113" s="256" t="str">
        <f t="shared" ref="O113:AR113" si="17">IF(O112="","",((N113+O90)))</f>
        <v/>
      </c>
      <c r="P113" s="256" t="str">
        <f t="shared" si="17"/>
        <v/>
      </c>
      <c r="Q113" s="256" t="str">
        <f t="shared" si="17"/>
        <v/>
      </c>
      <c r="R113" s="256" t="str">
        <f t="shared" si="17"/>
        <v/>
      </c>
      <c r="S113" s="256" t="str">
        <f t="shared" si="17"/>
        <v/>
      </c>
      <c r="T113" s="256" t="str">
        <f t="shared" si="17"/>
        <v/>
      </c>
      <c r="U113" s="256" t="str">
        <f t="shared" si="17"/>
        <v/>
      </c>
      <c r="V113" s="256" t="str">
        <f t="shared" si="17"/>
        <v/>
      </c>
      <c r="W113" s="256" t="str">
        <f t="shared" si="17"/>
        <v/>
      </c>
      <c r="X113" s="256" t="str">
        <f t="shared" si="17"/>
        <v/>
      </c>
      <c r="Y113" s="256" t="str">
        <f t="shared" si="17"/>
        <v/>
      </c>
      <c r="Z113" s="256" t="str">
        <f t="shared" si="17"/>
        <v/>
      </c>
      <c r="AA113" s="256" t="str">
        <f t="shared" si="17"/>
        <v/>
      </c>
      <c r="AB113" s="256" t="str">
        <f t="shared" si="17"/>
        <v/>
      </c>
      <c r="AC113" s="256" t="str">
        <f t="shared" si="17"/>
        <v/>
      </c>
      <c r="AD113" s="256" t="str">
        <f t="shared" si="17"/>
        <v/>
      </c>
      <c r="AE113" s="256" t="str">
        <f t="shared" si="17"/>
        <v/>
      </c>
      <c r="AF113" s="256" t="str">
        <f t="shared" si="17"/>
        <v/>
      </c>
      <c r="AG113" s="256" t="str">
        <f t="shared" si="17"/>
        <v/>
      </c>
      <c r="AH113" s="256" t="str">
        <f t="shared" si="17"/>
        <v/>
      </c>
      <c r="AI113" s="256" t="str">
        <f t="shared" si="17"/>
        <v/>
      </c>
      <c r="AJ113" s="256" t="str">
        <f t="shared" si="17"/>
        <v/>
      </c>
      <c r="AK113" s="256" t="str">
        <f t="shared" si="17"/>
        <v/>
      </c>
      <c r="AL113" s="256" t="str">
        <f t="shared" si="17"/>
        <v/>
      </c>
      <c r="AM113" s="256" t="str">
        <f t="shared" si="17"/>
        <v/>
      </c>
      <c r="AN113" s="256" t="str">
        <f t="shared" si="17"/>
        <v/>
      </c>
      <c r="AO113" s="256" t="str">
        <f t="shared" si="17"/>
        <v/>
      </c>
      <c r="AP113" s="256" t="str">
        <f t="shared" si="17"/>
        <v/>
      </c>
      <c r="AQ113" s="256" t="str">
        <f t="shared" si="17"/>
        <v/>
      </c>
      <c r="AR113" s="255" t="str">
        <f t="shared" si="17"/>
        <v/>
      </c>
    </row>
    <row r="114" spans="10:44" ht="13.8" thickBot="1"/>
    <row r="115" spans="10:44">
      <c r="L115" s="254" t="s">
        <v>225</v>
      </c>
      <c r="M115" s="253" t="str">
        <f>IFERROR(IRR(N111:AR111), "PROJET NON RENTABLE")</f>
        <v>PROJET NON RENTABLE</v>
      </c>
    </row>
    <row r="116" spans="10:44" ht="13.8" thickBot="1">
      <c r="L116" s="252" t="s">
        <v>224</v>
      </c>
      <c r="M116" s="412" cm="1">
        <f t="array" ref="M116">IFERROR(INDEX(N100:AR100,MATCH(TRUE,N113:AR113&gt;0,0)),"PROJET NON RENTABLE")</f>
        <v>0</v>
      </c>
    </row>
  </sheetData>
  <mergeCells count="63">
    <mergeCell ref="C35:F35"/>
    <mergeCell ref="J2:AR2"/>
    <mergeCell ref="J8:K8"/>
    <mergeCell ref="M8:N8"/>
    <mergeCell ref="L6:M6"/>
    <mergeCell ref="J77:AR77"/>
    <mergeCell ref="J97:AR97"/>
    <mergeCell ref="J54:N54"/>
    <mergeCell ref="J55:J59"/>
    <mergeCell ref="J26:Q26"/>
    <mergeCell ref="J51:Q51"/>
    <mergeCell ref="O37:O45"/>
    <mergeCell ref="N35:O35"/>
    <mergeCell ref="N47:O47"/>
    <mergeCell ref="N48:O48"/>
    <mergeCell ref="J61:J72"/>
    <mergeCell ref="N33:O33"/>
    <mergeCell ref="N31:O31"/>
    <mergeCell ref="L113:M113"/>
    <mergeCell ref="L106:L109"/>
    <mergeCell ref="L101:L102"/>
    <mergeCell ref="L103:L104"/>
    <mergeCell ref="L89:M89"/>
    <mergeCell ref="L111:M111"/>
    <mergeCell ref="L112:M112"/>
    <mergeCell ref="B1:H1"/>
    <mergeCell ref="B2:H2"/>
    <mergeCell ref="B3:H3"/>
    <mergeCell ref="F5:G5"/>
    <mergeCell ref="N99:AR99"/>
    <mergeCell ref="N79:AR79"/>
    <mergeCell ref="L91:M91"/>
    <mergeCell ref="L81:L82"/>
    <mergeCell ref="L83:L85"/>
    <mergeCell ref="L90:M90"/>
    <mergeCell ref="L7:M7"/>
    <mergeCell ref="K67:K72"/>
    <mergeCell ref="K64:K65"/>
    <mergeCell ref="K55:K56"/>
    <mergeCell ref="K57:K58"/>
    <mergeCell ref="K62:K63"/>
    <mergeCell ref="B59:F59"/>
    <mergeCell ref="B67:F67"/>
    <mergeCell ref="B9:H9"/>
    <mergeCell ref="B17:H17"/>
    <mergeCell ref="B21:H21"/>
    <mergeCell ref="B42:H42"/>
    <mergeCell ref="B60:F60"/>
    <mergeCell ref="B64:F64"/>
    <mergeCell ref="B65:F65"/>
    <mergeCell ref="B66:F66"/>
    <mergeCell ref="B61:F61"/>
    <mergeCell ref="B46:H46"/>
    <mergeCell ref="B58:E58"/>
    <mergeCell ref="B13:C13"/>
    <mergeCell ref="C31:F31"/>
    <mergeCell ref="C33:F33"/>
    <mergeCell ref="B87:F87"/>
    <mergeCell ref="B70:H70"/>
    <mergeCell ref="B80:H80"/>
    <mergeCell ref="B77:F77"/>
    <mergeCell ref="E71:F71"/>
    <mergeCell ref="E81:F81"/>
  </mergeCells>
  <dataValidations count="5">
    <dataValidation type="list" showInputMessage="1" showErrorMessage="1" sqref="K15" xr:uid="{252CD542-E192-42C8-968C-379AEFD23B14}">
      <formula1>"Tertiaire Public,Tertiaire Privé,Industrie"</formula1>
    </dataValidation>
    <dataValidation type="list" showInputMessage="1" showErrorMessage="1" sqref="K10:K14" xr:uid="{4F2EA58A-02D1-4B10-A3BF-2D6C456DEE27}">
      <formula1>Poste</formula1>
    </dataValidation>
    <dataValidation type="list" allowBlank="1" showInputMessage="1" showErrorMessage="1" sqref="K24" xr:uid="{90B101AD-8556-472C-AFC3-1AAA84405847}">
      <formula1>"Oui,Non"</formula1>
    </dataValidation>
    <dataValidation type="list" allowBlank="1" showInputMessage="1" showErrorMessage="1" sqref="K22:K23" xr:uid="{C61C8F7B-D1A4-46CC-A4A4-06F582B23EE0}">
      <formula1>"OUI,NON"</formula1>
    </dataValidation>
    <dataValidation type="list" allowBlank="1" showInputMessage="1" showErrorMessage="1" sqref="C37" xr:uid="{82ADD117-1824-4854-A55C-849D0F274BBA}">
      <formula1>"2030,2040,2050"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1200" r:id="rId1"/>
  <headerFooter alignWithMargins="0">
    <oddHeader>&amp;C&amp;"Arial,Gras"&amp;14ECONOTEC / 3J-CONSULT</oddHeader>
    <oddFooter>&amp;L&amp;F&amp;R&amp;A</oddFooter>
  </headerFooter>
  <rowBreaks count="1" manualBreakCount="1">
    <brk id="67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5074EC5-594D-4029-8A4F-3B1D187D155F}">
          <x14:formula1>
            <xm:f>Paramètres!$C$57:$C$60</xm:f>
          </x14:formula1>
          <xm:sqref>F27</xm:sqref>
        </x14:dataValidation>
        <x14:dataValidation type="list" allowBlank="1" showInputMessage="1" showErrorMessage="1" xr:uid="{9C18F469-8888-4132-9DCA-C196EEBAC903}">
          <x14:formula1>
            <xm:f>Paramètres!$A$57:$A$83</xm:f>
          </x14:formula1>
          <xm:sqref>B13:B14</xm:sqref>
        </x14:dataValidation>
        <x14:dataValidation type="list" allowBlank="1" showInputMessage="1" showErrorMessage="1" xr:uid="{4A76956C-E9D6-4106-B0C7-99D8ADC8B3A7}">
          <x14:formula1>
            <xm:f>Paramètres!$B$57:$B$82</xm:f>
          </x14:formula1>
          <xm:sqref>C35:F35 C31:F31 C33:F33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EF99-B012-4023-8271-2F43204224DF}">
  <dimension ref="B1:AR116"/>
  <sheetViews>
    <sheetView topLeftCell="A2" zoomScaleNormal="100" workbookViewId="0">
      <selection activeCell="B13" sqref="B13:C13"/>
    </sheetView>
  </sheetViews>
  <sheetFormatPr baseColWidth="10" defaultColWidth="11.44140625" defaultRowHeight="13.2"/>
  <cols>
    <col min="1" max="1" width="1.88671875" customWidth="1"/>
    <col min="2" max="2" width="16.88671875" customWidth="1"/>
    <col min="6" max="6" width="14" bestFit="1" customWidth="1"/>
    <col min="7" max="7" width="11.88671875" customWidth="1"/>
    <col min="8" max="8" width="12.6640625" bestFit="1" customWidth="1"/>
    <col min="10" max="10" width="49" bestFit="1" customWidth="1"/>
    <col min="11" max="11" width="31.109375" bestFit="1" customWidth="1"/>
    <col min="12" max="12" width="41.44140625" bestFit="1" customWidth="1"/>
    <col min="13" max="13" width="35.5546875" bestFit="1" customWidth="1"/>
    <col min="14" max="14" width="10.109375" bestFit="1" customWidth="1"/>
    <col min="15" max="15" width="9.6640625" bestFit="1" customWidth="1"/>
    <col min="16" max="18" width="5" bestFit="1" customWidth="1"/>
    <col min="19" max="29" width="5.33203125" bestFit="1" customWidth="1"/>
    <col min="30" max="44" width="2.88671875" bestFit="1" customWidth="1"/>
  </cols>
  <sheetData>
    <row r="1" spans="2:44" ht="21">
      <c r="B1" s="772" t="str">
        <f>Entête!C15</f>
        <v>NOM DE L'ENTITE</v>
      </c>
      <c r="C1" s="773"/>
      <c r="D1" s="773"/>
      <c r="E1" s="773"/>
      <c r="F1" s="773"/>
      <c r="G1" s="773"/>
      <c r="H1" s="774"/>
      <c r="J1" s="250"/>
      <c r="K1" s="250"/>
      <c r="L1" s="250"/>
      <c r="M1" s="251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</row>
    <row r="2" spans="2:44" ht="21">
      <c r="B2" s="775"/>
      <c r="C2" s="776"/>
      <c r="D2" s="776"/>
      <c r="E2" s="776"/>
      <c r="F2" s="776"/>
      <c r="G2" s="776"/>
      <c r="H2" s="777"/>
      <c r="J2" s="778" t="s">
        <v>260</v>
      </c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79"/>
      <c r="AI2" s="779"/>
      <c r="AJ2" s="779"/>
      <c r="AK2" s="779"/>
      <c r="AL2" s="779"/>
      <c r="AM2" s="779"/>
      <c r="AN2" s="779"/>
      <c r="AO2" s="779"/>
      <c r="AP2" s="779"/>
      <c r="AQ2" s="779"/>
      <c r="AR2" s="779"/>
    </row>
    <row r="3" spans="2:44" ht="16.2" thickBot="1">
      <c r="B3" s="780" t="s">
        <v>261</v>
      </c>
      <c r="C3" s="781"/>
      <c r="D3" s="781"/>
      <c r="E3" s="781"/>
      <c r="F3" s="781"/>
      <c r="G3" s="781"/>
      <c r="H3" s="782"/>
      <c r="J3" s="375"/>
      <c r="K3" s="375"/>
      <c r="L3" s="375"/>
      <c r="M3" s="416"/>
      <c r="N3" s="375"/>
      <c r="O3" s="375"/>
      <c r="P3" s="375"/>
      <c r="Q3" s="375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</row>
    <row r="4" spans="2:44">
      <c r="J4" s="375"/>
      <c r="K4" s="375"/>
      <c r="L4" s="375"/>
      <c r="M4" s="375"/>
      <c r="N4" s="375"/>
      <c r="O4" s="375"/>
      <c r="P4" s="375"/>
      <c r="Q4" s="375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</row>
    <row r="5" spans="2:44" ht="16.2" thickBot="1">
      <c r="B5" s="198" t="s">
        <v>262</v>
      </c>
      <c r="F5" s="783" t="s">
        <v>374</v>
      </c>
      <c r="G5" s="784"/>
      <c r="J5" s="375"/>
      <c r="K5" s="375"/>
      <c r="L5" s="375"/>
      <c r="M5" s="417"/>
      <c r="N5" s="375"/>
      <c r="O5" s="375"/>
      <c r="P5" s="375"/>
      <c r="Q5" s="375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</row>
    <row r="6" spans="2:44" ht="16.2" thickBot="1">
      <c r="B6" s="198"/>
      <c r="F6" s="199"/>
      <c r="G6" s="199"/>
      <c r="J6" s="376" t="s">
        <v>264</v>
      </c>
      <c r="K6" s="389"/>
      <c r="L6" s="785"/>
      <c r="M6" s="785"/>
      <c r="N6" s="387"/>
      <c r="O6" s="387"/>
      <c r="P6" s="387"/>
      <c r="Q6" s="387"/>
      <c r="R6" s="413"/>
      <c r="S6" s="413"/>
      <c r="T6" s="413"/>
      <c r="U6" s="413"/>
      <c r="V6" s="413"/>
      <c r="W6" s="413"/>
      <c r="X6" s="413"/>
      <c r="Y6" s="413"/>
      <c r="Z6" s="413"/>
      <c r="AA6" s="413"/>
      <c r="AB6" s="413"/>
      <c r="AC6" s="413"/>
      <c r="AD6" s="414"/>
      <c r="AE6" s="414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</row>
    <row r="7" spans="2:44" ht="16.2" thickBot="1">
      <c r="B7" s="198" t="s">
        <v>265</v>
      </c>
      <c r="J7" s="388"/>
      <c r="K7" s="387"/>
      <c r="L7" s="785"/>
      <c r="M7" s="785"/>
      <c r="N7" s="387"/>
      <c r="O7" s="387"/>
      <c r="P7" s="387"/>
      <c r="Q7" s="387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4"/>
      <c r="AE7" s="414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</row>
    <row r="8" spans="2:44" ht="16.2" thickBot="1">
      <c r="J8" s="786" t="s">
        <v>266</v>
      </c>
      <c r="K8" s="787"/>
      <c r="L8" s="374"/>
      <c r="M8" s="786" t="s">
        <v>267</v>
      </c>
      <c r="N8" s="787"/>
      <c r="O8" s="374"/>
      <c r="P8" s="374"/>
      <c r="Q8" s="374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</row>
    <row r="9" spans="2:44" ht="16.2" thickBot="1">
      <c r="B9" s="788" t="s">
        <v>375</v>
      </c>
      <c r="C9" s="789"/>
      <c r="D9" s="789"/>
      <c r="E9" s="789"/>
      <c r="F9" s="789"/>
      <c r="G9" s="789"/>
      <c r="H9" s="790"/>
      <c r="J9" s="262"/>
      <c r="K9" s="262"/>
      <c r="L9" s="262"/>
      <c r="M9" s="262"/>
      <c r="N9" s="262"/>
      <c r="O9" s="262"/>
      <c r="P9" s="262"/>
      <c r="Q9" s="262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</row>
    <row r="10" spans="2:44" ht="16.2" thickBot="1">
      <c r="J10" s="378" t="s">
        <v>268</v>
      </c>
      <c r="K10" s="376" t="s">
        <v>55</v>
      </c>
      <c r="L10" s="262"/>
      <c r="M10" s="386" t="s">
        <v>269</v>
      </c>
      <c r="N10" s="385" t="str">
        <f>M93</f>
        <v>PROJET NON RENTABLE</v>
      </c>
      <c r="O10" s="262"/>
      <c r="P10" s="262"/>
      <c r="Q10" s="262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</row>
    <row r="11" spans="2:44" ht="15.6">
      <c r="B11" s="198" t="s">
        <v>191</v>
      </c>
      <c r="J11" s="262"/>
      <c r="K11" s="621"/>
      <c r="L11" s="262"/>
      <c r="M11" s="622"/>
      <c r="N11" s="623"/>
      <c r="O11" s="262"/>
      <c r="P11" s="262"/>
      <c r="Q11" s="262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</row>
    <row r="12" spans="2:44" ht="15.6">
      <c r="B12" s="635" t="s">
        <v>270</v>
      </c>
      <c r="J12" s="262"/>
      <c r="K12" s="621"/>
      <c r="L12" s="262"/>
      <c r="M12" s="622"/>
      <c r="N12" s="623"/>
      <c r="O12" s="262"/>
      <c r="P12" s="262"/>
      <c r="Q12" s="262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</row>
    <row r="13" spans="2:44" ht="24.9" customHeight="1">
      <c r="B13" s="788" t="s">
        <v>376</v>
      </c>
      <c r="C13" s="790"/>
      <c r="J13" s="262"/>
      <c r="K13" s="621"/>
      <c r="L13" s="262"/>
      <c r="M13" s="622"/>
      <c r="N13" s="623"/>
      <c r="O13" s="262"/>
      <c r="P13" s="262"/>
      <c r="Q13" s="262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</row>
    <row r="14" spans="2:44" ht="15.6">
      <c r="B14" s="199"/>
      <c r="J14" s="262"/>
      <c r="K14" s="621"/>
      <c r="L14" s="262"/>
      <c r="M14" s="622"/>
      <c r="N14" s="623"/>
      <c r="O14" s="262"/>
      <c r="P14" s="262"/>
      <c r="Q14" s="262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</row>
    <row r="15" spans="2:44" ht="16.2" thickBot="1">
      <c r="B15" s="198" t="s">
        <v>271</v>
      </c>
      <c r="J15" s="262"/>
      <c r="K15" s="262"/>
      <c r="L15" s="262"/>
      <c r="M15" s="384" t="s">
        <v>272</v>
      </c>
      <c r="N15" s="383">
        <f>M94</f>
        <v>0</v>
      </c>
      <c r="O15" s="262"/>
      <c r="P15" s="262"/>
      <c r="Q15" s="262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</row>
    <row r="16" spans="2:44" ht="16.2" thickBot="1">
      <c r="J16" s="378" t="s">
        <v>51</v>
      </c>
      <c r="K16" s="381">
        <f>VLOOKUP(K10,Paramètres!A27:C29,3)</f>
        <v>15</v>
      </c>
      <c r="L16" s="375"/>
      <c r="M16" s="310"/>
      <c r="N16" s="310"/>
      <c r="O16" s="262"/>
      <c r="P16" s="262"/>
      <c r="Q16" s="262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</row>
    <row r="17" spans="2:44" ht="29.25" customHeight="1" thickBot="1">
      <c r="B17" s="769"/>
      <c r="C17" s="770"/>
      <c r="D17" s="770"/>
      <c r="E17" s="770"/>
      <c r="F17" s="770"/>
      <c r="G17" s="770"/>
      <c r="H17" s="771"/>
      <c r="J17" s="262"/>
      <c r="K17" s="262"/>
      <c r="L17" s="375"/>
      <c r="M17" s="300" t="s">
        <v>273</v>
      </c>
      <c r="N17" s="382" t="str">
        <f>M115</f>
        <v>PROJET NON RENTABLE</v>
      </c>
      <c r="O17" s="262"/>
      <c r="P17" s="262"/>
      <c r="Q17" s="262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</row>
    <row r="18" spans="2:44" ht="16.2" thickBot="1">
      <c r="J18" s="378" t="s">
        <v>274</v>
      </c>
      <c r="K18" s="381">
        <f>VLOOKUP(K10,Paramètres!A27:D29,4)</f>
        <v>8</v>
      </c>
      <c r="L18" s="262"/>
      <c r="M18" s="311" t="s">
        <v>275</v>
      </c>
      <c r="N18" s="380">
        <f>M116</f>
        <v>0</v>
      </c>
      <c r="O18" s="262"/>
      <c r="P18" s="262"/>
      <c r="Q18" s="262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</row>
    <row r="19" spans="2:44" ht="16.2" thickBot="1">
      <c r="B19" s="198" t="s">
        <v>276</v>
      </c>
      <c r="J19" s="262"/>
      <c r="K19" s="262"/>
      <c r="L19" s="262"/>
      <c r="M19" s="375"/>
      <c r="N19" s="375"/>
      <c r="O19" s="262"/>
      <c r="P19" s="262"/>
      <c r="Q19" s="262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</row>
    <row r="20" spans="2:44" ht="16.2" thickBot="1">
      <c r="J20" s="377" t="s">
        <v>277</v>
      </c>
      <c r="K20" s="379">
        <v>10</v>
      </c>
      <c r="L20" s="262"/>
      <c r="M20" s="262"/>
      <c r="N20" s="418"/>
      <c r="O20" s="262"/>
      <c r="P20" s="262"/>
      <c r="Q20" s="262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</row>
    <row r="21" spans="2:44" ht="16.2" thickBot="1">
      <c r="B21" s="769"/>
      <c r="C21" s="770"/>
      <c r="D21" s="770"/>
      <c r="E21" s="770"/>
      <c r="F21" s="770"/>
      <c r="G21" s="770"/>
      <c r="H21" s="771"/>
      <c r="J21" s="374"/>
      <c r="K21" s="262"/>
      <c r="L21" s="262"/>
      <c r="M21" s="262"/>
      <c r="N21" s="418"/>
      <c r="O21" s="262"/>
      <c r="P21" s="262"/>
      <c r="Q21" s="262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</row>
    <row r="22" spans="2:44" ht="16.2" thickBot="1">
      <c r="J22" s="378" t="s">
        <v>278</v>
      </c>
      <c r="K22" s="376" t="s">
        <v>279</v>
      </c>
      <c r="L22" s="262"/>
      <c r="M22" s="262"/>
      <c r="N22" s="262"/>
      <c r="O22" s="262"/>
      <c r="P22" s="262"/>
      <c r="Q22" s="262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</row>
    <row r="23" spans="2:44" ht="16.2" thickBot="1">
      <c r="B23" s="198" t="s">
        <v>280</v>
      </c>
      <c r="F23" s="421">
        <f>C50*Paramètres!C13+C51*Paramètres!D13</f>
        <v>0</v>
      </c>
      <c r="G23" s="145"/>
      <c r="J23" s="377" t="s">
        <v>281</v>
      </c>
      <c r="K23" s="376" t="s">
        <v>282</v>
      </c>
      <c r="L23" s="262"/>
      <c r="M23" s="262"/>
      <c r="N23" s="262"/>
      <c r="O23" s="262"/>
      <c r="P23" s="262"/>
      <c r="Q23" s="262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</row>
    <row r="24" spans="2:44" ht="15.6">
      <c r="J24" s="262"/>
      <c r="K24" s="262"/>
      <c r="L24" s="262"/>
      <c r="M24" s="262"/>
      <c r="N24" s="262"/>
      <c r="O24" s="262"/>
      <c r="P24" s="262"/>
      <c r="Q24" s="262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</row>
    <row r="25" spans="2:44" ht="16.2" thickBot="1">
      <c r="B25" s="198" t="s">
        <v>283</v>
      </c>
      <c r="F25" s="421">
        <f>+G61*1000</f>
        <v>0</v>
      </c>
      <c r="J25" s="374"/>
      <c r="K25" s="262"/>
      <c r="L25" s="262"/>
      <c r="M25" s="262"/>
      <c r="N25" s="262"/>
      <c r="O25" s="262"/>
      <c r="P25" s="302"/>
      <c r="Q25" s="302"/>
      <c r="R25" s="302"/>
      <c r="S25" s="302"/>
      <c r="T25" s="302"/>
      <c r="U25" s="302"/>
      <c r="V25" s="302"/>
      <c r="W25" s="302"/>
      <c r="X25" s="302"/>
      <c r="Y25" s="321"/>
      <c r="Z25" s="321"/>
      <c r="AA25" s="321"/>
      <c r="AB25" s="321"/>
      <c r="AC25" s="321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</row>
    <row r="26" spans="2:44" ht="16.2" thickBot="1">
      <c r="J26" s="786" t="s">
        <v>284</v>
      </c>
      <c r="K26" s="793"/>
      <c r="L26" s="793"/>
      <c r="M26" s="793"/>
      <c r="N26" s="793"/>
      <c r="O26" s="793"/>
      <c r="P26" s="793"/>
      <c r="Q26" s="787"/>
      <c r="R26" s="302"/>
      <c r="S26" s="302"/>
      <c r="T26" s="302"/>
      <c r="U26" s="302"/>
      <c r="V26" s="302"/>
      <c r="W26" s="302"/>
      <c r="X26" s="302"/>
      <c r="Y26" s="321"/>
      <c r="Z26" s="321"/>
      <c r="AA26" s="321"/>
      <c r="AB26" s="321"/>
      <c r="AC26" s="321"/>
      <c r="AD26" s="302"/>
      <c r="AE26" s="302"/>
      <c r="AF26" s="302"/>
      <c r="AG26" s="302"/>
      <c r="AH26" s="302"/>
      <c r="AI26" s="302"/>
      <c r="AJ26" s="302"/>
      <c r="AK26" s="302"/>
      <c r="AL26" s="302"/>
      <c r="AM26" s="302"/>
      <c r="AN26" s="302"/>
      <c r="AO26" s="302"/>
      <c r="AP26" s="302"/>
      <c r="AQ26" s="302"/>
      <c r="AR26" s="302"/>
    </row>
    <row r="27" spans="2:44" ht="15.6">
      <c r="B27" s="198" t="s">
        <v>78</v>
      </c>
      <c r="F27" s="628" t="s">
        <v>88</v>
      </c>
      <c r="G27" s="420"/>
      <c r="J27" s="374"/>
      <c r="K27" s="262"/>
      <c r="L27" s="262"/>
      <c r="M27" s="262"/>
      <c r="N27" s="262"/>
      <c r="O27" s="262"/>
      <c r="P27" s="302"/>
      <c r="Q27" s="302"/>
      <c r="R27" s="302"/>
      <c r="S27" s="302"/>
      <c r="T27" s="302"/>
      <c r="U27" s="302"/>
      <c r="V27" s="302"/>
      <c r="W27" s="302"/>
      <c r="X27" s="302"/>
      <c r="Y27" s="321"/>
      <c r="Z27" s="321"/>
      <c r="AA27" s="321"/>
      <c r="AB27" s="321"/>
      <c r="AC27" s="321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</row>
    <row r="28" spans="2:44" ht="15.6">
      <c r="B28" s="198"/>
      <c r="F28" s="199"/>
      <c r="G28" s="420"/>
      <c r="J28" s="374"/>
      <c r="K28" s="262"/>
      <c r="L28" s="262"/>
      <c r="M28" s="262"/>
      <c r="N28" s="262"/>
      <c r="O28" s="262"/>
      <c r="P28" s="302"/>
      <c r="Q28" s="302"/>
      <c r="R28" s="302"/>
      <c r="S28" s="302"/>
      <c r="T28" s="302"/>
      <c r="U28" s="302"/>
      <c r="V28" s="302"/>
      <c r="W28" s="302"/>
      <c r="X28" s="302"/>
      <c r="Y28" s="321"/>
      <c r="Z28" s="321"/>
      <c r="AA28" s="321"/>
      <c r="AB28" s="321"/>
      <c r="AC28" s="321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</row>
    <row r="29" spans="2:44" ht="15.6">
      <c r="C29" s="198" t="s">
        <v>285</v>
      </c>
      <c r="F29" s="199"/>
      <c r="G29" s="420"/>
      <c r="J29" s="374"/>
      <c r="K29" s="262"/>
      <c r="L29" s="262"/>
      <c r="M29" s="262"/>
      <c r="N29" s="262"/>
      <c r="O29" s="262"/>
      <c r="P29" s="302"/>
      <c r="Q29" s="302"/>
      <c r="R29" s="302"/>
      <c r="S29" s="302"/>
      <c r="T29" s="302"/>
      <c r="U29" s="302"/>
      <c r="V29" s="302"/>
      <c r="W29" s="302"/>
      <c r="X29" s="302"/>
      <c r="Y29" s="321"/>
      <c r="Z29" s="321"/>
      <c r="AA29" s="321"/>
      <c r="AB29" s="321"/>
      <c r="AC29" s="321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</row>
    <row r="30" spans="2:44" ht="16.2" thickBot="1">
      <c r="B30" s="198"/>
      <c r="C30" s="635" t="s">
        <v>270</v>
      </c>
      <c r="F30" s="199"/>
      <c r="G30" s="420"/>
      <c r="J30" s="374"/>
      <c r="K30" s="262"/>
      <c r="L30" s="262"/>
      <c r="M30" s="262"/>
      <c r="N30" s="262"/>
      <c r="O30" s="262"/>
      <c r="P30" s="302"/>
      <c r="Q30" s="302"/>
      <c r="R30" s="302"/>
      <c r="S30" s="302"/>
      <c r="T30" s="302"/>
      <c r="U30" s="302"/>
      <c r="V30" s="302"/>
      <c r="W30" s="302"/>
      <c r="X30" s="302"/>
      <c r="Y30" s="321"/>
      <c r="Z30" s="321"/>
      <c r="AA30" s="321"/>
      <c r="AB30" s="321"/>
      <c r="AC30" s="321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</row>
    <row r="31" spans="2:44" ht="12.9" customHeight="1">
      <c r="B31" t="s">
        <v>286</v>
      </c>
      <c r="C31" s="794" t="s">
        <v>377</v>
      </c>
      <c r="D31" s="795"/>
      <c r="E31" s="795"/>
      <c r="F31" s="796"/>
      <c r="G31" s="420"/>
      <c r="J31" s="373"/>
      <c r="K31" s="302"/>
      <c r="L31" s="302"/>
      <c r="M31" s="319"/>
      <c r="N31" s="797" t="s">
        <v>287</v>
      </c>
      <c r="O31" s="798"/>
      <c r="P31" s="302"/>
      <c r="Q31" s="302"/>
      <c r="R31" s="302"/>
      <c r="S31" s="302"/>
      <c r="T31" s="302"/>
      <c r="U31" s="302"/>
      <c r="V31" s="302"/>
      <c r="W31" s="321"/>
      <c r="X31" s="321"/>
      <c r="Y31" s="321"/>
      <c r="Z31" s="321"/>
      <c r="AA31" s="321"/>
      <c r="AB31" s="302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302"/>
    </row>
    <row r="32" spans="2:44" ht="16.2" thickBot="1">
      <c r="B32" s="198"/>
      <c r="C32" s="625"/>
      <c r="D32" s="625"/>
      <c r="E32" s="625"/>
      <c r="F32" s="626"/>
      <c r="G32" s="420"/>
      <c r="J32" s="374"/>
      <c r="K32" s="262"/>
      <c r="L32" s="262"/>
      <c r="M32" s="262"/>
      <c r="N32" s="262"/>
      <c r="O32" s="262"/>
      <c r="P32" s="302"/>
      <c r="Q32" s="302"/>
      <c r="R32" s="302"/>
      <c r="S32" s="302"/>
      <c r="T32" s="302"/>
      <c r="U32" s="302"/>
      <c r="V32" s="302"/>
      <c r="W32" s="302"/>
      <c r="X32" s="302"/>
      <c r="Y32" s="321"/>
      <c r="Z32" s="321"/>
      <c r="AA32" s="321"/>
      <c r="AB32" s="321"/>
      <c r="AC32" s="321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2"/>
      <c r="AO32" s="302"/>
      <c r="AP32" s="302"/>
      <c r="AQ32" s="302"/>
      <c r="AR32" s="302"/>
    </row>
    <row r="33" spans="2:44" ht="13.8">
      <c r="B33" t="s">
        <v>288</v>
      </c>
      <c r="C33" s="794" t="s">
        <v>378</v>
      </c>
      <c r="D33" s="795"/>
      <c r="E33" s="795"/>
      <c r="F33" s="796"/>
      <c r="G33" s="420"/>
      <c r="J33" s="373"/>
      <c r="K33" s="302"/>
      <c r="L33" s="302"/>
      <c r="M33" s="319"/>
      <c r="N33" s="797" t="s">
        <v>287</v>
      </c>
      <c r="O33" s="798"/>
      <c r="P33" s="302"/>
      <c r="Q33" s="302"/>
      <c r="R33" s="302"/>
      <c r="S33" s="302"/>
      <c r="T33" s="302"/>
      <c r="U33" s="302"/>
      <c r="V33" s="302"/>
      <c r="W33" s="321"/>
      <c r="X33" s="321"/>
      <c r="Y33" s="321"/>
      <c r="Z33" s="321"/>
      <c r="AA33" s="321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</row>
    <row r="34" spans="2:44" ht="16.2" thickBot="1">
      <c r="B34" s="198"/>
      <c r="C34" s="625"/>
      <c r="D34" s="625"/>
      <c r="E34" s="625"/>
      <c r="F34" s="626"/>
      <c r="G34" s="420"/>
      <c r="J34" s="374"/>
      <c r="K34" s="262"/>
      <c r="L34" s="262"/>
      <c r="M34" s="262"/>
      <c r="N34" s="262"/>
      <c r="O34" s="262"/>
      <c r="P34" s="302"/>
      <c r="Q34" s="302"/>
      <c r="R34" s="302"/>
      <c r="S34" s="302"/>
      <c r="T34" s="302"/>
      <c r="U34" s="302"/>
      <c r="V34" s="302"/>
      <c r="W34" s="302"/>
      <c r="X34" s="302"/>
      <c r="Y34" s="321"/>
      <c r="Z34" s="321"/>
      <c r="AA34" s="321"/>
      <c r="AB34" s="321"/>
      <c r="AC34" s="321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</row>
    <row r="35" spans="2:44" ht="14.4" thickBot="1">
      <c r="B35" t="s">
        <v>289</v>
      </c>
      <c r="C35" s="794" t="s">
        <v>379</v>
      </c>
      <c r="D35" s="795"/>
      <c r="E35" s="795"/>
      <c r="F35" s="796"/>
      <c r="G35" s="420"/>
      <c r="J35" s="373"/>
      <c r="K35" s="302"/>
      <c r="L35" s="302"/>
      <c r="M35" s="319"/>
      <c r="N35" s="797" t="s">
        <v>287</v>
      </c>
      <c r="O35" s="798"/>
      <c r="P35" s="302"/>
      <c r="Q35" s="302"/>
      <c r="R35" s="302"/>
      <c r="S35" s="302"/>
      <c r="T35" s="302"/>
      <c r="U35" s="302"/>
      <c r="V35" s="302"/>
      <c r="W35" s="321"/>
      <c r="X35" s="321"/>
      <c r="Y35" s="321"/>
      <c r="Z35" s="321"/>
      <c r="AA35" s="321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</row>
    <row r="36" spans="2:44" ht="36.6" thickBot="1">
      <c r="C36" s="635" t="s">
        <v>270</v>
      </c>
      <c r="J36" s="370" t="s">
        <v>290</v>
      </c>
      <c r="K36" s="370" t="s">
        <v>291</v>
      </c>
      <c r="L36" s="372" t="s">
        <v>292</v>
      </c>
      <c r="M36" s="372" t="s">
        <v>293</v>
      </c>
      <c r="N36" s="371" t="s">
        <v>294</v>
      </c>
      <c r="O36" s="370" t="s">
        <v>295</v>
      </c>
      <c r="P36" s="302"/>
      <c r="Q36" s="302"/>
      <c r="R36" s="302"/>
      <c r="S36" s="302"/>
      <c r="T36" s="302"/>
      <c r="U36" s="302"/>
      <c r="V36" s="302"/>
      <c r="W36" s="321"/>
      <c r="X36" s="321"/>
      <c r="Y36" s="321"/>
      <c r="Z36" s="321"/>
      <c r="AA36" s="321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</row>
    <row r="37" spans="2:44" ht="15.6">
      <c r="B37" s="198" t="s">
        <v>79</v>
      </c>
      <c r="C37" s="629">
        <v>2040</v>
      </c>
      <c r="J37" s="369" t="s">
        <v>296</v>
      </c>
      <c r="K37" s="368">
        <f>Paramètres!C12</f>
        <v>0.216</v>
      </c>
      <c r="L37" s="367"/>
      <c r="M37" s="367"/>
      <c r="N37" s="366">
        <f>Paramètres!C13*1000</f>
        <v>0</v>
      </c>
      <c r="O37" s="799">
        <v>70</v>
      </c>
      <c r="P37" s="302"/>
      <c r="Q37" s="302"/>
      <c r="R37" s="302"/>
      <c r="S37" s="302"/>
      <c r="T37" s="302"/>
      <c r="U37" s="302"/>
      <c r="V37" s="302"/>
      <c r="W37" s="321"/>
      <c r="X37" s="321"/>
      <c r="Y37" s="321"/>
      <c r="Z37" s="321"/>
      <c r="AA37" s="321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</row>
    <row r="38" spans="2:44" ht="15.6">
      <c r="B38" s="198"/>
      <c r="J38" s="364" t="s">
        <v>12</v>
      </c>
      <c r="K38" s="365">
        <f>Paramètres!D12</f>
        <v>0.218</v>
      </c>
      <c r="L38" s="362"/>
      <c r="M38" s="362"/>
      <c r="N38" s="361">
        <f>Paramètres!D13*1000</f>
        <v>0</v>
      </c>
      <c r="O38" s="800"/>
      <c r="P38" s="302"/>
      <c r="Q38" s="302"/>
      <c r="R38" s="302"/>
      <c r="S38" s="302"/>
      <c r="T38" s="302"/>
      <c r="U38" s="302"/>
      <c r="V38" s="302"/>
      <c r="W38" s="321"/>
      <c r="X38" s="321"/>
      <c r="Y38" s="321"/>
      <c r="Z38" s="321"/>
      <c r="AA38" s="321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</row>
    <row r="39" spans="2:44">
      <c r="J39" s="364" t="s">
        <v>297</v>
      </c>
      <c r="K39" s="365">
        <f>Paramètres!E12/1000/(35.9/0.94/3600)</f>
        <v>0.30700138161559892</v>
      </c>
      <c r="L39" s="362"/>
      <c r="M39" s="362"/>
      <c r="N39" s="361">
        <f>Paramètres!E13/Paramètres!E10*1000</f>
        <v>0</v>
      </c>
      <c r="O39" s="800"/>
      <c r="P39" s="302"/>
      <c r="Q39" s="302"/>
      <c r="R39" s="302"/>
      <c r="S39" s="302"/>
      <c r="T39" s="302"/>
      <c r="U39" s="302"/>
      <c r="V39" s="302"/>
      <c r="W39" s="321"/>
      <c r="X39" s="321"/>
      <c r="Y39" s="321"/>
      <c r="Z39" s="321"/>
      <c r="AA39" s="321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</row>
    <row r="40" spans="2:44" ht="15.6">
      <c r="B40" s="198" t="s">
        <v>298</v>
      </c>
      <c r="J40" s="364" t="s">
        <v>299</v>
      </c>
      <c r="K40" s="365">
        <f>2.9209/1000/(43.77/0.94/3600)</f>
        <v>0.22582420836189168</v>
      </c>
      <c r="L40" s="362"/>
      <c r="M40" s="362"/>
      <c r="N40" s="361"/>
      <c r="O40" s="800"/>
      <c r="P40" s="302"/>
      <c r="Q40" s="302"/>
      <c r="R40" s="302"/>
      <c r="S40" s="302"/>
      <c r="T40" s="302"/>
      <c r="U40" s="302"/>
      <c r="V40" s="302"/>
      <c r="W40" s="321"/>
      <c r="X40" s="321"/>
      <c r="Y40" s="321"/>
      <c r="Z40" s="321"/>
      <c r="AA40" s="321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</row>
    <row r="41" spans="2:44">
      <c r="J41" s="364" t="s">
        <v>300</v>
      </c>
      <c r="K41" s="365">
        <f>3.3679/1000/(35.9/0.94/3600)</f>
        <v>0.31746444568245125</v>
      </c>
      <c r="L41" s="362"/>
      <c r="M41" s="362"/>
      <c r="N41" s="361"/>
      <c r="O41" s="800"/>
      <c r="P41" s="302"/>
      <c r="Q41" s="302"/>
      <c r="R41" s="302"/>
      <c r="S41" s="302"/>
      <c r="T41" s="302"/>
      <c r="U41" s="302"/>
      <c r="V41" s="302"/>
      <c r="W41" s="321"/>
      <c r="X41" s="321"/>
      <c r="Y41" s="321"/>
      <c r="Z41" s="321"/>
      <c r="AA41" s="321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</row>
    <row r="42" spans="2:44" ht="12.9" customHeight="1">
      <c r="B42" s="769"/>
      <c r="C42" s="770"/>
      <c r="D42" s="770"/>
      <c r="E42" s="770"/>
      <c r="F42" s="770"/>
      <c r="G42" s="770"/>
      <c r="H42" s="771"/>
      <c r="J42" s="364" t="s">
        <v>301</v>
      </c>
      <c r="K42" s="365">
        <f>3.0567/1000/(29.31/0.96/3600)</f>
        <v>0.36042153531218019</v>
      </c>
      <c r="L42" s="362"/>
      <c r="M42" s="362"/>
      <c r="N42" s="361"/>
      <c r="O42" s="800"/>
      <c r="P42" s="302"/>
      <c r="Q42" s="302"/>
      <c r="R42" s="302"/>
      <c r="S42" s="302"/>
      <c r="T42" s="302"/>
      <c r="U42" s="302"/>
      <c r="V42" s="302"/>
      <c r="W42" s="321"/>
      <c r="X42" s="321"/>
      <c r="Y42" s="321"/>
      <c r="Z42" s="321"/>
      <c r="AA42" s="321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</row>
    <row r="43" spans="2:44">
      <c r="J43" s="364" t="s">
        <v>302</v>
      </c>
      <c r="K43" s="411">
        <v>0</v>
      </c>
      <c r="L43" s="362"/>
      <c r="M43" s="362"/>
      <c r="N43" s="361"/>
      <c r="O43" s="800"/>
      <c r="P43" s="302"/>
      <c r="Q43" s="302"/>
      <c r="R43" s="302"/>
      <c r="S43" s="302"/>
      <c r="T43" s="302"/>
      <c r="U43" s="302"/>
      <c r="V43" s="302"/>
      <c r="W43" s="321"/>
      <c r="X43" s="321"/>
      <c r="Y43" s="321"/>
      <c r="Z43" s="321"/>
      <c r="AA43" s="321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</row>
    <row r="44" spans="2:44" ht="15.6">
      <c r="B44" s="198" t="s">
        <v>303</v>
      </c>
      <c r="J44" s="364" t="s">
        <v>304</v>
      </c>
      <c r="K44" s="363"/>
      <c r="L44" s="362"/>
      <c r="M44" s="362"/>
      <c r="N44" s="361"/>
      <c r="O44" s="800"/>
      <c r="P44" s="302"/>
      <c r="Q44" s="302"/>
      <c r="R44" s="302"/>
      <c r="S44" s="302"/>
      <c r="T44" s="302"/>
      <c r="U44" s="302"/>
      <c r="V44" s="302"/>
      <c r="W44" s="321"/>
      <c r="X44" s="321"/>
      <c r="Y44" s="321"/>
      <c r="Z44" s="321"/>
      <c r="AA44" s="321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</row>
    <row r="45" spans="2:44" ht="13.8" thickBot="1">
      <c r="J45" s="360" t="s">
        <v>304</v>
      </c>
      <c r="K45" s="359"/>
      <c r="L45" s="358"/>
      <c r="M45" s="358"/>
      <c r="N45" s="357"/>
      <c r="O45" s="801"/>
      <c r="P45" s="302"/>
      <c r="Q45" s="302"/>
      <c r="R45" s="302"/>
      <c r="S45" s="302"/>
      <c r="T45" s="302"/>
      <c r="U45" s="302"/>
      <c r="V45" s="302"/>
      <c r="W45" s="321"/>
      <c r="X45" s="321"/>
      <c r="Y45" s="321"/>
      <c r="Z45" s="321"/>
      <c r="AA45" s="321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</row>
    <row r="46" spans="2:44" ht="25.5" customHeight="1" thickBot="1">
      <c r="B46" s="788" t="s">
        <v>380</v>
      </c>
      <c r="C46" s="789"/>
      <c r="D46" s="789"/>
      <c r="E46" s="789"/>
      <c r="F46" s="789"/>
      <c r="G46" s="789"/>
      <c r="H46" s="790"/>
      <c r="J46" s="302"/>
      <c r="K46" s="302"/>
      <c r="L46" s="302"/>
      <c r="M46" s="319"/>
      <c r="N46" s="302"/>
      <c r="O46" s="302"/>
      <c r="P46" s="302"/>
      <c r="Q46" s="302"/>
      <c r="R46" s="302"/>
      <c r="S46" s="302"/>
      <c r="T46" s="302"/>
      <c r="U46" s="302"/>
      <c r="V46" s="302"/>
      <c r="W46" s="321"/>
      <c r="X46" s="321"/>
      <c r="Y46" s="321"/>
      <c r="Z46" s="321"/>
      <c r="AA46" s="321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</row>
    <row r="47" spans="2:44" ht="13.8" thickBot="1">
      <c r="B47" s="197"/>
      <c r="C47" s="197"/>
      <c r="D47" s="197"/>
      <c r="E47" s="197"/>
      <c r="F47" s="197"/>
      <c r="G47" s="197"/>
      <c r="H47" s="197"/>
      <c r="I47" s="1"/>
      <c r="J47" s="302"/>
      <c r="K47" s="302"/>
      <c r="L47" s="302"/>
      <c r="M47" s="356" t="s">
        <v>305</v>
      </c>
      <c r="N47" s="791">
        <f>(((L37-M37)*N37)+((L38-M38)*N38)+((L39-M39)*N39)+((L40-M40)*N40)+((L41-M41)*N41)+((L42-M42)*N42)+((L43-M43)*N43)+((L44-M44)*N44)+((L45-M45)*N45))</f>
        <v>0</v>
      </c>
      <c r="O47" s="792"/>
      <c r="P47" s="302"/>
      <c r="Q47" s="302"/>
      <c r="R47" s="302"/>
      <c r="S47" s="302"/>
      <c r="T47" s="302"/>
      <c r="U47" s="302"/>
      <c r="V47" s="302"/>
      <c r="W47" s="321"/>
      <c r="X47" s="321"/>
      <c r="Y47" s="321"/>
      <c r="Z47" s="321"/>
      <c r="AA47" s="321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</row>
    <row r="48" spans="2:44" ht="16.2" thickBot="1">
      <c r="B48" s="198" t="s">
        <v>306</v>
      </c>
      <c r="C48" s="423"/>
      <c r="D48" s="423"/>
      <c r="E48" s="423"/>
      <c r="F48" s="423"/>
      <c r="G48" s="423"/>
      <c r="H48" s="423"/>
      <c r="I48" s="1"/>
      <c r="J48" s="302"/>
      <c r="K48" s="302"/>
      <c r="L48" s="302"/>
      <c r="M48" s="355" t="s">
        <v>307</v>
      </c>
      <c r="N48" s="791">
        <f>IF(K22="OUI",((((L38-M38)*K38)+((L39-M39)*K39)+((L40-M40)*K40)+((L41-M41)*K41)+((L42-M42)*K42)+((L43-M43)*K43)+((L44-M44)*K44)+((L45-M45)*K45)))*O37,0)</f>
        <v>0</v>
      </c>
      <c r="O48" s="792"/>
      <c r="P48" s="302"/>
      <c r="Q48" s="302"/>
      <c r="R48" s="302"/>
      <c r="S48" s="302"/>
      <c r="T48" s="302"/>
      <c r="U48" s="302"/>
      <c r="V48" s="302"/>
      <c r="W48" s="321"/>
      <c r="X48" s="321"/>
      <c r="Y48" s="321"/>
      <c r="Z48" s="321"/>
      <c r="AA48" s="321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</row>
    <row r="49" spans="2:44">
      <c r="G49" s="196"/>
      <c r="I49" s="1"/>
      <c r="J49" s="302"/>
      <c r="K49" s="302"/>
      <c r="L49" s="302"/>
      <c r="M49" s="354"/>
      <c r="N49" s="353"/>
      <c r="O49" s="353"/>
      <c r="P49" s="302"/>
      <c r="Q49" s="302"/>
      <c r="R49" s="302"/>
      <c r="S49" s="302"/>
      <c r="T49" s="302"/>
      <c r="U49" s="302"/>
      <c r="V49" s="302"/>
      <c r="W49" s="321"/>
      <c r="X49" s="321"/>
      <c r="Y49" s="321"/>
      <c r="Z49" s="321"/>
      <c r="AA49" s="321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</row>
    <row r="50" spans="2:44" ht="17.100000000000001" customHeight="1" thickBot="1">
      <c r="B50" t="str">
        <f>Paramètres!C5</f>
        <v>Electricité 
achetée</v>
      </c>
      <c r="C50" s="448">
        <f>-C51*Paramètres!D9</f>
        <v>-27090000</v>
      </c>
      <c r="D50" t="str">
        <f>Paramètres!C6</f>
        <v>kWh</v>
      </c>
      <c r="G50" s="196"/>
      <c r="J50" s="302"/>
      <c r="K50" s="302"/>
      <c r="L50" s="302"/>
      <c r="M50" s="354"/>
      <c r="N50" s="353"/>
      <c r="O50" s="353"/>
      <c r="P50" s="353"/>
      <c r="Q50" s="353"/>
      <c r="R50" s="302"/>
      <c r="S50" s="302"/>
      <c r="T50" s="302"/>
      <c r="U50" s="302"/>
      <c r="V50" s="302"/>
      <c r="W50" s="302"/>
      <c r="X50" s="302"/>
      <c r="Y50" s="321"/>
      <c r="Z50" s="321"/>
      <c r="AA50" s="321"/>
      <c r="AB50" s="321"/>
      <c r="AC50" s="321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</row>
    <row r="51" spans="2:44" ht="17.100000000000001" customHeight="1" thickBot="1">
      <c r="B51" t="str">
        <f>Paramètres!D5</f>
        <v>Gaz Naturel</v>
      </c>
      <c r="C51" s="448">
        <v>30000000</v>
      </c>
      <c r="D51" s="145" t="str">
        <f>Paramètres!D6</f>
        <v>kWhs</v>
      </c>
      <c r="G51" s="196"/>
      <c r="H51" s="145"/>
      <c r="J51" s="786" t="s">
        <v>308</v>
      </c>
      <c r="K51" s="793"/>
      <c r="L51" s="793"/>
      <c r="M51" s="793"/>
      <c r="N51" s="793"/>
      <c r="O51" s="793"/>
      <c r="P51" s="793"/>
      <c r="Q51" s="787"/>
      <c r="R51" s="302"/>
      <c r="S51" s="302"/>
      <c r="T51" s="302"/>
      <c r="U51" s="302"/>
      <c r="V51" s="302"/>
      <c r="W51" s="302"/>
      <c r="X51" s="302"/>
      <c r="Y51" s="321"/>
      <c r="Z51" s="321"/>
      <c r="AA51" s="321"/>
      <c r="AB51" s="321"/>
      <c r="AC51" s="321"/>
      <c r="AD51" s="302"/>
      <c r="AE51" s="302"/>
      <c r="AF51" s="302"/>
      <c r="AG51" s="302"/>
      <c r="AH51" s="302"/>
      <c r="AI51" s="302"/>
      <c r="AJ51" s="302"/>
      <c r="AK51" s="302"/>
      <c r="AL51" s="302"/>
      <c r="AM51" s="302"/>
      <c r="AN51" s="302"/>
      <c r="AO51" s="302"/>
      <c r="AP51" s="302"/>
      <c r="AQ51" s="302"/>
      <c r="AR51" s="302"/>
    </row>
    <row r="52" spans="2:44" ht="17.100000000000001" customHeight="1">
      <c r="B52" t="str">
        <f>Paramètres!F5</f>
        <v>Biogaz</v>
      </c>
      <c r="C52" s="448"/>
      <c r="D52" s="145" t="str">
        <f>Paramètres!F6</f>
        <v>kWhs</v>
      </c>
      <c r="G52" s="196"/>
      <c r="H52" s="145"/>
      <c r="J52" s="633"/>
      <c r="K52" s="633"/>
      <c r="L52" s="633"/>
      <c r="M52" s="633"/>
      <c r="N52" s="633"/>
      <c r="O52" s="633"/>
      <c r="P52" s="633"/>
      <c r="Q52" s="633"/>
      <c r="R52" s="302"/>
      <c r="S52" s="302"/>
      <c r="T52" s="302"/>
      <c r="U52" s="302"/>
      <c r="V52" s="302"/>
      <c r="W52" s="302"/>
      <c r="X52" s="302"/>
      <c r="Y52" s="321"/>
      <c r="Z52" s="321"/>
      <c r="AA52" s="321"/>
      <c r="AB52" s="321"/>
      <c r="AC52" s="321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302"/>
      <c r="AP52" s="302"/>
      <c r="AQ52" s="302"/>
      <c r="AR52" s="302"/>
    </row>
    <row r="53" spans="2:44" ht="17.100000000000001" customHeight="1">
      <c r="B53" t="str">
        <f>Paramètres!G5</f>
        <v>Elec SER</v>
      </c>
      <c r="C53" s="448"/>
      <c r="D53" s="145" t="str">
        <f>Paramètres!G6</f>
        <v>kWh</v>
      </c>
      <c r="G53" s="196"/>
      <c r="H53" s="145"/>
      <c r="J53" s="633"/>
      <c r="K53" s="633"/>
      <c r="L53" s="633"/>
      <c r="M53" s="633"/>
      <c r="N53" s="633"/>
      <c r="O53" s="633"/>
      <c r="P53" s="633"/>
      <c r="Q53" s="633"/>
      <c r="R53" s="302"/>
      <c r="S53" s="302"/>
      <c r="T53" s="302"/>
      <c r="U53" s="302"/>
      <c r="V53" s="302"/>
      <c r="W53" s="302"/>
      <c r="X53" s="302"/>
      <c r="Y53" s="321"/>
      <c r="Z53" s="321"/>
      <c r="AA53" s="321"/>
      <c r="AB53" s="321"/>
      <c r="AC53" s="321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</row>
    <row r="54" spans="2:44" ht="17.100000000000001" customHeight="1" thickBot="1">
      <c r="B54" t="str">
        <f>Paramètres!H5</f>
        <v>Process</v>
      </c>
      <c r="C54" s="448"/>
      <c r="D54" s="145" t="str">
        <f>Paramètres!H6</f>
        <v>kgCO2</v>
      </c>
      <c r="G54" s="196"/>
      <c r="J54" s="802"/>
      <c r="K54" s="802"/>
      <c r="L54" s="802"/>
      <c r="M54" s="802"/>
      <c r="N54" s="8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21"/>
      <c r="AB54" s="321"/>
      <c r="AC54" s="321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</row>
    <row r="55" spans="2:44">
      <c r="C55" s="195"/>
      <c r="J55" s="803" t="s">
        <v>309</v>
      </c>
      <c r="K55" s="806" t="s">
        <v>310</v>
      </c>
      <c r="L55" s="330" t="s">
        <v>311</v>
      </c>
      <c r="M55" s="352"/>
      <c r="N55" s="333" t="s">
        <v>312</v>
      </c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21"/>
      <c r="AB55" s="321"/>
      <c r="AC55" s="321"/>
      <c r="AD55" s="321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</row>
    <row r="56" spans="2:44" ht="16.2" thickBot="1">
      <c r="B56" s="198" t="s">
        <v>313</v>
      </c>
      <c r="C56" s="423"/>
      <c r="D56" s="423"/>
      <c r="E56" s="423"/>
      <c r="F56" s="423"/>
      <c r="G56" s="423"/>
      <c r="H56" s="423"/>
      <c r="J56" s="804"/>
      <c r="K56" s="807"/>
      <c r="L56" s="326" t="s">
        <v>314</v>
      </c>
      <c r="M56" s="327"/>
      <c r="N56" s="326" t="s">
        <v>312</v>
      </c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21"/>
      <c r="AB56" s="321"/>
      <c r="AC56" s="321"/>
      <c r="AD56" s="321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</row>
    <row r="57" spans="2:44">
      <c r="H57" s="178"/>
      <c r="J57" s="804"/>
      <c r="K57" s="807" t="s">
        <v>315</v>
      </c>
      <c r="L57" s="341" t="s">
        <v>316</v>
      </c>
      <c r="M57" s="340"/>
      <c r="N57" s="333" t="s">
        <v>312</v>
      </c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21"/>
      <c r="AB57" s="321"/>
      <c r="AC57" s="321"/>
      <c r="AD57" s="321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</row>
    <row r="58" spans="2:44" ht="13.8" thickBot="1">
      <c r="B58" s="810"/>
      <c r="C58" s="811"/>
      <c r="D58" s="811"/>
      <c r="E58" s="812"/>
      <c r="G58" s="630">
        <v>0</v>
      </c>
      <c r="H58" s="476"/>
      <c r="J58" s="804"/>
      <c r="K58" s="807"/>
      <c r="L58" s="339" t="s">
        <v>317</v>
      </c>
      <c r="M58" s="351"/>
      <c r="N58" s="326" t="s">
        <v>312</v>
      </c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21"/>
      <c r="AB58" s="321"/>
      <c r="AC58" s="321"/>
      <c r="AD58" s="321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</row>
    <row r="59" spans="2:44" ht="13.8" thickBot="1">
      <c r="B59" s="808"/>
      <c r="C59" s="808"/>
      <c r="D59" s="808"/>
      <c r="E59" s="808"/>
      <c r="F59" s="808"/>
      <c r="G59" s="422"/>
      <c r="H59" s="178"/>
      <c r="J59" s="805"/>
      <c r="K59" s="350" t="s">
        <v>318</v>
      </c>
      <c r="L59" s="322" t="s">
        <v>319</v>
      </c>
      <c r="M59" s="349"/>
      <c r="N59" s="331" t="s">
        <v>312</v>
      </c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21"/>
      <c r="AB59" s="321"/>
      <c r="AC59" s="321"/>
      <c r="AD59" s="321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</row>
    <row r="60" spans="2:44" ht="13.8" thickBot="1">
      <c r="B60" s="808"/>
      <c r="C60" s="808"/>
      <c r="D60" s="808"/>
      <c r="E60" s="808"/>
      <c r="F60" s="808"/>
      <c r="G60" s="422"/>
      <c r="H60" s="178"/>
      <c r="J60" s="348"/>
      <c r="K60" s="346"/>
      <c r="L60" s="346"/>
      <c r="M60" s="347"/>
      <c r="N60" s="346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21"/>
      <c r="AB60" s="321"/>
      <c r="AC60" s="321"/>
      <c r="AD60" s="321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</row>
    <row r="61" spans="2:44" ht="13.8" thickBot="1">
      <c r="B61" s="813" t="s">
        <v>320</v>
      </c>
      <c r="C61" s="813"/>
      <c r="D61" s="813"/>
      <c r="E61" s="813"/>
      <c r="F61" s="813"/>
      <c r="G61" s="449">
        <f>SUM(G58:G60)/1000</f>
        <v>0</v>
      </c>
      <c r="H61" s="190"/>
      <c r="J61" s="814" t="s">
        <v>321</v>
      </c>
      <c r="K61" s="344" t="s">
        <v>322</v>
      </c>
      <c r="L61" s="343" t="s">
        <v>323</v>
      </c>
      <c r="M61" s="342"/>
      <c r="N61" s="333" t="s">
        <v>324</v>
      </c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21"/>
      <c r="AB61" s="321"/>
      <c r="AC61" s="321"/>
      <c r="AD61" s="321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</row>
    <row r="62" spans="2:44">
      <c r="B62" s="193"/>
      <c r="C62" s="194"/>
      <c r="D62" s="193"/>
      <c r="E62" s="193"/>
      <c r="F62" s="193"/>
      <c r="J62" s="815"/>
      <c r="K62" s="807" t="s">
        <v>325</v>
      </c>
      <c r="L62" s="341" t="s">
        <v>326</v>
      </c>
      <c r="M62" s="340"/>
      <c r="N62" s="333" t="s">
        <v>324</v>
      </c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21"/>
      <c r="AB62" s="321"/>
      <c r="AC62" s="321"/>
      <c r="AD62" s="321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</row>
    <row r="63" spans="2:44" ht="16.2" thickBot="1">
      <c r="B63" s="198" t="s">
        <v>327</v>
      </c>
      <c r="C63" s="423"/>
      <c r="D63" s="423"/>
      <c r="E63" s="423"/>
      <c r="F63" s="423"/>
      <c r="G63" s="423"/>
      <c r="H63" s="423"/>
      <c r="J63" s="815"/>
      <c r="K63" s="807"/>
      <c r="L63" s="339" t="s">
        <v>328</v>
      </c>
      <c r="M63" s="338"/>
      <c r="N63" s="322" t="s">
        <v>329</v>
      </c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21"/>
      <c r="AB63" s="321"/>
      <c r="AC63" s="321"/>
      <c r="AD63" s="321"/>
      <c r="AE63" s="302"/>
      <c r="AF63" s="302"/>
      <c r="AG63" s="302"/>
      <c r="AH63" s="302"/>
      <c r="AI63" s="302"/>
      <c r="AJ63" s="302"/>
      <c r="AK63" s="302"/>
      <c r="AL63" s="302"/>
      <c r="AM63" s="302"/>
      <c r="AN63" s="302"/>
      <c r="AO63" s="302"/>
      <c r="AP63" s="302"/>
      <c r="AQ63" s="302"/>
      <c r="AR63" s="302"/>
    </row>
    <row r="64" spans="2:44">
      <c r="B64" s="808"/>
      <c r="C64" s="808"/>
      <c r="D64" s="808"/>
      <c r="E64" s="808"/>
      <c r="F64" s="808"/>
      <c r="G64" s="192"/>
      <c r="H64" s="178" t="s">
        <v>330</v>
      </c>
      <c r="J64" s="815"/>
      <c r="K64" s="807" t="s">
        <v>331</v>
      </c>
      <c r="L64" s="337" t="s">
        <v>332</v>
      </c>
      <c r="M64" s="336">
        <f>N47/1000</f>
        <v>0</v>
      </c>
      <c r="N64" s="333" t="s">
        <v>324</v>
      </c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21"/>
      <c r="AB64" s="321"/>
      <c r="AC64" s="321"/>
      <c r="AD64" s="321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</row>
    <row r="65" spans="2:44" ht="13.8" thickBot="1">
      <c r="B65" s="808"/>
      <c r="C65" s="808"/>
      <c r="D65" s="808"/>
      <c r="E65" s="808"/>
      <c r="F65" s="808"/>
      <c r="G65" s="192"/>
      <c r="H65" s="178" t="s">
        <v>330</v>
      </c>
      <c r="J65" s="815"/>
      <c r="K65" s="809"/>
      <c r="L65" s="328" t="s">
        <v>333</v>
      </c>
      <c r="M65" s="335">
        <f>N48/1000</f>
        <v>0</v>
      </c>
      <c r="N65" s="326" t="s">
        <v>324</v>
      </c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21"/>
      <c r="AB65" s="321"/>
      <c r="AC65" s="321"/>
      <c r="AD65" s="321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</row>
    <row r="66" spans="2:44" ht="13.8" thickBot="1">
      <c r="B66" s="808"/>
      <c r="C66" s="808"/>
      <c r="D66" s="808"/>
      <c r="E66" s="808"/>
      <c r="F66" s="808"/>
      <c r="G66" s="192"/>
      <c r="H66" s="178" t="s">
        <v>330</v>
      </c>
      <c r="J66" s="815"/>
      <c r="K66" s="334" t="s">
        <v>334</v>
      </c>
      <c r="L66" s="333" t="s">
        <v>335</v>
      </c>
      <c r="M66" s="332">
        <v>0</v>
      </c>
      <c r="N66" s="331" t="s">
        <v>324</v>
      </c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21"/>
      <c r="AB66" s="321"/>
      <c r="AC66" s="321"/>
      <c r="AD66" s="321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</row>
    <row r="67" spans="2:44">
      <c r="B67" s="813" t="s">
        <v>336</v>
      </c>
      <c r="C67" s="813"/>
      <c r="D67" s="813"/>
      <c r="E67" s="813"/>
      <c r="F67" s="813"/>
      <c r="G67" s="191">
        <f>SUM(G64:G66)</f>
        <v>0</v>
      </c>
      <c r="H67" s="190" t="s">
        <v>330</v>
      </c>
      <c r="J67" s="815"/>
      <c r="K67" s="817" t="s">
        <v>337</v>
      </c>
      <c r="L67" s="330" t="s">
        <v>338</v>
      </c>
      <c r="M67" s="327"/>
      <c r="N67" s="326" t="s">
        <v>324</v>
      </c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21"/>
      <c r="AB67" s="321"/>
      <c r="AC67" s="321"/>
      <c r="AD67" s="321"/>
      <c r="AE67" s="302"/>
      <c r="AF67" s="302"/>
      <c r="AG67" s="302"/>
      <c r="AH67" s="302"/>
      <c r="AI67" s="302"/>
      <c r="AJ67" s="302"/>
      <c r="AK67" s="302"/>
      <c r="AL67" s="302"/>
      <c r="AM67" s="302"/>
      <c r="AN67" s="302"/>
      <c r="AO67" s="302"/>
      <c r="AP67" s="302"/>
      <c r="AQ67" s="302"/>
      <c r="AR67" s="302"/>
    </row>
    <row r="68" spans="2:44" ht="26.4">
      <c r="B68" s="423"/>
      <c r="C68" s="423"/>
      <c r="D68" s="423"/>
      <c r="E68" s="423"/>
      <c r="F68" s="423"/>
      <c r="G68" s="423"/>
      <c r="H68" s="423"/>
      <c r="J68" s="815"/>
      <c r="K68" s="807"/>
      <c r="L68" s="328" t="s">
        <v>339</v>
      </c>
      <c r="M68" s="327"/>
      <c r="N68" s="326" t="s">
        <v>324</v>
      </c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21"/>
      <c r="AB68" s="321"/>
      <c r="AC68" s="321"/>
      <c r="AD68" s="321"/>
      <c r="AE68" s="302"/>
      <c r="AF68" s="302"/>
      <c r="AG68" s="302"/>
      <c r="AH68" s="302"/>
      <c r="AI68" s="302"/>
      <c r="AJ68" s="302"/>
      <c r="AK68" s="302"/>
      <c r="AL68" s="302"/>
      <c r="AM68" s="302"/>
      <c r="AN68" s="302"/>
      <c r="AO68" s="302"/>
      <c r="AP68" s="302"/>
      <c r="AQ68" s="302"/>
      <c r="AR68" s="302"/>
    </row>
    <row r="69" spans="2:44">
      <c r="B69" s="145"/>
      <c r="J69" s="815"/>
      <c r="K69" s="807"/>
      <c r="L69" s="328" t="s">
        <v>340</v>
      </c>
      <c r="M69" s="327"/>
      <c r="N69" s="326" t="s">
        <v>324</v>
      </c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  <c r="AA69" s="321"/>
      <c r="AB69" s="321"/>
      <c r="AC69" s="321"/>
      <c r="AD69" s="321"/>
      <c r="AE69" s="302"/>
      <c r="AF69" s="302"/>
      <c r="AG69" s="302"/>
      <c r="AH69" s="302"/>
      <c r="AI69" s="302"/>
      <c r="AJ69" s="302"/>
      <c r="AK69" s="302"/>
      <c r="AL69" s="302"/>
      <c r="AM69" s="302"/>
      <c r="AN69" s="302"/>
      <c r="AO69" s="302"/>
      <c r="AP69" s="302"/>
      <c r="AQ69" s="302"/>
      <c r="AR69" s="302"/>
    </row>
    <row r="70" spans="2:44" ht="18" customHeight="1">
      <c r="B70" s="819" t="s">
        <v>341</v>
      </c>
      <c r="C70" s="820"/>
      <c r="D70" s="820"/>
      <c r="E70" s="820"/>
      <c r="F70" s="820"/>
      <c r="G70" s="820"/>
      <c r="H70" s="821"/>
      <c r="J70" s="815"/>
      <c r="K70" s="807"/>
      <c r="L70" s="328" t="s">
        <v>342</v>
      </c>
      <c r="M70" s="327"/>
      <c r="N70" s="326" t="s">
        <v>324</v>
      </c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  <c r="AA70" s="321"/>
      <c r="AB70" s="321"/>
      <c r="AC70" s="321"/>
      <c r="AD70" s="321"/>
      <c r="AE70" s="302"/>
      <c r="AF70" s="302"/>
      <c r="AG70" s="302"/>
      <c r="AH70" s="302"/>
      <c r="AI70" s="302"/>
      <c r="AJ70" s="302"/>
      <c r="AK70" s="302"/>
      <c r="AL70" s="302"/>
      <c r="AM70" s="302"/>
      <c r="AN70" s="302"/>
      <c r="AO70" s="302"/>
      <c r="AP70" s="302"/>
      <c r="AQ70" s="302"/>
      <c r="AR70" s="302"/>
    </row>
    <row r="71" spans="2:44" ht="34.5" customHeight="1">
      <c r="B71" s="186" t="s">
        <v>343</v>
      </c>
      <c r="C71" s="187" t="s">
        <v>344</v>
      </c>
      <c r="D71" s="187" t="s">
        <v>129</v>
      </c>
      <c r="E71" s="822" t="s">
        <v>345</v>
      </c>
      <c r="F71" s="823"/>
      <c r="G71" s="186" t="s">
        <v>346</v>
      </c>
      <c r="H71" s="185"/>
      <c r="J71" s="815"/>
      <c r="K71" s="807"/>
      <c r="L71" s="328" t="s">
        <v>347</v>
      </c>
      <c r="M71" s="327"/>
      <c r="N71" s="326" t="s">
        <v>324</v>
      </c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  <c r="AA71" s="321"/>
      <c r="AB71" s="321"/>
      <c r="AC71" s="321"/>
      <c r="AD71" s="321"/>
      <c r="AE71" s="302"/>
      <c r="AF71" s="302"/>
      <c r="AG71" s="302"/>
      <c r="AH71" s="302"/>
      <c r="AI71" s="302"/>
      <c r="AJ71" s="302"/>
      <c r="AK71" s="302"/>
      <c r="AL71" s="302"/>
      <c r="AM71" s="302"/>
      <c r="AN71" s="302"/>
      <c r="AO71" s="302"/>
      <c r="AP71" s="302"/>
      <c r="AQ71" s="302"/>
      <c r="AR71" s="302"/>
    </row>
    <row r="72" spans="2:44" ht="13.8" thickBot="1">
      <c r="B72" s="184" t="str">
        <f t="shared" ref="B72:D76" si="0">+B50</f>
        <v>Electricité 
achetée</v>
      </c>
      <c r="C72" s="183">
        <f t="shared" si="0"/>
        <v>-27090000</v>
      </c>
      <c r="D72" t="str">
        <f t="shared" si="0"/>
        <v>kWh</v>
      </c>
      <c r="E72" s="189">
        <f>Paramètres!C10</f>
        <v>1</v>
      </c>
      <c r="F72" s="145" t="str">
        <f>"kWhf/"&amp;D72</f>
        <v>kWhf/kWh</v>
      </c>
      <c r="G72" s="214">
        <f>+C72*E72/1000</f>
        <v>-27090</v>
      </c>
      <c r="H72" s="212" t="s">
        <v>233</v>
      </c>
      <c r="J72" s="816"/>
      <c r="K72" s="818"/>
      <c r="L72" s="324" t="s">
        <v>232</v>
      </c>
      <c r="M72" s="323"/>
      <c r="N72" s="322" t="s">
        <v>324</v>
      </c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21"/>
      <c r="AB72" s="321"/>
      <c r="AC72" s="321"/>
      <c r="AD72" s="321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</row>
    <row r="73" spans="2:44" ht="14.4">
      <c r="B73" s="184" t="str">
        <f t="shared" si="0"/>
        <v>Gaz Naturel</v>
      </c>
      <c r="C73" s="183">
        <f t="shared" si="0"/>
        <v>30000000</v>
      </c>
      <c r="D73" t="str">
        <f t="shared" si="0"/>
        <v>kWhs</v>
      </c>
      <c r="E73" s="189">
        <f>Paramètres!D10</f>
        <v>1</v>
      </c>
      <c r="F73" s="145" t="str">
        <f t="shared" ref="F73:F75" si="1">"kWhf/"&amp;D73</f>
        <v>kWhf/kWhs</v>
      </c>
      <c r="G73" s="214">
        <f>+C73*E73/1000</f>
        <v>30000</v>
      </c>
      <c r="H73" s="212" t="s">
        <v>233</v>
      </c>
      <c r="J73" s="320"/>
      <c r="K73" s="302"/>
      <c r="L73" s="302"/>
      <c r="M73" s="319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  <c r="AL73" s="302"/>
      <c r="AM73" s="302"/>
      <c r="AN73" s="302"/>
      <c r="AO73" s="302"/>
      <c r="AP73" s="302"/>
      <c r="AQ73" s="302"/>
      <c r="AR73" s="302"/>
    </row>
    <row r="74" spans="2:44" ht="14.4">
      <c r="B74" s="184" t="str">
        <f t="shared" si="0"/>
        <v>Biogaz</v>
      </c>
      <c r="C74" s="183">
        <f t="shared" si="0"/>
        <v>0</v>
      </c>
      <c r="D74" t="str">
        <f t="shared" si="0"/>
        <v>kWhs</v>
      </c>
      <c r="E74" s="189">
        <f>Paramètres!F10</f>
        <v>1</v>
      </c>
      <c r="F74" s="145" t="str">
        <f t="shared" ref="F74" si="2">"kWhf/"&amp;D74</f>
        <v>kWhf/kWhs</v>
      </c>
      <c r="G74" s="214">
        <f>+C74*E74/1000</f>
        <v>0</v>
      </c>
      <c r="H74" s="212" t="s">
        <v>233</v>
      </c>
      <c r="J74" s="320"/>
      <c r="K74" s="302"/>
      <c r="L74" s="302"/>
      <c r="M74" s="319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2"/>
      <c r="AK74" s="302"/>
      <c r="AL74" s="302"/>
      <c r="AM74" s="302"/>
      <c r="AN74" s="302"/>
      <c r="AO74" s="302"/>
      <c r="AP74" s="302"/>
      <c r="AQ74" s="302"/>
      <c r="AR74" s="302"/>
    </row>
    <row r="75" spans="2:44" ht="14.4">
      <c r="B75" s="184" t="str">
        <f t="shared" si="0"/>
        <v>Elec SER</v>
      </c>
      <c r="C75" s="183">
        <f t="shared" si="0"/>
        <v>0</v>
      </c>
      <c r="D75" t="str">
        <f t="shared" si="0"/>
        <v>kWh</v>
      </c>
      <c r="E75" s="189">
        <f>Paramètres!G10</f>
        <v>1</v>
      </c>
      <c r="F75" s="145" t="str">
        <f t="shared" si="1"/>
        <v>kWhf/kWh</v>
      </c>
      <c r="G75" s="214">
        <f>+C75*E75/1000</f>
        <v>0</v>
      </c>
      <c r="H75" s="212" t="s">
        <v>233</v>
      </c>
      <c r="J75" s="320"/>
      <c r="K75" s="302"/>
      <c r="L75" s="302"/>
      <c r="M75" s="319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2"/>
      <c r="AK75" s="302"/>
      <c r="AL75" s="302"/>
      <c r="AM75" s="302"/>
      <c r="AN75" s="302"/>
      <c r="AO75" s="302"/>
      <c r="AP75" s="302"/>
      <c r="AQ75" s="302"/>
      <c r="AR75" s="302"/>
    </row>
    <row r="76" spans="2:44" ht="15" thickBot="1">
      <c r="B76" s="184" t="str">
        <f t="shared" si="0"/>
        <v>Process</v>
      </c>
      <c r="C76" s="183">
        <f t="shared" si="0"/>
        <v>0</v>
      </c>
      <c r="D76" t="str">
        <f t="shared" si="0"/>
        <v>kgCO2</v>
      </c>
      <c r="E76" s="189">
        <f>Paramètres!H10</f>
        <v>0</v>
      </c>
      <c r="F76" s="145" t="str">
        <f t="shared" ref="F76" si="3">"kWhf/"&amp;D76</f>
        <v>kWhf/kgCO2</v>
      </c>
      <c r="G76" s="214">
        <f>+C76*E76/1000</f>
        <v>0</v>
      </c>
      <c r="H76" s="212" t="s">
        <v>233</v>
      </c>
      <c r="J76" s="320"/>
      <c r="K76" s="302"/>
      <c r="L76" s="302"/>
      <c r="M76" s="319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2"/>
      <c r="AK76" s="302"/>
      <c r="AL76" s="302"/>
      <c r="AM76" s="302"/>
      <c r="AN76" s="302"/>
      <c r="AO76" s="302"/>
      <c r="AP76" s="302"/>
      <c r="AQ76" s="302"/>
      <c r="AR76" s="302"/>
    </row>
    <row r="77" spans="2:44" ht="16.2" thickBot="1">
      <c r="B77" s="824" t="s">
        <v>348</v>
      </c>
      <c r="C77" s="825"/>
      <c r="D77" s="825"/>
      <c r="E77" s="825"/>
      <c r="F77" s="825"/>
      <c r="G77" s="215">
        <f>SUM(G72:G75)</f>
        <v>2910</v>
      </c>
      <c r="H77" s="213" t="s">
        <v>233</v>
      </c>
      <c r="J77" s="826" t="s">
        <v>349</v>
      </c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7"/>
      <c r="V77" s="827"/>
      <c r="W77" s="827"/>
      <c r="X77" s="827"/>
      <c r="Y77" s="827"/>
      <c r="Z77" s="827"/>
      <c r="AA77" s="827"/>
      <c r="AB77" s="827"/>
      <c r="AC77" s="827"/>
      <c r="AD77" s="827"/>
      <c r="AE77" s="827"/>
      <c r="AF77" s="827"/>
      <c r="AG77" s="827"/>
      <c r="AH77" s="827"/>
      <c r="AI77" s="827"/>
      <c r="AJ77" s="827"/>
      <c r="AK77" s="827"/>
      <c r="AL77" s="827"/>
      <c r="AM77" s="827"/>
      <c r="AN77" s="827"/>
      <c r="AO77" s="827"/>
      <c r="AP77" s="827"/>
      <c r="AQ77" s="827"/>
      <c r="AR77" s="828"/>
    </row>
    <row r="78" spans="2:44" ht="13.8" thickBot="1">
      <c r="B78" s="86"/>
      <c r="C78" s="86"/>
      <c r="D78" s="86"/>
      <c r="E78" s="86"/>
      <c r="F78" s="86"/>
      <c r="G78" s="216">
        <f>G77/'2023'!H35</f>
        <v>3.0312499999999999E-2</v>
      </c>
      <c r="H78" s="228">
        <f>G77/'2023'!T17</f>
        <v>3.0312499999999999E-2</v>
      </c>
      <c r="J78" s="302"/>
      <c r="K78" s="302"/>
      <c r="L78" s="302"/>
      <c r="M78" s="301"/>
      <c r="N78" s="302"/>
      <c r="O78" s="308"/>
      <c r="P78" s="308"/>
      <c r="Q78" s="308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2"/>
      <c r="AD78" s="302"/>
      <c r="AE78" s="302"/>
      <c r="AF78" s="302"/>
      <c r="AG78" s="302"/>
      <c r="AH78" s="302"/>
      <c r="AI78" s="302"/>
      <c r="AJ78" s="302"/>
      <c r="AK78" s="302"/>
      <c r="AL78" s="302"/>
      <c r="AM78" s="302"/>
      <c r="AN78" s="302"/>
      <c r="AO78" s="302"/>
      <c r="AP78" s="302"/>
      <c r="AQ78" s="302"/>
      <c r="AR78" s="302"/>
    </row>
    <row r="79" spans="2:44" ht="14.4" thickBot="1">
      <c r="B79" s="188"/>
      <c r="C79" s="188"/>
      <c r="D79" s="188"/>
      <c r="E79" s="188"/>
      <c r="F79" s="188"/>
      <c r="G79" s="188"/>
      <c r="H79" s="188"/>
      <c r="J79" s="302"/>
      <c r="K79" s="302"/>
      <c r="L79" s="302"/>
      <c r="M79" s="301"/>
      <c r="N79" s="831" t="s">
        <v>350</v>
      </c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  <c r="AQ79" s="832"/>
      <c r="AR79" s="833"/>
    </row>
    <row r="80" spans="2:44" ht="19.5" customHeight="1" thickBot="1">
      <c r="B80" s="819" t="s">
        <v>351</v>
      </c>
      <c r="C80" s="820"/>
      <c r="D80" s="820"/>
      <c r="E80" s="820"/>
      <c r="F80" s="820"/>
      <c r="G80" s="820"/>
      <c r="H80" s="821"/>
      <c r="J80" s="302"/>
      <c r="K80" s="302"/>
      <c r="L80" s="310"/>
      <c r="M80" s="310"/>
      <c r="N80" s="300">
        <v>0</v>
      </c>
      <c r="O80" s="299">
        <v>1</v>
      </c>
      <c r="P80" s="299">
        <v>2</v>
      </c>
      <c r="Q80" s="299">
        <v>3</v>
      </c>
      <c r="R80" s="299">
        <v>4</v>
      </c>
      <c r="S80" s="299">
        <v>5</v>
      </c>
      <c r="T80" s="299">
        <v>6</v>
      </c>
      <c r="U80" s="299">
        <v>7</v>
      </c>
      <c r="V80" s="299">
        <v>8</v>
      </c>
      <c r="W80" s="299">
        <v>9</v>
      </c>
      <c r="X80" s="299">
        <v>10</v>
      </c>
      <c r="Y80" s="299">
        <v>11</v>
      </c>
      <c r="Z80" s="299">
        <v>12</v>
      </c>
      <c r="AA80" s="299">
        <v>13</v>
      </c>
      <c r="AB80" s="299">
        <v>14</v>
      </c>
      <c r="AC80" s="299">
        <v>15</v>
      </c>
      <c r="AD80" s="299">
        <v>16</v>
      </c>
      <c r="AE80" s="299">
        <v>17</v>
      </c>
      <c r="AF80" s="299">
        <v>18</v>
      </c>
      <c r="AG80" s="299">
        <v>19</v>
      </c>
      <c r="AH80" s="299">
        <v>20</v>
      </c>
      <c r="AI80" s="299">
        <v>21</v>
      </c>
      <c r="AJ80" s="299">
        <v>22</v>
      </c>
      <c r="AK80" s="299">
        <v>23</v>
      </c>
      <c r="AL80" s="299">
        <v>24</v>
      </c>
      <c r="AM80" s="299">
        <v>25</v>
      </c>
      <c r="AN80" s="299">
        <v>26</v>
      </c>
      <c r="AO80" s="299">
        <v>27</v>
      </c>
      <c r="AP80" s="299">
        <v>28</v>
      </c>
      <c r="AQ80" s="299">
        <v>29</v>
      </c>
      <c r="AR80" s="298">
        <v>30</v>
      </c>
    </row>
    <row r="81" spans="2:44" ht="30" customHeight="1">
      <c r="B81" s="186" t="str">
        <f>+B71</f>
        <v>Vecteurs énergétiques</v>
      </c>
      <c r="C81" s="186" t="str">
        <f>+C71</f>
        <v>Quantités</v>
      </c>
      <c r="D81" s="186" t="str">
        <f>+D71</f>
        <v>Unités</v>
      </c>
      <c r="E81" s="834" t="s">
        <v>352</v>
      </c>
      <c r="F81" s="834"/>
      <c r="G81" s="186" t="s">
        <v>353</v>
      </c>
      <c r="H81" s="185"/>
      <c r="J81" s="302"/>
      <c r="K81" s="302"/>
      <c r="L81" s="835" t="s">
        <v>354</v>
      </c>
      <c r="M81" s="297" t="s">
        <v>311</v>
      </c>
      <c r="N81" s="296">
        <f>(M55)</f>
        <v>0</v>
      </c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7"/>
    </row>
    <row r="82" spans="2:44" ht="16.2" thickBot="1">
      <c r="B82" s="184" t="str">
        <f>+B72</f>
        <v>Electricité 
achetée</v>
      </c>
      <c r="C82" s="183">
        <f t="shared" ref="C82:D86" si="4">C72</f>
        <v>-27090000</v>
      </c>
      <c r="D82" s="183" t="str">
        <f t="shared" si="4"/>
        <v>kWh</v>
      </c>
      <c r="E82" s="211">
        <f>Paramètres!C$12</f>
        <v>0.216</v>
      </c>
      <c r="F82" s="145" t="str">
        <f>"kgCO2/"&amp;D82</f>
        <v>kgCO2/kWh</v>
      </c>
      <c r="G82" s="182">
        <f>+C82*E82</f>
        <v>-5851440</v>
      </c>
      <c r="H82" s="181" t="s">
        <v>355</v>
      </c>
      <c r="J82" s="302"/>
      <c r="K82" s="302"/>
      <c r="L82" s="836"/>
      <c r="M82" s="310" t="s">
        <v>314</v>
      </c>
      <c r="N82" s="290">
        <f>M56</f>
        <v>0</v>
      </c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302"/>
      <c r="AE82" s="302"/>
      <c r="AF82" s="302"/>
      <c r="AG82" s="302"/>
      <c r="AH82" s="302"/>
      <c r="AI82" s="302"/>
      <c r="AJ82" s="302"/>
      <c r="AK82" s="302"/>
      <c r="AL82" s="302"/>
      <c r="AM82" s="302"/>
      <c r="AN82" s="302"/>
      <c r="AO82" s="302"/>
      <c r="AP82" s="302"/>
      <c r="AQ82" s="302"/>
      <c r="AR82" s="316"/>
    </row>
    <row r="83" spans="2:44" ht="15.6">
      <c r="B83" s="184" t="str">
        <f>+B73</f>
        <v>Gaz Naturel</v>
      </c>
      <c r="C83" s="183">
        <f t="shared" si="4"/>
        <v>30000000</v>
      </c>
      <c r="D83" s="183" t="str">
        <f t="shared" si="4"/>
        <v>kWhs</v>
      </c>
      <c r="E83" s="211">
        <f>Paramètres!D$12</f>
        <v>0.218</v>
      </c>
      <c r="F83" s="145" t="str">
        <f t="shared" ref="F83:F86" si="5">"kgCO2/"&amp;D83</f>
        <v>kgCO2/kWhs</v>
      </c>
      <c r="G83" s="182">
        <f>+C83*E83</f>
        <v>6540000</v>
      </c>
      <c r="H83" s="181" t="s">
        <v>355</v>
      </c>
      <c r="I83" s="81"/>
      <c r="J83" s="302"/>
      <c r="K83" s="302"/>
      <c r="L83" s="837" t="s">
        <v>356</v>
      </c>
      <c r="M83" s="297" t="s">
        <v>357</v>
      </c>
      <c r="N83" s="290">
        <f>M57+M58</f>
        <v>0</v>
      </c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302"/>
      <c r="AE83" s="302"/>
      <c r="AF83" s="302"/>
      <c r="AG83" s="302"/>
      <c r="AH83" s="302"/>
      <c r="AI83" s="302"/>
      <c r="AJ83" s="302"/>
      <c r="AK83" s="302"/>
      <c r="AL83" s="302"/>
      <c r="AM83" s="302"/>
      <c r="AN83" s="302"/>
      <c r="AO83" s="302"/>
      <c r="AP83" s="302"/>
      <c r="AQ83" s="302"/>
      <c r="AR83" s="316"/>
    </row>
    <row r="84" spans="2:44" ht="15.6">
      <c r="B84" s="184" t="str">
        <f>+B74</f>
        <v>Biogaz</v>
      </c>
      <c r="C84" s="183">
        <f t="shared" si="4"/>
        <v>0</v>
      </c>
      <c r="D84" s="183" t="str">
        <f t="shared" si="4"/>
        <v>kWhs</v>
      </c>
      <c r="E84" s="211">
        <f>Paramètres!F$12</f>
        <v>0</v>
      </c>
      <c r="F84" s="145" t="str">
        <f t="shared" ref="F84" si="6">"kgCO2/"&amp;D84</f>
        <v>kgCO2/kWhs</v>
      </c>
      <c r="G84" s="182">
        <f>+C84*E84</f>
        <v>0</v>
      </c>
      <c r="H84" s="181" t="s">
        <v>355</v>
      </c>
      <c r="I84" s="81"/>
      <c r="J84" s="302"/>
      <c r="K84" s="302"/>
      <c r="L84" s="836"/>
      <c r="M84" s="310"/>
      <c r="N84" s="290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302"/>
      <c r="AE84" s="302"/>
      <c r="AF84" s="302"/>
      <c r="AG84" s="302"/>
      <c r="AH84" s="302"/>
      <c r="AI84" s="302"/>
      <c r="AJ84" s="302"/>
      <c r="AK84" s="302"/>
      <c r="AL84" s="302"/>
      <c r="AM84" s="302"/>
      <c r="AN84" s="302"/>
      <c r="AO84" s="302"/>
      <c r="AP84" s="302"/>
      <c r="AQ84" s="302"/>
      <c r="AR84" s="316"/>
    </row>
    <row r="85" spans="2:44" ht="16.2" thickBot="1">
      <c r="B85" s="184" t="str">
        <f>+B75</f>
        <v>Elec SER</v>
      </c>
      <c r="C85" s="183">
        <f t="shared" si="4"/>
        <v>0</v>
      </c>
      <c r="D85" s="183" t="str">
        <f t="shared" si="4"/>
        <v>kWh</v>
      </c>
      <c r="E85" s="211">
        <f>Paramètres!G$12</f>
        <v>0</v>
      </c>
      <c r="F85" s="145" t="str">
        <f t="shared" si="5"/>
        <v>kgCO2/kWh</v>
      </c>
      <c r="G85" s="182">
        <f>+C85*E85</f>
        <v>0</v>
      </c>
      <c r="H85" s="181" t="s">
        <v>355</v>
      </c>
      <c r="J85" s="302"/>
      <c r="K85" s="302"/>
      <c r="L85" s="838"/>
      <c r="M85" s="315" t="s">
        <v>358</v>
      </c>
      <c r="N85" s="278"/>
      <c r="O85" s="277" t="str">
        <f t="shared" ref="O85:Y85" si="7">IF(O80&lt;=$M$63,$M$62,"")</f>
        <v/>
      </c>
      <c r="P85" s="277" t="str">
        <f t="shared" si="7"/>
        <v/>
      </c>
      <c r="Q85" s="277" t="str">
        <f t="shared" si="7"/>
        <v/>
      </c>
      <c r="R85" s="277" t="str">
        <f t="shared" si="7"/>
        <v/>
      </c>
      <c r="S85" s="277" t="str">
        <f t="shared" si="7"/>
        <v/>
      </c>
      <c r="T85" s="277" t="str">
        <f t="shared" si="7"/>
        <v/>
      </c>
      <c r="U85" s="277" t="str">
        <f t="shared" si="7"/>
        <v/>
      </c>
      <c r="V85" s="277" t="str">
        <f t="shared" si="7"/>
        <v/>
      </c>
      <c r="W85" s="277" t="str">
        <f t="shared" si="7"/>
        <v/>
      </c>
      <c r="X85" s="277" t="str">
        <f t="shared" si="7"/>
        <v/>
      </c>
      <c r="Y85" s="277" t="str">
        <f t="shared" si="7"/>
        <v/>
      </c>
      <c r="Z85" s="277" t="str">
        <f t="shared" ref="Z85:AR85" si="8">IF(X80&lt;=$M$63,$M$62,"")</f>
        <v/>
      </c>
      <c r="AA85" s="277" t="str">
        <f t="shared" si="8"/>
        <v/>
      </c>
      <c r="AB85" s="277" t="str">
        <f t="shared" si="8"/>
        <v/>
      </c>
      <c r="AC85" s="277" t="str">
        <f t="shared" si="8"/>
        <v/>
      </c>
      <c r="AD85" s="277" t="str">
        <f t="shared" si="8"/>
        <v/>
      </c>
      <c r="AE85" s="277" t="str">
        <f t="shared" si="8"/>
        <v/>
      </c>
      <c r="AF85" s="277" t="str">
        <f t="shared" si="8"/>
        <v/>
      </c>
      <c r="AG85" s="277" t="str">
        <f t="shared" si="8"/>
        <v/>
      </c>
      <c r="AH85" s="277" t="str">
        <f t="shared" si="8"/>
        <v/>
      </c>
      <c r="AI85" s="277" t="str">
        <f t="shared" si="8"/>
        <v/>
      </c>
      <c r="AJ85" s="277" t="str">
        <f t="shared" si="8"/>
        <v/>
      </c>
      <c r="AK85" s="277" t="str">
        <f t="shared" si="8"/>
        <v/>
      </c>
      <c r="AL85" s="277" t="str">
        <f t="shared" si="8"/>
        <v/>
      </c>
      <c r="AM85" s="277" t="str">
        <f t="shared" si="8"/>
        <v/>
      </c>
      <c r="AN85" s="277" t="str">
        <f t="shared" si="8"/>
        <v/>
      </c>
      <c r="AO85" s="277" t="str">
        <f t="shared" si="8"/>
        <v/>
      </c>
      <c r="AP85" s="277" t="str">
        <f t="shared" si="8"/>
        <v/>
      </c>
      <c r="AQ85" s="277" t="str">
        <f t="shared" si="8"/>
        <v/>
      </c>
      <c r="AR85" s="276" t="str">
        <f t="shared" si="8"/>
        <v/>
      </c>
    </row>
    <row r="86" spans="2:44" ht="16.2" thickBot="1">
      <c r="B86" s="184" t="str">
        <f>+B76</f>
        <v>Process</v>
      </c>
      <c r="C86" s="183">
        <f t="shared" si="4"/>
        <v>0</v>
      </c>
      <c r="D86" s="183" t="str">
        <f t="shared" si="4"/>
        <v>kgCO2</v>
      </c>
      <c r="E86" s="211">
        <f>Paramètres!H$12</f>
        <v>1</v>
      </c>
      <c r="F86" s="145" t="str">
        <f t="shared" si="5"/>
        <v>kgCO2/kgCO2</v>
      </c>
      <c r="G86" s="182">
        <f>+C86*E86</f>
        <v>0</v>
      </c>
      <c r="H86" s="181" t="s">
        <v>355</v>
      </c>
      <c r="J86" s="302"/>
      <c r="K86" s="302"/>
      <c r="L86" s="312"/>
      <c r="M86" s="292"/>
      <c r="N86" s="278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6"/>
    </row>
    <row r="87" spans="2:44" ht="16.2" thickBot="1">
      <c r="B87" s="824" t="s">
        <v>359</v>
      </c>
      <c r="C87" s="825"/>
      <c r="D87" s="825"/>
      <c r="E87" s="825"/>
      <c r="F87" s="825"/>
      <c r="G87" s="180">
        <f>SUM(G82:G85)</f>
        <v>688560</v>
      </c>
      <c r="H87" s="179" t="s">
        <v>355</v>
      </c>
      <c r="J87" s="302"/>
      <c r="K87" s="302"/>
      <c r="L87" s="314" t="s">
        <v>360</v>
      </c>
      <c r="M87" s="313" t="s">
        <v>360</v>
      </c>
      <c r="N87" s="278"/>
      <c r="O87" s="277">
        <f>IF(O80&lt;=$K$16,($M$61+$M$64+$M$65+$M$66+$M$67+$M$68+$M$69+$M$70+$M$71+$M$72),"")</f>
        <v>0</v>
      </c>
      <c r="P87" s="277">
        <f>IF(P80&lt;=$K$16,('AA2'!O87*(1+Paramètres!$B$20)),"")</f>
        <v>0</v>
      </c>
      <c r="Q87" s="277">
        <f>IF(Q80&lt;=$K$16,('AA2'!P87*(1+Paramètres!$B$20)),"")</f>
        <v>0</v>
      </c>
      <c r="R87" s="277">
        <f>IF(R80&lt;=$K$16,('AA2'!Q87*(1+Paramètres!$B$20)),"")</f>
        <v>0</v>
      </c>
      <c r="S87" s="277">
        <f>IF(S80&lt;=$K$16,('AA2'!R87*(1+Paramètres!$B$20)),"")</f>
        <v>0</v>
      </c>
      <c r="T87" s="277">
        <f>IF(T80&lt;=$K$16,('AA2'!S87*(1+Paramètres!$B$20)),"")</f>
        <v>0</v>
      </c>
      <c r="U87" s="277">
        <f>IF(U80&lt;=$K$16,('AA2'!T87*(1+Paramètres!$B$20)),"")</f>
        <v>0</v>
      </c>
      <c r="V87" s="277">
        <f>IF(V80&lt;=$K$16,('AA2'!U87*(1+Paramètres!$B$20)),"")</f>
        <v>0</v>
      </c>
      <c r="W87" s="277">
        <f>IF(W80&lt;=$K$16,('AA2'!V87*(1+Paramètres!$B$20)),"")</f>
        <v>0</v>
      </c>
      <c r="X87" s="277">
        <f>IF(X80&lt;=$K$16,('AA2'!W87*(1+Paramètres!$B$20)),"")</f>
        <v>0</v>
      </c>
      <c r="Y87" s="277">
        <f>IF(Y80&lt;=$K$16,('AA2'!X87*(1+Paramètres!$B$20)),"")</f>
        <v>0</v>
      </c>
      <c r="Z87" s="277">
        <f>IF(Z80&lt;=$K$16,('AA2'!Y87*(1+Paramètres!$B$20)),"")</f>
        <v>0</v>
      </c>
      <c r="AA87" s="277">
        <f>IF(AA80&lt;=$K$16,('AA2'!Z87*(1+Paramètres!$B$20)),"")</f>
        <v>0</v>
      </c>
      <c r="AB87" s="277">
        <f>IF(AB80&lt;=$K$16,('AA2'!AA87*(1+Paramètres!$B$20)),"")</f>
        <v>0</v>
      </c>
      <c r="AC87" s="277">
        <f>IF(AC80&lt;=$K$16,('AA2'!AB87*(1+Paramètres!$B$20)),"")</f>
        <v>0</v>
      </c>
      <c r="AD87" s="277" t="str">
        <f>IF(AD80&lt;=$K$16,('AA2'!AC87*(1+Paramètres!$B$20)),"")</f>
        <v/>
      </c>
      <c r="AE87" s="277" t="str">
        <f>IF(AE80&lt;=$K$16,('AA2'!AD87*(1+Paramètres!$B$20)),"")</f>
        <v/>
      </c>
      <c r="AF87" s="277" t="str">
        <f>IF(AF80&lt;=$K$16,('AA2'!AE87*(1+Paramètres!$B$20)),"")</f>
        <v/>
      </c>
      <c r="AG87" s="277" t="str">
        <f>IF(AG80&lt;=$K$16,('AA2'!AF87*(1+Paramètres!$B$20)),"")</f>
        <v/>
      </c>
      <c r="AH87" s="277" t="str">
        <f>IF(AH80&lt;=$K$16,('AA2'!AG87*(1+Paramètres!$B$20)),"")</f>
        <v/>
      </c>
      <c r="AI87" s="277" t="str">
        <f>IF(AI80&lt;=$K$16,('AA2'!AH87*(1+Paramètres!$B$20)),"")</f>
        <v/>
      </c>
      <c r="AJ87" s="277" t="str">
        <f>IF(AJ80&lt;=$K$16,('AA2'!AI87*(1+Paramètres!$B$20)),"")</f>
        <v/>
      </c>
      <c r="AK87" s="277" t="str">
        <f>IF(AK80&lt;=$K$16,('AA2'!AJ87*(1+Paramètres!$B$20)),"")</f>
        <v/>
      </c>
      <c r="AL87" s="277" t="str">
        <f>IF(AL80&lt;=$K$16,('AA2'!AK87*(1+Paramètres!$B$20)),"")</f>
        <v/>
      </c>
      <c r="AM87" s="277" t="str">
        <f>IF(AM80&lt;=$K$16,('AA2'!AL87*(1+Paramètres!$B$20)),"")</f>
        <v/>
      </c>
      <c r="AN87" s="277" t="str">
        <f>IF(AN80&lt;=$K$16,('AA2'!AM87*(1+Paramètres!$B$20)),"")</f>
        <v/>
      </c>
      <c r="AO87" s="277" t="str">
        <f>IF(AO80&lt;=$K$16,('AA2'!AN87*(1+Paramètres!$B$20)),"")</f>
        <v/>
      </c>
      <c r="AP87" s="277" t="str">
        <f>IF(AP80&lt;=$K$16,('AA2'!AO87*(1+Paramètres!$B$20)),"")</f>
        <v/>
      </c>
      <c r="AQ87" s="277" t="str">
        <f>IF(AQ80&lt;=$K$16,('AA2'!AP87*(1+Paramètres!$B$20)),"")</f>
        <v/>
      </c>
      <c r="AR87" s="276" t="str">
        <f>IF(AR80&lt;=$K$16,('AA2'!AQ87*(1+Paramètres!$B$20)),"")</f>
        <v/>
      </c>
    </row>
    <row r="88" spans="2:44" ht="13.8" thickBot="1">
      <c r="G88" s="217">
        <f>G87/'2023'!H36</f>
        <v>2.512075884713608E-2</v>
      </c>
      <c r="H88" s="144">
        <f>G87/'2023'!H36</f>
        <v>2.512075884713608E-2</v>
      </c>
      <c r="J88" s="302"/>
      <c r="K88" s="302"/>
      <c r="L88" s="312" t="s">
        <v>361</v>
      </c>
      <c r="M88" s="292" t="s">
        <v>319</v>
      </c>
      <c r="N88" s="265" t="str">
        <f t="shared" ref="N88:AR88" si="9">IF(N80=$K$16,$M$59,"")</f>
        <v/>
      </c>
      <c r="O88" s="264" t="str">
        <f t="shared" si="9"/>
        <v/>
      </c>
      <c r="P88" s="264" t="str">
        <f t="shared" si="9"/>
        <v/>
      </c>
      <c r="Q88" s="264" t="str">
        <f t="shared" si="9"/>
        <v/>
      </c>
      <c r="R88" s="264" t="str">
        <f t="shared" si="9"/>
        <v/>
      </c>
      <c r="S88" s="264" t="str">
        <f t="shared" si="9"/>
        <v/>
      </c>
      <c r="T88" s="264" t="str">
        <f t="shared" si="9"/>
        <v/>
      </c>
      <c r="U88" s="264" t="str">
        <f t="shared" si="9"/>
        <v/>
      </c>
      <c r="V88" s="264" t="str">
        <f t="shared" si="9"/>
        <v/>
      </c>
      <c r="W88" s="264" t="str">
        <f t="shared" si="9"/>
        <v/>
      </c>
      <c r="X88" s="264" t="str">
        <f t="shared" si="9"/>
        <v/>
      </c>
      <c r="Y88" s="264" t="str">
        <f t="shared" si="9"/>
        <v/>
      </c>
      <c r="Z88" s="264" t="str">
        <f t="shared" si="9"/>
        <v/>
      </c>
      <c r="AA88" s="264" t="str">
        <f t="shared" si="9"/>
        <v/>
      </c>
      <c r="AB88" s="264" t="str">
        <f t="shared" si="9"/>
        <v/>
      </c>
      <c r="AC88" s="264">
        <f t="shared" si="9"/>
        <v>0</v>
      </c>
      <c r="AD88" s="264" t="str">
        <f t="shared" si="9"/>
        <v/>
      </c>
      <c r="AE88" s="264" t="str">
        <f t="shared" si="9"/>
        <v/>
      </c>
      <c r="AF88" s="264" t="str">
        <f t="shared" si="9"/>
        <v/>
      </c>
      <c r="AG88" s="264" t="str">
        <f t="shared" si="9"/>
        <v/>
      </c>
      <c r="AH88" s="264" t="str">
        <f t="shared" si="9"/>
        <v/>
      </c>
      <c r="AI88" s="264" t="str">
        <f t="shared" si="9"/>
        <v/>
      </c>
      <c r="AJ88" s="264" t="str">
        <f t="shared" si="9"/>
        <v/>
      </c>
      <c r="AK88" s="264" t="str">
        <f t="shared" si="9"/>
        <v/>
      </c>
      <c r="AL88" s="264" t="str">
        <f t="shared" si="9"/>
        <v/>
      </c>
      <c r="AM88" s="264" t="str">
        <f t="shared" si="9"/>
        <v/>
      </c>
      <c r="AN88" s="264" t="str">
        <f t="shared" si="9"/>
        <v/>
      </c>
      <c r="AO88" s="264" t="str">
        <f t="shared" si="9"/>
        <v/>
      </c>
      <c r="AP88" s="264" t="str">
        <f t="shared" si="9"/>
        <v/>
      </c>
      <c r="AQ88" s="264" t="str">
        <f t="shared" si="9"/>
        <v/>
      </c>
      <c r="AR88" s="263" t="str">
        <f t="shared" si="9"/>
        <v/>
      </c>
    </row>
    <row r="89" spans="2:44" ht="13.8" thickBot="1">
      <c r="J89" s="302"/>
      <c r="K89" s="302"/>
      <c r="L89" s="839" t="s">
        <v>362</v>
      </c>
      <c r="M89" s="840"/>
      <c r="N89" s="260" t="str">
        <f t="shared" ref="N89:AR89" si="10">IF(SUM(N81:N88)=0,"",SUM(N81:N88))</f>
        <v/>
      </c>
      <c r="O89" s="259" t="str">
        <f t="shared" si="10"/>
        <v/>
      </c>
      <c r="P89" s="259" t="str">
        <f t="shared" si="10"/>
        <v/>
      </c>
      <c r="Q89" s="259" t="str">
        <f t="shared" si="10"/>
        <v/>
      </c>
      <c r="R89" s="259" t="str">
        <f t="shared" si="10"/>
        <v/>
      </c>
      <c r="S89" s="259" t="str">
        <f t="shared" si="10"/>
        <v/>
      </c>
      <c r="T89" s="259" t="str">
        <f t="shared" si="10"/>
        <v/>
      </c>
      <c r="U89" s="259" t="str">
        <f t="shared" si="10"/>
        <v/>
      </c>
      <c r="V89" s="259" t="str">
        <f t="shared" si="10"/>
        <v/>
      </c>
      <c r="W89" s="259" t="str">
        <f t="shared" si="10"/>
        <v/>
      </c>
      <c r="X89" s="259" t="str">
        <f t="shared" si="10"/>
        <v/>
      </c>
      <c r="Y89" s="259" t="str">
        <f t="shared" si="10"/>
        <v/>
      </c>
      <c r="Z89" s="259" t="str">
        <f t="shared" si="10"/>
        <v/>
      </c>
      <c r="AA89" s="259" t="str">
        <f t="shared" si="10"/>
        <v/>
      </c>
      <c r="AB89" s="259" t="str">
        <f t="shared" si="10"/>
        <v/>
      </c>
      <c r="AC89" s="259" t="str">
        <f t="shared" si="10"/>
        <v/>
      </c>
      <c r="AD89" s="259" t="str">
        <f t="shared" si="10"/>
        <v/>
      </c>
      <c r="AE89" s="259" t="str">
        <f t="shared" si="10"/>
        <v/>
      </c>
      <c r="AF89" s="259" t="str">
        <f t="shared" si="10"/>
        <v/>
      </c>
      <c r="AG89" s="259" t="str">
        <f t="shared" si="10"/>
        <v/>
      </c>
      <c r="AH89" s="259" t="str">
        <f t="shared" si="10"/>
        <v/>
      </c>
      <c r="AI89" s="259" t="str">
        <f t="shared" si="10"/>
        <v/>
      </c>
      <c r="AJ89" s="259" t="str">
        <f t="shared" si="10"/>
        <v/>
      </c>
      <c r="AK89" s="259" t="str">
        <f t="shared" si="10"/>
        <v/>
      </c>
      <c r="AL89" s="259" t="str">
        <f t="shared" si="10"/>
        <v/>
      </c>
      <c r="AM89" s="259" t="str">
        <f t="shared" si="10"/>
        <v/>
      </c>
      <c r="AN89" s="259" t="str">
        <f t="shared" si="10"/>
        <v/>
      </c>
      <c r="AO89" s="259" t="str">
        <f t="shared" si="10"/>
        <v/>
      </c>
      <c r="AP89" s="259" t="str">
        <f t="shared" si="10"/>
        <v/>
      </c>
      <c r="AQ89" s="259" t="str">
        <f t="shared" si="10"/>
        <v/>
      </c>
      <c r="AR89" s="258" t="str">
        <f t="shared" si="10"/>
        <v/>
      </c>
    </row>
    <row r="90" spans="2:44" ht="13.8" thickBot="1">
      <c r="J90" s="302"/>
      <c r="K90" s="302"/>
      <c r="L90" s="841" t="s">
        <v>363</v>
      </c>
      <c r="M90" s="842"/>
      <c r="N90" s="260" t="str">
        <f>IF(N89="","",((N89)/(1+Paramètres!$B$19)^N80))</f>
        <v/>
      </c>
      <c r="O90" s="259" t="str">
        <f>IF(O89="","",((O89)/(1+Paramètres!$B$19)^O80))</f>
        <v/>
      </c>
      <c r="P90" s="259" t="str">
        <f>IF(P89="","",((P89)/(1+Paramètres!$B$19)^P80))</f>
        <v/>
      </c>
      <c r="Q90" s="259" t="str">
        <f>IF(Q89="","",((Q89)/(1+Paramètres!$B$19)^Q80))</f>
        <v/>
      </c>
      <c r="R90" s="259" t="str">
        <f>IF(R89="","",((R89)/(1+Paramètres!$B$19)^R80))</f>
        <v/>
      </c>
      <c r="S90" s="259" t="str">
        <f>IF(S89="","",((S89)/(1+Paramètres!$B$19)^S80))</f>
        <v/>
      </c>
      <c r="T90" s="259" t="str">
        <f>IF(T89="","",((T89)/(1+Paramètres!$B$19)^T80))</f>
        <v/>
      </c>
      <c r="U90" s="259" t="str">
        <f>IF(U89="","",((U89)/(1+Paramètres!$B$19)^U80))</f>
        <v/>
      </c>
      <c r="V90" s="259" t="str">
        <f>IF(V89="","",((V89)/(1+Paramètres!$B$19)^V80))</f>
        <v/>
      </c>
      <c r="W90" s="259" t="str">
        <f>IF(W89="","",((W89)/(1+Paramètres!$B$19)^W80))</f>
        <v/>
      </c>
      <c r="X90" s="259" t="str">
        <f>IF(X89="","",((X89)/(1+Paramètres!$B$19)^X80))</f>
        <v/>
      </c>
      <c r="Y90" s="259" t="str">
        <f>IF(Y89="","",((Y89)/(1+Paramètres!$B$19)^Y80))</f>
        <v/>
      </c>
      <c r="Z90" s="259" t="str">
        <f>IF(Z89="","",((Z89)/(1+Paramètres!$B$19)^Z80))</f>
        <v/>
      </c>
      <c r="AA90" s="259" t="str">
        <f>IF(AA89="","",((AA89)/(1+Paramètres!$B$19)^AA80))</f>
        <v/>
      </c>
      <c r="AB90" s="259" t="str">
        <f>IF(AB89="","",((AB89)/(1+Paramètres!$B$19)^AB80))</f>
        <v/>
      </c>
      <c r="AC90" s="259" t="str">
        <f>IF(AC89="","",((AC89)/(1+Paramètres!$B$19)^AC80))</f>
        <v/>
      </c>
      <c r="AD90" s="259" t="str">
        <f>IF(AD89="","",((AD89)/(1+Paramètres!$B$19)^AD80))</f>
        <v/>
      </c>
      <c r="AE90" s="259" t="str">
        <f>IF(AE89="","",((AE89)/(1+Paramètres!$B$19)^AE80))</f>
        <v/>
      </c>
      <c r="AF90" s="259" t="str">
        <f>IF(AF89="","",((AF89)/(1+Paramètres!$B$19)^AF80))</f>
        <v/>
      </c>
      <c r="AG90" s="259" t="str">
        <f>IF(AG89="","",((AG89)/(1+Paramètres!$B$19)^AG80))</f>
        <v/>
      </c>
      <c r="AH90" s="259" t="str">
        <f>IF(AH89="","",((AH89)/(1+Paramètres!$B$19)^AH80))</f>
        <v/>
      </c>
      <c r="AI90" s="259" t="str">
        <f>IF(AI89="","",((AI89)/(1+Paramètres!$B$19)^AI80))</f>
        <v/>
      </c>
      <c r="AJ90" s="259" t="str">
        <f>IF(AJ89="","",((AJ89)/(1+Paramètres!$B$19)^AJ80))</f>
        <v/>
      </c>
      <c r="AK90" s="259" t="str">
        <f>IF(AK89="","",((AK89)/(1+Paramètres!$B$19)^AK80))</f>
        <v/>
      </c>
      <c r="AL90" s="259" t="str">
        <f>IF(AL89="","",((AL89)/(1+Paramètres!$B$19)^AL80))</f>
        <v/>
      </c>
      <c r="AM90" s="259" t="str">
        <f>IF(AM89="","",((AM89)/(1+Paramètres!$B$19)^AM80))</f>
        <v/>
      </c>
      <c r="AN90" s="259" t="str">
        <f>IF(AN89="","",((AN89)/(1+Paramètres!$B$19)^AN80))</f>
        <v/>
      </c>
      <c r="AO90" s="259" t="str">
        <f>IF(AO89="","",((AO89)/(1+Paramètres!$B$19)^AO80))</f>
        <v/>
      </c>
      <c r="AP90" s="259" t="str">
        <f>IF(AP89="","",((AP89)/(1+Paramètres!$B$19)^AP80))</f>
        <v/>
      </c>
      <c r="AQ90" s="259" t="str">
        <f>IF(AQ89="","",((AQ89)/(1+Paramètres!$B$19)^AQ80))</f>
        <v/>
      </c>
      <c r="AR90" s="258" t="str">
        <f>IF(AR89="","",((AR89)/(1+Paramètres!$B$19)^AR80))</f>
        <v/>
      </c>
    </row>
    <row r="91" spans="2:44" ht="13.8" thickBot="1">
      <c r="J91" s="302"/>
      <c r="K91" s="302"/>
      <c r="L91" s="841" t="s">
        <v>364</v>
      </c>
      <c r="M91" s="842"/>
      <c r="N91" s="257" t="str">
        <f>N90</f>
        <v/>
      </c>
      <c r="O91" s="256" t="str">
        <f t="shared" ref="O91:AR91" si="11">IF(O90="","",((N91+O90)))</f>
        <v/>
      </c>
      <c r="P91" s="256" t="str">
        <f t="shared" si="11"/>
        <v/>
      </c>
      <c r="Q91" s="256" t="str">
        <f t="shared" si="11"/>
        <v/>
      </c>
      <c r="R91" s="256" t="str">
        <f t="shared" si="11"/>
        <v/>
      </c>
      <c r="S91" s="256" t="str">
        <f t="shared" si="11"/>
        <v/>
      </c>
      <c r="T91" s="256" t="str">
        <f t="shared" si="11"/>
        <v/>
      </c>
      <c r="U91" s="256" t="str">
        <f t="shared" si="11"/>
        <v/>
      </c>
      <c r="V91" s="256" t="str">
        <f t="shared" si="11"/>
        <v/>
      </c>
      <c r="W91" s="256" t="str">
        <f t="shared" si="11"/>
        <v/>
      </c>
      <c r="X91" s="256" t="str">
        <f t="shared" si="11"/>
        <v/>
      </c>
      <c r="Y91" s="256" t="str">
        <f t="shared" si="11"/>
        <v/>
      </c>
      <c r="Z91" s="256" t="str">
        <f t="shared" si="11"/>
        <v/>
      </c>
      <c r="AA91" s="256" t="str">
        <f t="shared" si="11"/>
        <v/>
      </c>
      <c r="AB91" s="256" t="str">
        <f t="shared" si="11"/>
        <v/>
      </c>
      <c r="AC91" s="256" t="str">
        <f t="shared" si="11"/>
        <v/>
      </c>
      <c r="AD91" s="256" t="str">
        <f t="shared" si="11"/>
        <v/>
      </c>
      <c r="AE91" s="256" t="str">
        <f t="shared" si="11"/>
        <v/>
      </c>
      <c r="AF91" s="256" t="str">
        <f t="shared" si="11"/>
        <v/>
      </c>
      <c r="AG91" s="256" t="str">
        <f t="shared" si="11"/>
        <v/>
      </c>
      <c r="AH91" s="256" t="str">
        <f t="shared" si="11"/>
        <v/>
      </c>
      <c r="AI91" s="256" t="str">
        <f t="shared" si="11"/>
        <v/>
      </c>
      <c r="AJ91" s="256" t="str">
        <f t="shared" si="11"/>
        <v/>
      </c>
      <c r="AK91" s="256" t="str">
        <f t="shared" si="11"/>
        <v/>
      </c>
      <c r="AL91" s="256" t="str">
        <f t="shared" si="11"/>
        <v/>
      </c>
      <c r="AM91" s="256" t="str">
        <f t="shared" si="11"/>
        <v/>
      </c>
      <c r="AN91" s="256" t="str">
        <f t="shared" si="11"/>
        <v/>
      </c>
      <c r="AO91" s="256" t="str">
        <f t="shared" si="11"/>
        <v/>
      </c>
      <c r="AP91" s="256" t="str">
        <f t="shared" si="11"/>
        <v/>
      </c>
      <c r="AQ91" s="256" t="str">
        <f t="shared" si="11"/>
        <v/>
      </c>
      <c r="AR91" s="255" t="str">
        <f t="shared" si="11"/>
        <v/>
      </c>
    </row>
    <row r="92" spans="2:44" ht="13.8" thickBot="1">
      <c r="J92" s="302"/>
      <c r="K92" s="302"/>
      <c r="L92" s="302"/>
      <c r="M92" s="302"/>
      <c r="N92" s="302"/>
      <c r="O92" s="301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2"/>
      <c r="AP92" s="302"/>
      <c r="AQ92" s="302"/>
      <c r="AR92" s="302"/>
    </row>
    <row r="93" spans="2:44">
      <c r="J93" s="308"/>
      <c r="K93" s="308"/>
      <c r="L93" s="254" t="s">
        <v>225</v>
      </c>
      <c r="M93" s="253" t="str">
        <f>IFERROR(IRR(N89:AR89), "PROJET NON RENTABLE")</f>
        <v>PROJET NON RENTABLE</v>
      </c>
      <c r="N93" s="309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</row>
    <row r="94" spans="2:44" ht="13.8" thickBot="1">
      <c r="J94" s="305"/>
      <c r="K94" s="305"/>
      <c r="L94" s="252" t="s">
        <v>224</v>
      </c>
      <c r="M94" s="412" cm="1">
        <f t="array" ref="M94">IFERROR(INDEX(N80:AR80,MATCH(TRUE,N91:AR91&gt;0,0)),"PROJET NON RENTABLE")</f>
        <v>0</v>
      </c>
      <c r="N94" s="307"/>
      <c r="O94" s="305"/>
      <c r="P94" s="305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</row>
    <row r="95" spans="2:44">
      <c r="J95" s="302"/>
      <c r="K95" s="302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2"/>
      <c r="AO95" s="302"/>
      <c r="AP95" s="302"/>
      <c r="AQ95" s="302"/>
      <c r="AR95" s="302"/>
    </row>
    <row r="96" spans="2:44" ht="13.8" thickBot="1">
      <c r="J96" s="302"/>
      <c r="K96" s="302"/>
      <c r="L96" s="302"/>
      <c r="M96" s="303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2"/>
      <c r="AO96" s="302"/>
      <c r="AP96" s="302"/>
      <c r="AQ96" s="302"/>
      <c r="AR96" s="302"/>
    </row>
    <row r="97" spans="10:44" ht="16.2" thickBot="1">
      <c r="J97" s="826" t="s">
        <v>365</v>
      </c>
      <c r="K97" s="827"/>
      <c r="L97" s="827"/>
      <c r="M97" s="827"/>
      <c r="N97" s="827"/>
      <c r="O97" s="827"/>
      <c r="P97" s="827"/>
      <c r="Q97" s="827"/>
      <c r="R97" s="827"/>
      <c r="S97" s="827"/>
      <c r="T97" s="827"/>
      <c r="U97" s="827"/>
      <c r="V97" s="827"/>
      <c r="W97" s="827"/>
      <c r="X97" s="827"/>
      <c r="Y97" s="827"/>
      <c r="Z97" s="827"/>
      <c r="AA97" s="827"/>
      <c r="AB97" s="827"/>
      <c r="AC97" s="827"/>
      <c r="AD97" s="827"/>
      <c r="AE97" s="827"/>
      <c r="AF97" s="827"/>
      <c r="AG97" s="827"/>
      <c r="AH97" s="827"/>
      <c r="AI97" s="827"/>
      <c r="AJ97" s="827"/>
      <c r="AK97" s="827"/>
      <c r="AL97" s="827"/>
      <c r="AM97" s="827"/>
      <c r="AN97" s="827"/>
      <c r="AO97" s="827"/>
      <c r="AP97" s="827"/>
      <c r="AQ97" s="827"/>
      <c r="AR97" s="828"/>
    </row>
    <row r="98" spans="10:44" ht="21" thickBot="1"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1"/>
      <c r="AE98" s="261"/>
      <c r="AF98" s="261"/>
      <c r="AG98" s="261"/>
      <c r="AH98" s="261"/>
      <c r="AI98" s="261"/>
      <c r="AJ98" s="261"/>
      <c r="AK98" s="261"/>
      <c r="AL98" s="261"/>
      <c r="AM98" s="261"/>
      <c r="AN98" s="261"/>
      <c r="AO98" s="261"/>
      <c r="AP98" s="261"/>
      <c r="AQ98" s="261"/>
      <c r="AR98" s="261"/>
    </row>
    <row r="99" spans="10:44" ht="16.2" thickBot="1">
      <c r="J99" s="262"/>
      <c r="K99" s="262"/>
      <c r="L99" s="302"/>
      <c r="M99" s="301"/>
      <c r="N99" s="831" t="s">
        <v>366</v>
      </c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3"/>
    </row>
    <row r="100" spans="10:44" ht="16.2" thickBot="1">
      <c r="J100" s="262"/>
      <c r="K100" s="262"/>
      <c r="L100" s="302"/>
      <c r="M100" s="301"/>
      <c r="N100" s="300">
        <v>0</v>
      </c>
      <c r="O100" s="299">
        <v>1</v>
      </c>
      <c r="P100" s="299">
        <v>2</v>
      </c>
      <c r="Q100" s="299">
        <v>3</v>
      </c>
      <c r="R100" s="299">
        <v>4</v>
      </c>
      <c r="S100" s="299">
        <v>5</v>
      </c>
      <c r="T100" s="299">
        <v>6</v>
      </c>
      <c r="U100" s="299">
        <v>7</v>
      </c>
      <c r="V100" s="299">
        <v>8</v>
      </c>
      <c r="W100" s="299">
        <v>9</v>
      </c>
      <c r="X100" s="299">
        <v>10</v>
      </c>
      <c r="Y100" s="299">
        <v>11</v>
      </c>
      <c r="Z100" s="299">
        <v>12</v>
      </c>
      <c r="AA100" s="299">
        <v>13</v>
      </c>
      <c r="AB100" s="299">
        <v>14</v>
      </c>
      <c r="AC100" s="299">
        <v>15</v>
      </c>
      <c r="AD100" s="299">
        <v>16</v>
      </c>
      <c r="AE100" s="299">
        <v>17</v>
      </c>
      <c r="AF100" s="299">
        <v>18</v>
      </c>
      <c r="AG100" s="299">
        <v>19</v>
      </c>
      <c r="AH100" s="299">
        <v>20</v>
      </c>
      <c r="AI100" s="299">
        <v>21</v>
      </c>
      <c r="AJ100" s="299">
        <v>22</v>
      </c>
      <c r="AK100" s="299">
        <v>23</v>
      </c>
      <c r="AL100" s="299">
        <v>24</v>
      </c>
      <c r="AM100" s="299">
        <v>25</v>
      </c>
      <c r="AN100" s="299">
        <v>26</v>
      </c>
      <c r="AO100" s="299">
        <v>27</v>
      </c>
      <c r="AP100" s="299">
        <v>28</v>
      </c>
      <c r="AQ100" s="299">
        <v>29</v>
      </c>
      <c r="AR100" s="298">
        <v>30</v>
      </c>
    </row>
    <row r="101" spans="10:44" ht="20.399999999999999">
      <c r="J101" s="262"/>
      <c r="K101" s="262"/>
      <c r="L101" s="829" t="s">
        <v>354</v>
      </c>
      <c r="M101" s="297" t="s">
        <v>311</v>
      </c>
      <c r="N101" s="296">
        <f>(M55)</f>
        <v>0</v>
      </c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3"/>
    </row>
    <row r="102" spans="10:44" ht="21" thickBot="1">
      <c r="J102" s="262"/>
      <c r="K102" s="262"/>
      <c r="L102" s="830"/>
      <c r="M102" s="292" t="s">
        <v>314</v>
      </c>
      <c r="N102" s="290">
        <f>M56</f>
        <v>0</v>
      </c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61"/>
      <c r="AE102" s="261"/>
      <c r="AF102" s="261"/>
      <c r="AG102" s="261"/>
      <c r="AH102" s="261"/>
      <c r="AI102" s="261"/>
      <c r="AJ102" s="261"/>
      <c r="AK102" s="261"/>
      <c r="AL102" s="261"/>
      <c r="AM102" s="261"/>
      <c r="AN102" s="261"/>
      <c r="AO102" s="261"/>
      <c r="AP102" s="261"/>
      <c r="AQ102" s="261"/>
      <c r="AR102" s="288"/>
    </row>
    <row r="103" spans="10:44" ht="20.399999999999999">
      <c r="J103" s="262"/>
      <c r="K103" s="262"/>
      <c r="L103" s="829" t="s">
        <v>356</v>
      </c>
      <c r="M103" s="291" t="s">
        <v>357</v>
      </c>
      <c r="N103" s="290">
        <f>M57+M58</f>
        <v>0</v>
      </c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61"/>
      <c r="AE103" s="261"/>
      <c r="AF103" s="261"/>
      <c r="AG103" s="261"/>
      <c r="AH103" s="261"/>
      <c r="AI103" s="261"/>
      <c r="AJ103" s="261"/>
      <c r="AK103" s="261"/>
      <c r="AL103" s="261"/>
      <c r="AM103" s="261"/>
      <c r="AN103" s="261"/>
      <c r="AO103" s="261"/>
      <c r="AP103" s="261"/>
      <c r="AQ103" s="261"/>
      <c r="AR103" s="288"/>
    </row>
    <row r="104" spans="10:44" ht="16.2" thickBot="1">
      <c r="J104" s="262"/>
      <c r="K104" s="262"/>
      <c r="L104" s="830"/>
      <c r="M104" s="287" t="s">
        <v>358</v>
      </c>
      <c r="N104" s="278"/>
      <c r="O104" s="277" t="str">
        <f t="shared" ref="O104:AR104" si="12">IF(O100&lt;=$M$63,$M$62,"")</f>
        <v/>
      </c>
      <c r="P104" s="277" t="str">
        <f t="shared" si="12"/>
        <v/>
      </c>
      <c r="Q104" s="277" t="str">
        <f t="shared" si="12"/>
        <v/>
      </c>
      <c r="R104" s="277" t="str">
        <f t="shared" si="12"/>
        <v/>
      </c>
      <c r="S104" s="277" t="str">
        <f t="shared" si="12"/>
        <v/>
      </c>
      <c r="T104" s="277" t="str">
        <f t="shared" si="12"/>
        <v/>
      </c>
      <c r="U104" s="277" t="str">
        <f t="shared" si="12"/>
        <v/>
      </c>
      <c r="V104" s="277" t="str">
        <f t="shared" si="12"/>
        <v/>
      </c>
      <c r="W104" s="277" t="str">
        <f t="shared" si="12"/>
        <v/>
      </c>
      <c r="X104" s="277" t="str">
        <f t="shared" si="12"/>
        <v/>
      </c>
      <c r="Y104" s="277" t="str">
        <f t="shared" si="12"/>
        <v/>
      </c>
      <c r="Z104" s="277" t="str">
        <f t="shared" si="12"/>
        <v/>
      </c>
      <c r="AA104" s="277" t="str">
        <f t="shared" si="12"/>
        <v/>
      </c>
      <c r="AB104" s="277" t="str">
        <f t="shared" si="12"/>
        <v/>
      </c>
      <c r="AC104" s="277" t="str">
        <f t="shared" si="12"/>
        <v/>
      </c>
      <c r="AD104" s="277" t="str">
        <f t="shared" si="12"/>
        <v/>
      </c>
      <c r="AE104" s="277" t="str">
        <f t="shared" si="12"/>
        <v/>
      </c>
      <c r="AF104" s="277" t="str">
        <f t="shared" si="12"/>
        <v/>
      </c>
      <c r="AG104" s="277" t="str">
        <f t="shared" si="12"/>
        <v/>
      </c>
      <c r="AH104" s="277" t="str">
        <f t="shared" si="12"/>
        <v/>
      </c>
      <c r="AI104" s="277" t="str">
        <f t="shared" si="12"/>
        <v/>
      </c>
      <c r="AJ104" s="277" t="str">
        <f t="shared" si="12"/>
        <v/>
      </c>
      <c r="AK104" s="277" t="str">
        <f t="shared" si="12"/>
        <v/>
      </c>
      <c r="AL104" s="277" t="str">
        <f t="shared" si="12"/>
        <v/>
      </c>
      <c r="AM104" s="277" t="str">
        <f t="shared" si="12"/>
        <v/>
      </c>
      <c r="AN104" s="277" t="str">
        <f t="shared" si="12"/>
        <v/>
      </c>
      <c r="AO104" s="277" t="str">
        <f t="shared" si="12"/>
        <v/>
      </c>
      <c r="AP104" s="277" t="str">
        <f t="shared" si="12"/>
        <v/>
      </c>
      <c r="AQ104" s="277" t="str">
        <f t="shared" si="12"/>
        <v/>
      </c>
      <c r="AR104" s="276" t="str">
        <f t="shared" si="12"/>
        <v/>
      </c>
    </row>
    <row r="105" spans="10:44" ht="16.2" thickBot="1">
      <c r="J105" s="262"/>
      <c r="K105" s="262"/>
      <c r="L105" s="286" t="s">
        <v>360</v>
      </c>
      <c r="M105" s="285" t="s">
        <v>360</v>
      </c>
      <c r="N105" s="274"/>
      <c r="O105" s="284">
        <f>IF(O100&lt;=$K$16,($M$61+$M$64+$M$65+$M$66+$M$67+$M$68+$M$69+$M$70+$M$71+$M$72),"")</f>
        <v>0</v>
      </c>
      <c r="P105" s="284">
        <f>IF(P100&lt;=$K$16,O105*(1+Paramètres!$B$20),"")</f>
        <v>0</v>
      </c>
      <c r="Q105" s="284">
        <f>IF(Q100&lt;=$K$16,P105*(1+Paramètres!$B$20),"")</f>
        <v>0</v>
      </c>
      <c r="R105" s="284">
        <f>IF(R100&lt;=$K$16,Q105*(1+Paramètres!$B$20),"")</f>
        <v>0</v>
      </c>
      <c r="S105" s="284">
        <f>IF(S100&lt;=$K$16,R105*(1+Paramètres!$B$20),"")</f>
        <v>0</v>
      </c>
      <c r="T105" s="284">
        <f>IF(T100&lt;=$K$16,S105*(1+Paramètres!$B$20),"")</f>
        <v>0</v>
      </c>
      <c r="U105" s="284">
        <f>IF(U100&lt;=$K$16,T105*(1+Paramètres!$B$20),"")</f>
        <v>0</v>
      </c>
      <c r="V105" s="284">
        <f>IF(V100&lt;=$K$16,U105*(1+Paramètres!$B$20),"")</f>
        <v>0</v>
      </c>
      <c r="W105" s="284">
        <f>IF(W100&lt;=$K$16,V105*(1+Paramètres!$B$20),"")</f>
        <v>0</v>
      </c>
      <c r="X105" s="284">
        <f>IF(X100&lt;=$K$16,W105*(1+Paramètres!$B$20),"")</f>
        <v>0</v>
      </c>
      <c r="Y105" s="284">
        <f>IF(Y100&lt;=$K$16,X105*(1+Paramètres!$B$20),"")</f>
        <v>0</v>
      </c>
      <c r="Z105" s="284">
        <f>IF(Z100&lt;=$K$16,Y105*(1+Paramètres!$B$20),"")</f>
        <v>0</v>
      </c>
      <c r="AA105" s="284">
        <f>IF(AA100&lt;=$K$16,Z105*(1+Paramètres!$B$20),"")</f>
        <v>0</v>
      </c>
      <c r="AB105" s="284">
        <f>IF(AB100&lt;=$K$16,AA105*(1+Paramètres!$B$20),"")</f>
        <v>0</v>
      </c>
      <c r="AC105" s="284">
        <f>IF(AC100&lt;=$K$16,AB105*(1+Paramètres!$B$20),"")</f>
        <v>0</v>
      </c>
      <c r="AD105" s="284" t="str">
        <f>IF(AD100&lt;=$K$16,AC105*(1+Paramètres!$B$20),"")</f>
        <v/>
      </c>
      <c r="AE105" s="284" t="str">
        <f>IF(AE100&lt;=$K$16,AD105*(1+Paramètres!$B$20),"")</f>
        <v/>
      </c>
      <c r="AF105" s="284" t="str">
        <f>IF(AF100&lt;=$K$16,AE105*(1+Paramètres!$B$20),"")</f>
        <v/>
      </c>
      <c r="AG105" s="284" t="str">
        <f>IF(AG100&lt;=$K$16,AF105*(1+Paramètres!$B$20),"")</f>
        <v/>
      </c>
      <c r="AH105" s="284" t="str">
        <f>IF(AH100&lt;=$K$16,AG105*(1+Paramètres!$B$20),"")</f>
        <v/>
      </c>
      <c r="AI105" s="284" t="str">
        <f>IF(AI100&lt;=$K$16,AH105*(1+Paramètres!$B$20),"")</f>
        <v/>
      </c>
      <c r="AJ105" s="284" t="str">
        <f>IF(AJ100&lt;=$K$16,AI105*(1+Paramètres!$B$20),"")</f>
        <v/>
      </c>
      <c r="AK105" s="284" t="str">
        <f>IF(AK100&lt;=$K$16,AJ105*(1+Paramètres!$B$20),"")</f>
        <v/>
      </c>
      <c r="AL105" s="284" t="str">
        <f>IF(AL100&lt;=$K$16,AK105*(1+Paramètres!$B$20),"")</f>
        <v/>
      </c>
      <c r="AM105" s="284" t="str">
        <f>IF(AM100&lt;=$K$16,AL105*(1+Paramètres!$B$20),"")</f>
        <v/>
      </c>
      <c r="AN105" s="284" t="str">
        <f>IF(AN100&lt;=$K$16,AM105*(1+Paramètres!$B$20),"")</f>
        <v/>
      </c>
      <c r="AO105" s="284" t="str">
        <f>IF(AO100&lt;=$K$16,AN105*(1+Paramètres!$B$20),"")</f>
        <v/>
      </c>
      <c r="AP105" s="284" t="str">
        <f>IF(AP100&lt;=$K$16,AO105*(1+Paramètres!$B$20),"")</f>
        <v/>
      </c>
      <c r="AQ105" s="284" t="str">
        <f>IF(AQ100&lt;=$K$16,AP105*(1+Paramètres!$B$20),"")</f>
        <v/>
      </c>
      <c r="AR105" s="283" t="str">
        <f>IF(AR100&lt;=$K$16,AQ105*(1+Paramètres!$B$20),"")</f>
        <v/>
      </c>
    </row>
    <row r="106" spans="10:44" ht="15.6">
      <c r="J106" s="262"/>
      <c r="K106" s="262"/>
      <c r="L106" s="829" t="s">
        <v>367</v>
      </c>
      <c r="M106" s="282" t="s">
        <v>46</v>
      </c>
      <c r="N106" s="281"/>
      <c r="O106" s="280">
        <f>IF(AND(O100=1,K23="OUI"),(Paramètres!$B$22*'AA2'!M55),"")</f>
        <v>0</v>
      </c>
      <c r="P106" s="280" t="str">
        <f>IF(P100=1,(Paramètres!$B$22*'AA2'!N55),"")</f>
        <v/>
      </c>
      <c r="Q106" s="280" t="str">
        <f>IF(Q100=1,(Paramètres!$B$22*'AA2'!O55),"")</f>
        <v/>
      </c>
      <c r="R106" s="280" t="str">
        <f>IF(R100=1,(Paramètres!$B$22*'AA2'!P55),"")</f>
        <v/>
      </c>
      <c r="S106" s="280" t="str">
        <f>IF(S100=1,(Paramètres!$B$22*'AA2'!Q55),"")</f>
        <v/>
      </c>
      <c r="T106" s="280" t="str">
        <f>IF(T100=1,(Paramètres!$B$22*'AA2'!R55),"")</f>
        <v/>
      </c>
      <c r="U106" s="280" t="str">
        <f>IF(U100=1,(Paramètres!$B$22*'AA2'!S55),"")</f>
        <v/>
      </c>
      <c r="V106" s="280" t="str">
        <f>IF(V100=1,(Paramètres!$B$22*'AA2'!T55),"")</f>
        <v/>
      </c>
      <c r="W106" s="280" t="str">
        <f>IF(W100=1,(Paramètres!$B$22*'AA2'!U55),"")</f>
        <v/>
      </c>
      <c r="X106" s="280" t="str">
        <f>IF(X100=1,(Paramètres!$B$22*'AA2'!V55),"")</f>
        <v/>
      </c>
      <c r="Y106" s="280" t="str">
        <f>IF(Y100=1,(Paramètres!$B$22*'AA2'!W55),"")</f>
        <v/>
      </c>
      <c r="Z106" s="280" t="str">
        <f>IF(Z100=1,(Paramètres!$B$22*'AA2'!X55),"")</f>
        <v/>
      </c>
      <c r="AA106" s="280" t="str">
        <f>IF(AA100=1,(Paramètres!$B$22*'AA2'!Y55),"")</f>
        <v/>
      </c>
      <c r="AB106" s="280" t="str">
        <f>IF(AB100=1,(Paramètres!$B$22*'AA2'!Z55),"")</f>
        <v/>
      </c>
      <c r="AC106" s="280" t="str">
        <f>IF(AC100=1,(Paramètres!$B$22*'AA2'!AA55),"")</f>
        <v/>
      </c>
      <c r="AD106" s="280" t="str">
        <f>IF(AD100=1,(Paramètres!$B$22*'AA2'!AB55),"")</f>
        <v/>
      </c>
      <c r="AE106" s="280" t="str">
        <f>IF(AE100=1,(Paramètres!$B$22*'AA2'!AC55),"")</f>
        <v/>
      </c>
      <c r="AF106" s="280" t="str">
        <f>IF(AF100=1,(Paramètres!$B$22*'AA2'!AD55),"")</f>
        <v/>
      </c>
      <c r="AG106" s="280" t="str">
        <f>IF(AG100=1,(Paramètres!$B$22*'AA2'!AE55),"")</f>
        <v/>
      </c>
      <c r="AH106" s="280" t="str">
        <f>IF(AH100=1,(Paramètres!$B$22*'AA2'!AF55),"")</f>
        <v/>
      </c>
      <c r="AI106" s="280" t="str">
        <f>IF(AI100=1,(Paramètres!$B$22*'AA2'!AG55),"")</f>
        <v/>
      </c>
      <c r="AJ106" s="280" t="str">
        <f>IF(AJ100=1,(Paramètres!$B$22*'AA2'!AH55),"")</f>
        <v/>
      </c>
      <c r="AK106" s="280" t="str">
        <f>IF(AK100=1,(Paramètres!$B$22*'AA2'!AI55),"")</f>
        <v/>
      </c>
      <c r="AL106" s="280" t="str">
        <f>IF(AL100=1,(Paramètres!$B$22*'AA2'!AJ55),"")</f>
        <v/>
      </c>
      <c r="AM106" s="280" t="str">
        <f>IF(AM100=1,(Paramètres!$B$22*'AA2'!AK55),"")</f>
        <v/>
      </c>
      <c r="AN106" s="280" t="str">
        <f>IF(AN100=1,(Paramètres!$B$22*'AA2'!AL55),"")</f>
        <v/>
      </c>
      <c r="AO106" s="280" t="str">
        <f>IF(AO100=1,(Paramètres!$B$22*'AA2'!AM55),"")</f>
        <v/>
      </c>
      <c r="AP106" s="280" t="str">
        <f>IF(AP100=1,(Paramètres!$B$22*'AA2'!AN55),"")</f>
        <v/>
      </c>
      <c r="AQ106" s="280" t="str">
        <f>IF(AQ100=1,(Paramètres!$B$22*'AA2'!AO55),"")</f>
        <v/>
      </c>
      <c r="AR106" s="279" t="str">
        <f>IF(AR100=1,(Paramètres!$B$22*'AA2'!AP55),"")</f>
        <v/>
      </c>
    </row>
    <row r="107" spans="10:44" ht="15.6">
      <c r="J107" s="262"/>
      <c r="K107" s="262"/>
      <c r="L107" s="843"/>
      <c r="M107" s="275" t="s">
        <v>368</v>
      </c>
      <c r="N107" s="278"/>
      <c r="O107" s="277">
        <f t="shared" ref="O107:AR107" si="13">IF(O100&lt;=$K$20,$M$55/$K$20,"")</f>
        <v>0</v>
      </c>
      <c r="P107" s="277">
        <f t="shared" si="13"/>
        <v>0</v>
      </c>
      <c r="Q107" s="277">
        <f t="shared" si="13"/>
        <v>0</v>
      </c>
      <c r="R107" s="277">
        <f t="shared" si="13"/>
        <v>0</v>
      </c>
      <c r="S107" s="277">
        <f t="shared" si="13"/>
        <v>0</v>
      </c>
      <c r="T107" s="277">
        <f t="shared" si="13"/>
        <v>0</v>
      </c>
      <c r="U107" s="277">
        <f t="shared" si="13"/>
        <v>0</v>
      </c>
      <c r="V107" s="277">
        <f t="shared" si="13"/>
        <v>0</v>
      </c>
      <c r="W107" s="277">
        <f t="shared" si="13"/>
        <v>0</v>
      </c>
      <c r="X107" s="277">
        <f t="shared" si="13"/>
        <v>0</v>
      </c>
      <c r="Y107" s="277" t="str">
        <f t="shared" si="13"/>
        <v/>
      </c>
      <c r="Z107" s="277" t="str">
        <f t="shared" si="13"/>
        <v/>
      </c>
      <c r="AA107" s="277" t="str">
        <f t="shared" si="13"/>
        <v/>
      </c>
      <c r="AB107" s="277" t="str">
        <f t="shared" si="13"/>
        <v/>
      </c>
      <c r="AC107" s="277" t="str">
        <f t="shared" si="13"/>
        <v/>
      </c>
      <c r="AD107" s="277" t="str">
        <f t="shared" si="13"/>
        <v/>
      </c>
      <c r="AE107" s="277" t="str">
        <f t="shared" si="13"/>
        <v/>
      </c>
      <c r="AF107" s="277" t="str">
        <f t="shared" si="13"/>
        <v/>
      </c>
      <c r="AG107" s="277" t="str">
        <f t="shared" si="13"/>
        <v/>
      </c>
      <c r="AH107" s="277" t="str">
        <f t="shared" si="13"/>
        <v/>
      </c>
      <c r="AI107" s="277" t="str">
        <f t="shared" si="13"/>
        <v/>
      </c>
      <c r="AJ107" s="277" t="str">
        <f t="shared" si="13"/>
        <v/>
      </c>
      <c r="AK107" s="277" t="str">
        <f t="shared" si="13"/>
        <v/>
      </c>
      <c r="AL107" s="277" t="str">
        <f t="shared" si="13"/>
        <v/>
      </c>
      <c r="AM107" s="277" t="str">
        <f t="shared" si="13"/>
        <v/>
      </c>
      <c r="AN107" s="277" t="str">
        <f t="shared" si="13"/>
        <v/>
      </c>
      <c r="AO107" s="277" t="str">
        <f t="shared" si="13"/>
        <v/>
      </c>
      <c r="AP107" s="277" t="str">
        <f t="shared" si="13"/>
        <v/>
      </c>
      <c r="AQ107" s="277" t="str">
        <f t="shared" si="13"/>
        <v/>
      </c>
      <c r="AR107" s="276" t="str">
        <f t="shared" si="13"/>
        <v/>
      </c>
    </row>
    <row r="108" spans="10:44" ht="16.2" thickBot="1">
      <c r="J108" s="262"/>
      <c r="K108" s="262"/>
      <c r="L108" s="843"/>
      <c r="M108" s="275" t="s">
        <v>369</v>
      </c>
      <c r="N108" s="274"/>
      <c r="O108" s="273" t="str">
        <f t="shared" ref="O108:AR108" si="14">IF(SUM(O104:O107)=0,"",SUM(O104:O107))</f>
        <v/>
      </c>
      <c r="P108" s="273" t="str">
        <f t="shared" si="14"/>
        <v/>
      </c>
      <c r="Q108" s="273" t="str">
        <f t="shared" si="14"/>
        <v/>
      </c>
      <c r="R108" s="273" t="str">
        <f t="shared" si="14"/>
        <v/>
      </c>
      <c r="S108" s="273" t="str">
        <f t="shared" si="14"/>
        <v/>
      </c>
      <c r="T108" s="273" t="str">
        <f t="shared" si="14"/>
        <v/>
      </c>
      <c r="U108" s="273" t="str">
        <f t="shared" si="14"/>
        <v/>
      </c>
      <c r="V108" s="273" t="str">
        <f t="shared" si="14"/>
        <v/>
      </c>
      <c r="W108" s="273" t="str">
        <f t="shared" si="14"/>
        <v/>
      </c>
      <c r="X108" s="273" t="str">
        <f t="shared" si="14"/>
        <v/>
      </c>
      <c r="Y108" s="273" t="str">
        <f t="shared" si="14"/>
        <v/>
      </c>
      <c r="Z108" s="273" t="str">
        <f t="shared" si="14"/>
        <v/>
      </c>
      <c r="AA108" s="273" t="str">
        <f t="shared" si="14"/>
        <v/>
      </c>
      <c r="AB108" s="273" t="str">
        <f t="shared" si="14"/>
        <v/>
      </c>
      <c r="AC108" s="273" t="str">
        <f t="shared" si="14"/>
        <v/>
      </c>
      <c r="AD108" s="273" t="str">
        <f t="shared" si="14"/>
        <v/>
      </c>
      <c r="AE108" s="273" t="str">
        <f t="shared" si="14"/>
        <v/>
      </c>
      <c r="AF108" s="273" t="str">
        <f t="shared" si="14"/>
        <v/>
      </c>
      <c r="AG108" s="273" t="str">
        <f t="shared" si="14"/>
        <v/>
      </c>
      <c r="AH108" s="273" t="str">
        <f t="shared" si="14"/>
        <v/>
      </c>
      <c r="AI108" s="273" t="str">
        <f t="shared" si="14"/>
        <v/>
      </c>
      <c r="AJ108" s="273" t="str">
        <f t="shared" si="14"/>
        <v/>
      </c>
      <c r="AK108" s="273" t="str">
        <f t="shared" si="14"/>
        <v/>
      </c>
      <c r="AL108" s="273" t="str">
        <f t="shared" si="14"/>
        <v/>
      </c>
      <c r="AM108" s="273" t="str">
        <f t="shared" si="14"/>
        <v/>
      </c>
      <c r="AN108" s="273" t="str">
        <f t="shared" si="14"/>
        <v/>
      </c>
      <c r="AO108" s="273" t="str">
        <f t="shared" si="14"/>
        <v/>
      </c>
      <c r="AP108" s="273" t="str">
        <f t="shared" si="14"/>
        <v/>
      </c>
      <c r="AQ108" s="273" t="str">
        <f t="shared" si="14"/>
        <v/>
      </c>
      <c r="AR108" s="272" t="str">
        <f t="shared" si="14"/>
        <v/>
      </c>
    </row>
    <row r="109" spans="10:44" ht="16.2" thickBot="1">
      <c r="J109" s="262"/>
      <c r="K109" s="262"/>
      <c r="L109" s="830"/>
      <c r="M109" s="271" t="s">
        <v>370</v>
      </c>
      <c r="N109" s="270">
        <f>N102*Paramètres!$B$21</f>
        <v>0</v>
      </c>
      <c r="O109" s="269" t="str">
        <f>IF(N(O108)&gt;0,O108*Paramètres!$B$21,"")</f>
        <v/>
      </c>
      <c r="P109" s="269" t="str">
        <f>IF(N(P108)&gt;0,P108*Paramètres!$B$21,"")</f>
        <v/>
      </c>
      <c r="Q109" s="269" t="str">
        <f>IF(N(Q108)&gt;0,Q108*Paramètres!$B$21,"")</f>
        <v/>
      </c>
      <c r="R109" s="269" t="str">
        <f>IF(N(R108)&gt;0,R108*Paramètres!$B$21,"")</f>
        <v/>
      </c>
      <c r="S109" s="269" t="str">
        <f>IF(N(S108)&gt;0,S108*Paramètres!$B$21,"")</f>
        <v/>
      </c>
      <c r="T109" s="269" t="str">
        <f>IF(N(T108)&gt;0,T108*Paramètres!$B$21,"")</f>
        <v/>
      </c>
      <c r="U109" s="269" t="str">
        <f>IF(N(U108)&gt;0,U108*Paramètres!$B$21,"")</f>
        <v/>
      </c>
      <c r="V109" s="269" t="str">
        <f>IF(N(V108)&gt;0,V108*Paramètres!$B$21,"")</f>
        <v/>
      </c>
      <c r="W109" s="269" t="str">
        <f>IF(N(W108)&gt;0,W108*Paramètres!$B$21,"")</f>
        <v/>
      </c>
      <c r="X109" s="269" t="str">
        <f>IF(N(X108)&gt;0,X108*Paramètres!$B$21,"")</f>
        <v/>
      </c>
      <c r="Y109" s="269" t="str">
        <f>IF(N(Y108)&gt;0,Y108*Paramètres!$B$21,"")</f>
        <v/>
      </c>
      <c r="Z109" s="269" t="str">
        <f>IF(N(Z108)&gt;0,Z108*Paramètres!$B$21,"")</f>
        <v/>
      </c>
      <c r="AA109" s="269" t="str">
        <f>IF(N(AA108)&gt;0,AA108*Paramètres!$B$21,"")</f>
        <v/>
      </c>
      <c r="AB109" s="269" t="str">
        <f>IF(N(AB108)&gt;0,AB108*Paramètres!$B$21,"")</f>
        <v/>
      </c>
      <c r="AC109" s="269" t="str">
        <f>IF(N(AC108)&gt;0,AC108*Paramètres!$B$21,"")</f>
        <v/>
      </c>
      <c r="AD109" s="269" t="str">
        <f>IF(N(AD108)&gt;0,AD108*Paramètres!$B$21,"")</f>
        <v/>
      </c>
      <c r="AE109" s="269" t="str">
        <f>IF(N(AE108)&gt;0,AE108*Paramètres!$B$21,"")</f>
        <v/>
      </c>
      <c r="AF109" s="269" t="str">
        <f>IF(N(AF108)&gt;0,AF108*Paramètres!$B$21,"")</f>
        <v/>
      </c>
      <c r="AG109" s="269" t="str">
        <f>IF(N(AG108)&gt;0,AG108*Paramètres!$B$21,"")</f>
        <v/>
      </c>
      <c r="AH109" s="269" t="str">
        <f>IF(N(AH108)&gt;0,AH108*Paramètres!$B$21,"")</f>
        <v/>
      </c>
      <c r="AI109" s="269" t="str">
        <f>IF(N(AI108)&gt;0,AI108*Paramètres!$B$21,"")</f>
        <v/>
      </c>
      <c r="AJ109" s="269" t="str">
        <f>IF(N(AJ108)&gt;0,AJ108*Paramètres!$B$21,"")</f>
        <v/>
      </c>
      <c r="AK109" s="269" t="str">
        <f>IF(N(AK108)&gt;0,AK108*Paramètres!$B$21,"")</f>
        <v/>
      </c>
      <c r="AL109" s="269" t="str">
        <f>IF(N(AL108)&gt;0,AL108*Paramètres!$B$21,"")</f>
        <v/>
      </c>
      <c r="AM109" s="269" t="str">
        <f>IF(N(AM108)&gt;0,AM108*Paramètres!$B$21,"")</f>
        <v/>
      </c>
      <c r="AN109" s="269" t="str">
        <f>IF(N(AN108)&gt;0,AN108*Paramètres!$B$21,"")</f>
        <v/>
      </c>
      <c r="AO109" s="269" t="str">
        <f>IF(N(AO108)&gt;0,AO108*Paramètres!$B$21,"")</f>
        <v/>
      </c>
      <c r="AP109" s="269" t="str">
        <f>IF(N(AP108)&gt;0,AP108*Paramètres!$B$21,"")</f>
        <v/>
      </c>
      <c r="AQ109" s="269" t="str">
        <f>IF(N(AQ108)&gt;0,AQ108*Paramètres!$B$21,"")</f>
        <v/>
      </c>
      <c r="AR109" s="268" t="str">
        <f>IF(N(AR108)&gt;0,AR108*Paramètres!$B$21,"")</f>
        <v/>
      </c>
    </row>
    <row r="110" spans="10:44" ht="16.2" thickBot="1">
      <c r="J110" s="262"/>
      <c r="K110" s="262"/>
      <c r="L110" s="267" t="s">
        <v>361</v>
      </c>
      <c r="M110" s="266" t="s">
        <v>319</v>
      </c>
      <c r="N110" s="265" t="str">
        <f t="shared" ref="N110:AR110" si="15">IF(N100=$K$16,$M$59,"")</f>
        <v/>
      </c>
      <c r="O110" s="264" t="str">
        <f t="shared" si="15"/>
        <v/>
      </c>
      <c r="P110" s="264" t="str">
        <f t="shared" si="15"/>
        <v/>
      </c>
      <c r="Q110" s="264" t="str">
        <f t="shared" si="15"/>
        <v/>
      </c>
      <c r="R110" s="264" t="str">
        <f t="shared" si="15"/>
        <v/>
      </c>
      <c r="S110" s="264" t="str">
        <f t="shared" si="15"/>
        <v/>
      </c>
      <c r="T110" s="264" t="str">
        <f t="shared" si="15"/>
        <v/>
      </c>
      <c r="U110" s="264" t="str">
        <f t="shared" si="15"/>
        <v/>
      </c>
      <c r="V110" s="264" t="str">
        <f t="shared" si="15"/>
        <v/>
      </c>
      <c r="W110" s="264" t="str">
        <f t="shared" si="15"/>
        <v/>
      </c>
      <c r="X110" s="264" t="str">
        <f t="shared" si="15"/>
        <v/>
      </c>
      <c r="Y110" s="264" t="str">
        <f t="shared" si="15"/>
        <v/>
      </c>
      <c r="Z110" s="264" t="str">
        <f t="shared" si="15"/>
        <v/>
      </c>
      <c r="AA110" s="264" t="str">
        <f t="shared" si="15"/>
        <v/>
      </c>
      <c r="AB110" s="264" t="str">
        <f t="shared" si="15"/>
        <v/>
      </c>
      <c r="AC110" s="264">
        <f t="shared" si="15"/>
        <v>0</v>
      </c>
      <c r="AD110" s="264" t="str">
        <f t="shared" si="15"/>
        <v/>
      </c>
      <c r="AE110" s="264" t="str">
        <f t="shared" si="15"/>
        <v/>
      </c>
      <c r="AF110" s="264" t="str">
        <f t="shared" si="15"/>
        <v/>
      </c>
      <c r="AG110" s="264" t="str">
        <f t="shared" si="15"/>
        <v/>
      </c>
      <c r="AH110" s="264" t="str">
        <f t="shared" si="15"/>
        <v/>
      </c>
      <c r="AI110" s="264" t="str">
        <f t="shared" si="15"/>
        <v/>
      </c>
      <c r="AJ110" s="264" t="str">
        <f t="shared" si="15"/>
        <v/>
      </c>
      <c r="AK110" s="264" t="str">
        <f t="shared" si="15"/>
        <v/>
      </c>
      <c r="AL110" s="264" t="str">
        <f t="shared" si="15"/>
        <v/>
      </c>
      <c r="AM110" s="264" t="str">
        <f t="shared" si="15"/>
        <v/>
      </c>
      <c r="AN110" s="264" t="str">
        <f t="shared" si="15"/>
        <v/>
      </c>
      <c r="AO110" s="264" t="str">
        <f t="shared" si="15"/>
        <v/>
      </c>
      <c r="AP110" s="264" t="str">
        <f t="shared" si="15"/>
        <v/>
      </c>
      <c r="AQ110" s="264" t="str">
        <f t="shared" si="15"/>
        <v/>
      </c>
      <c r="AR110" s="263" t="str">
        <f t="shared" si="15"/>
        <v/>
      </c>
    </row>
    <row r="111" spans="10:44" ht="16.2" thickBot="1">
      <c r="J111" s="262"/>
      <c r="K111" s="262"/>
      <c r="L111" s="841" t="s">
        <v>362</v>
      </c>
      <c r="M111" s="844"/>
      <c r="N111" s="260" t="str">
        <f>IF((SUM(N101:N103)-N109)=0,"",(SUM(N101:N103))-N109)</f>
        <v/>
      </c>
      <c r="O111" s="259" t="str">
        <f t="shared" ref="O111:AR111" si="16">IF(SUM(N(O104)+N(O105)-N(O109)+N(O110))=0,"",SUM(N(O104)+N(O105)-N(O109)+N(O110)))</f>
        <v/>
      </c>
      <c r="P111" s="259" t="str">
        <f t="shared" si="16"/>
        <v/>
      </c>
      <c r="Q111" s="259" t="str">
        <f t="shared" si="16"/>
        <v/>
      </c>
      <c r="R111" s="259" t="str">
        <f t="shared" si="16"/>
        <v/>
      </c>
      <c r="S111" s="259" t="str">
        <f t="shared" si="16"/>
        <v/>
      </c>
      <c r="T111" s="259" t="str">
        <f t="shared" si="16"/>
        <v/>
      </c>
      <c r="U111" s="259" t="str">
        <f t="shared" si="16"/>
        <v/>
      </c>
      <c r="V111" s="259" t="str">
        <f t="shared" si="16"/>
        <v/>
      </c>
      <c r="W111" s="259" t="str">
        <f t="shared" si="16"/>
        <v/>
      </c>
      <c r="X111" s="259" t="str">
        <f t="shared" si="16"/>
        <v/>
      </c>
      <c r="Y111" s="259" t="str">
        <f t="shared" si="16"/>
        <v/>
      </c>
      <c r="Z111" s="259" t="str">
        <f t="shared" si="16"/>
        <v/>
      </c>
      <c r="AA111" s="259" t="str">
        <f t="shared" si="16"/>
        <v/>
      </c>
      <c r="AB111" s="259" t="str">
        <f t="shared" si="16"/>
        <v/>
      </c>
      <c r="AC111" s="259" t="str">
        <f t="shared" si="16"/>
        <v/>
      </c>
      <c r="AD111" s="259" t="str">
        <f t="shared" si="16"/>
        <v/>
      </c>
      <c r="AE111" s="259" t="str">
        <f t="shared" si="16"/>
        <v/>
      </c>
      <c r="AF111" s="259" t="str">
        <f t="shared" si="16"/>
        <v/>
      </c>
      <c r="AG111" s="259" t="str">
        <f t="shared" si="16"/>
        <v/>
      </c>
      <c r="AH111" s="259" t="str">
        <f t="shared" si="16"/>
        <v/>
      </c>
      <c r="AI111" s="259" t="str">
        <f t="shared" si="16"/>
        <v/>
      </c>
      <c r="AJ111" s="259" t="str">
        <f t="shared" si="16"/>
        <v/>
      </c>
      <c r="AK111" s="259" t="str">
        <f t="shared" si="16"/>
        <v/>
      </c>
      <c r="AL111" s="259" t="str">
        <f t="shared" si="16"/>
        <v/>
      </c>
      <c r="AM111" s="259" t="str">
        <f t="shared" si="16"/>
        <v/>
      </c>
      <c r="AN111" s="259" t="str">
        <f t="shared" si="16"/>
        <v/>
      </c>
      <c r="AO111" s="259" t="str">
        <f t="shared" si="16"/>
        <v/>
      </c>
      <c r="AP111" s="259" t="str">
        <f t="shared" si="16"/>
        <v/>
      </c>
      <c r="AQ111" s="259" t="str">
        <f t="shared" si="16"/>
        <v/>
      </c>
      <c r="AR111" s="258" t="str">
        <f t="shared" si="16"/>
        <v/>
      </c>
    </row>
    <row r="112" spans="10:44" ht="13.8" thickBot="1">
      <c r="J112" s="250"/>
      <c r="K112" s="250"/>
      <c r="L112" s="841" t="s">
        <v>363</v>
      </c>
      <c r="M112" s="844"/>
      <c r="N112" s="260" t="str">
        <f>IF(N111="","",((N111)/(1+Paramètres!$B$19)^N100))</f>
        <v/>
      </c>
      <c r="O112" s="259" t="str">
        <f>IF(O111="","",((O111)/(1+Paramètres!$B$19)^O100))</f>
        <v/>
      </c>
      <c r="P112" s="259" t="str">
        <f>IF(P111="","",((P111)/(1+Paramètres!$B$19)^P100))</f>
        <v/>
      </c>
      <c r="Q112" s="259" t="str">
        <f>IF(Q111="","",((Q111)/(1+Paramètres!$B$19)^Q100))</f>
        <v/>
      </c>
      <c r="R112" s="259" t="str">
        <f>IF(R111="","",((R111)/(1+Paramètres!$B$19)^R100))</f>
        <v/>
      </c>
      <c r="S112" s="259" t="str">
        <f>IF(S111="","",((S111)/(1+Paramètres!$B$19)^S100))</f>
        <v/>
      </c>
      <c r="T112" s="259" t="str">
        <f>IF(T111="","",((T111)/(1+Paramètres!$B$19)^T100))</f>
        <v/>
      </c>
      <c r="U112" s="259" t="str">
        <f>IF(U111="","",((U111)/(1+Paramètres!$B$19)^U100))</f>
        <v/>
      </c>
      <c r="V112" s="259" t="str">
        <f>IF(V111="","",((V111)/(1+Paramètres!$B$19)^V100))</f>
        <v/>
      </c>
      <c r="W112" s="259" t="str">
        <f>IF(W111="","",((W111)/(1+Paramètres!$B$19)^W100))</f>
        <v/>
      </c>
      <c r="X112" s="259" t="str">
        <f>IF(X111="","",((X111)/(1+Paramètres!$B$19)^X100))</f>
        <v/>
      </c>
      <c r="Y112" s="259" t="str">
        <f>IF(Y111="","",((Y111)/(1+Paramètres!$B$19)^Y100))</f>
        <v/>
      </c>
      <c r="Z112" s="259" t="str">
        <f>IF(Z111="","",((Z111)/(1+Paramètres!$B$19)^Z100))</f>
        <v/>
      </c>
      <c r="AA112" s="259" t="str">
        <f>IF(AA111="","",((AA111)/(1+Paramètres!$B$19)^AA100))</f>
        <v/>
      </c>
      <c r="AB112" s="259" t="str">
        <f>IF(AB111="","",((AB111)/(1+Paramètres!$B$19)^AB100))</f>
        <v/>
      </c>
      <c r="AC112" s="259" t="str">
        <f>IF(AC111="","",((AC111)/(1+Paramètres!$B$19)^AC100))</f>
        <v/>
      </c>
      <c r="AD112" s="259" t="str">
        <f>IF(AD111="","",((AD111)/(1+Paramètres!$B$19)^AD100))</f>
        <v/>
      </c>
      <c r="AE112" s="259" t="str">
        <f>IF(AE111="","",((AE111)/(1+Paramètres!$B$19)^AE100))</f>
        <v/>
      </c>
      <c r="AF112" s="259" t="str">
        <f>IF(AF111="","",((AF111)/(1+Paramètres!$B$19)^AF100))</f>
        <v/>
      </c>
      <c r="AG112" s="259" t="str">
        <f>IF(AG111="","",((AG111)/(1+Paramètres!$B$19)^AG100))</f>
        <v/>
      </c>
      <c r="AH112" s="259" t="str">
        <f>IF(AH111="","",((AH111)/(1+Paramètres!$B$19)^AH100))</f>
        <v/>
      </c>
      <c r="AI112" s="259" t="str">
        <f>IF(AI111="","",((AI111)/(1+Paramètres!$B$19)^AI100))</f>
        <v/>
      </c>
      <c r="AJ112" s="259" t="str">
        <f>IF(AJ111="","",((AJ111)/(1+Paramètres!$B$19)^AJ100))</f>
        <v/>
      </c>
      <c r="AK112" s="259" t="str">
        <f>IF(AK111="","",((AK111)/(1+Paramètres!$B$19)^AK100))</f>
        <v/>
      </c>
      <c r="AL112" s="259" t="str">
        <f>IF(AL111="","",((AL111)/(1+Paramètres!$B$19)^AL100))</f>
        <v/>
      </c>
      <c r="AM112" s="259" t="str">
        <f>IF(AM111="","",((AM111)/(1+Paramètres!$B$19)^AM100))</f>
        <v/>
      </c>
      <c r="AN112" s="259" t="str">
        <f>IF(AN111="","",((AN111)/(1+Paramètres!$B$19)^AN100))</f>
        <v/>
      </c>
      <c r="AO112" s="259" t="str">
        <f>IF(AO111="","",((AO111)/(1+Paramètres!$B$19)^AO100))</f>
        <v/>
      </c>
      <c r="AP112" s="259" t="str">
        <f>IF(AP111="","",((AP111)/(1+Paramètres!$B$19)^AP100))</f>
        <v/>
      </c>
      <c r="AQ112" s="259" t="str">
        <f>IF(AQ111="","",((AQ111)/(1+Paramètres!$B$19)^AQ100))</f>
        <v/>
      </c>
      <c r="AR112" s="258" t="str">
        <f>IF(AR111="","",((AR111)/(1+Paramètres!$B$19)^AR100))</f>
        <v/>
      </c>
    </row>
    <row r="113" spans="10:44" ht="13.8" thickBot="1">
      <c r="J113" s="250"/>
      <c r="K113" s="250"/>
      <c r="L113" s="841" t="s">
        <v>364</v>
      </c>
      <c r="M113" s="844"/>
      <c r="N113" s="257" t="str">
        <f>N112</f>
        <v/>
      </c>
      <c r="O113" s="256" t="str">
        <f t="shared" ref="O113:AR113" si="17">IF(O112="","",((N113+O90)))</f>
        <v/>
      </c>
      <c r="P113" s="256" t="str">
        <f t="shared" si="17"/>
        <v/>
      </c>
      <c r="Q113" s="256" t="str">
        <f t="shared" si="17"/>
        <v/>
      </c>
      <c r="R113" s="256" t="str">
        <f t="shared" si="17"/>
        <v/>
      </c>
      <c r="S113" s="256" t="str">
        <f t="shared" si="17"/>
        <v/>
      </c>
      <c r="T113" s="256" t="str">
        <f t="shared" si="17"/>
        <v/>
      </c>
      <c r="U113" s="256" t="str">
        <f t="shared" si="17"/>
        <v/>
      </c>
      <c r="V113" s="256" t="str">
        <f t="shared" si="17"/>
        <v/>
      </c>
      <c r="W113" s="256" t="str">
        <f t="shared" si="17"/>
        <v/>
      </c>
      <c r="X113" s="256" t="str">
        <f t="shared" si="17"/>
        <v/>
      </c>
      <c r="Y113" s="256" t="str">
        <f t="shared" si="17"/>
        <v/>
      </c>
      <c r="Z113" s="256" t="str">
        <f t="shared" si="17"/>
        <v/>
      </c>
      <c r="AA113" s="256" t="str">
        <f t="shared" si="17"/>
        <v/>
      </c>
      <c r="AB113" s="256" t="str">
        <f t="shared" si="17"/>
        <v/>
      </c>
      <c r="AC113" s="256" t="str">
        <f t="shared" si="17"/>
        <v/>
      </c>
      <c r="AD113" s="256" t="str">
        <f t="shared" si="17"/>
        <v/>
      </c>
      <c r="AE113" s="256" t="str">
        <f t="shared" si="17"/>
        <v/>
      </c>
      <c r="AF113" s="256" t="str">
        <f t="shared" si="17"/>
        <v/>
      </c>
      <c r="AG113" s="256" t="str">
        <f t="shared" si="17"/>
        <v/>
      </c>
      <c r="AH113" s="256" t="str">
        <f t="shared" si="17"/>
        <v/>
      </c>
      <c r="AI113" s="256" t="str">
        <f t="shared" si="17"/>
        <v/>
      </c>
      <c r="AJ113" s="256" t="str">
        <f t="shared" si="17"/>
        <v/>
      </c>
      <c r="AK113" s="256" t="str">
        <f t="shared" si="17"/>
        <v/>
      </c>
      <c r="AL113" s="256" t="str">
        <f t="shared" si="17"/>
        <v/>
      </c>
      <c r="AM113" s="256" t="str">
        <f t="shared" si="17"/>
        <v/>
      </c>
      <c r="AN113" s="256" t="str">
        <f t="shared" si="17"/>
        <v/>
      </c>
      <c r="AO113" s="256" t="str">
        <f t="shared" si="17"/>
        <v/>
      </c>
      <c r="AP113" s="256" t="str">
        <f t="shared" si="17"/>
        <v/>
      </c>
      <c r="AQ113" s="256" t="str">
        <f t="shared" si="17"/>
        <v/>
      </c>
      <c r="AR113" s="255" t="str">
        <f t="shared" si="17"/>
        <v/>
      </c>
    </row>
    <row r="114" spans="10:44" ht="13.8" thickBot="1"/>
    <row r="115" spans="10:44">
      <c r="L115" s="254" t="s">
        <v>225</v>
      </c>
      <c r="M115" s="253" t="str">
        <f>IFERROR(IRR(N111:AR111), "PROJET NON RENTABLE")</f>
        <v>PROJET NON RENTABLE</v>
      </c>
    </row>
    <row r="116" spans="10:44" ht="13.8" thickBot="1">
      <c r="L116" s="252" t="s">
        <v>224</v>
      </c>
      <c r="M116" s="412" cm="1">
        <f t="array" ref="M116">IFERROR(INDEX(N100:AR100,MATCH(TRUE,N113:AR113&gt;0,0)),"PROJET NON RENTABLE")</f>
        <v>0</v>
      </c>
    </row>
  </sheetData>
  <mergeCells count="63">
    <mergeCell ref="L111:M111"/>
    <mergeCell ref="L112:M112"/>
    <mergeCell ref="L113:M113"/>
    <mergeCell ref="B13:C13"/>
    <mergeCell ref="L91:M91"/>
    <mergeCell ref="J97:AR97"/>
    <mergeCell ref="N99:AR99"/>
    <mergeCell ref="L101:L102"/>
    <mergeCell ref="L103:L104"/>
    <mergeCell ref="L106:L109"/>
    <mergeCell ref="E81:F81"/>
    <mergeCell ref="L81:L82"/>
    <mergeCell ref="L83:L85"/>
    <mergeCell ref="B87:F87"/>
    <mergeCell ref="L89:M89"/>
    <mergeCell ref="L90:M90"/>
    <mergeCell ref="B80:H80"/>
    <mergeCell ref="B60:F60"/>
    <mergeCell ref="B61:F61"/>
    <mergeCell ref="J61:J72"/>
    <mergeCell ref="K62:K63"/>
    <mergeCell ref="B64:F64"/>
    <mergeCell ref="K64:K65"/>
    <mergeCell ref="B65:F65"/>
    <mergeCell ref="B66:F66"/>
    <mergeCell ref="B67:F67"/>
    <mergeCell ref="K67:K72"/>
    <mergeCell ref="B70:H70"/>
    <mergeCell ref="E71:F71"/>
    <mergeCell ref="B77:F77"/>
    <mergeCell ref="J77:AR77"/>
    <mergeCell ref="N79:AR79"/>
    <mergeCell ref="J54:N54"/>
    <mergeCell ref="J55:J59"/>
    <mergeCell ref="K55:K56"/>
    <mergeCell ref="K57:K58"/>
    <mergeCell ref="B58:E58"/>
    <mergeCell ref="B59:F59"/>
    <mergeCell ref="J51:Q51"/>
    <mergeCell ref="J26:Q26"/>
    <mergeCell ref="C31:F31"/>
    <mergeCell ref="N31:O31"/>
    <mergeCell ref="C33:F33"/>
    <mergeCell ref="N33:O33"/>
    <mergeCell ref="C35:F35"/>
    <mergeCell ref="N35:O35"/>
    <mergeCell ref="O37:O45"/>
    <mergeCell ref="B42:H42"/>
    <mergeCell ref="B46:H46"/>
    <mergeCell ref="N47:O47"/>
    <mergeCell ref="N48:O48"/>
    <mergeCell ref="B21:H21"/>
    <mergeCell ref="B1:H1"/>
    <mergeCell ref="B2:H2"/>
    <mergeCell ref="J2:AR2"/>
    <mergeCell ref="B3:H3"/>
    <mergeCell ref="F5:G5"/>
    <mergeCell ref="L6:M6"/>
    <mergeCell ref="L7:M7"/>
    <mergeCell ref="J8:K8"/>
    <mergeCell ref="M8:N8"/>
    <mergeCell ref="B9:H9"/>
    <mergeCell ref="B17:H17"/>
  </mergeCells>
  <dataValidations count="5">
    <dataValidation type="list" allowBlank="1" showInputMessage="1" showErrorMessage="1" sqref="C37" xr:uid="{64FBA336-C3EB-4847-9BB8-79F9ADB2B5FB}">
      <formula1>"2030,2040,2050"</formula1>
    </dataValidation>
    <dataValidation type="list" allowBlank="1" showInputMessage="1" showErrorMessage="1" sqref="K22:K23" xr:uid="{A3F4DDB4-CB76-496B-AF42-2D28E9B0BA3E}">
      <formula1>"OUI,NON"</formula1>
    </dataValidation>
    <dataValidation type="list" allowBlank="1" showInputMessage="1" showErrorMessage="1" sqref="K24" xr:uid="{98DC14A0-915F-4FA3-ACD9-D7A193610AC5}">
      <formula1>"Oui,Non"</formula1>
    </dataValidation>
    <dataValidation type="list" showInputMessage="1" showErrorMessage="1" sqref="K10:K14" xr:uid="{C27E7069-D053-441F-8A9A-FD73C0B8B95B}">
      <formula1>Poste</formula1>
    </dataValidation>
    <dataValidation type="list" showInputMessage="1" showErrorMessage="1" sqref="K15" xr:uid="{4CF66D9A-B1B7-4B99-A42F-CCD6B177F499}">
      <formula1>"Tertiaire Public,Tertiaire Privé,Industrie"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1200" r:id="rId1"/>
  <headerFooter alignWithMargins="0">
    <oddHeader>&amp;C&amp;"Arial,Gras"&amp;14ECONOTEC / 3J-CONSULT</oddHeader>
    <oddFooter>&amp;L&amp;F&amp;R&amp;A</oddFooter>
  </headerFooter>
  <rowBreaks count="1" manualBreakCount="1">
    <brk id="67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4D46DEC-D808-44DF-85F5-8DF5968A18B9}">
          <x14:formula1>
            <xm:f>Paramètres!$C$57:$C$60</xm:f>
          </x14:formula1>
          <xm:sqref>F27</xm:sqref>
        </x14:dataValidation>
        <x14:dataValidation type="list" allowBlank="1" showInputMessage="1" showErrorMessage="1" xr:uid="{CF3FF07A-E9E5-43FB-A570-D9B8408820B9}">
          <x14:formula1>
            <xm:f>Paramètres!$A$57:$A$83</xm:f>
          </x14:formula1>
          <xm:sqref>B13:B14</xm:sqref>
        </x14:dataValidation>
        <x14:dataValidation type="list" allowBlank="1" showInputMessage="1" showErrorMessage="1" xr:uid="{9875481A-F5BD-42FB-A617-81F1B9CC53C2}">
          <x14:formula1>
            <xm:f>Paramètres!$B$57:$B$82</xm:f>
          </x14:formula1>
          <xm:sqref>C33:F33 C35:F35 C31:F31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28FA6667BEE4409F0B480276429A7C" ma:contentTypeVersion="17" ma:contentTypeDescription="Crée un document." ma:contentTypeScope="" ma:versionID="72ec72eccf85e389f4d1f6b769e0d037">
  <xsd:schema xmlns:xsd="http://www.w3.org/2001/XMLSchema" xmlns:xs="http://www.w3.org/2001/XMLSchema" xmlns:p="http://schemas.microsoft.com/office/2006/metadata/properties" xmlns:ns2="ccdb75ce-c0b7-4ff5-9fa7-cc4f5a87d5d8" xmlns:ns3="9dd70855-4555-4fc6-8fbc-e6f843257071" targetNamespace="http://schemas.microsoft.com/office/2006/metadata/properties" ma:root="true" ma:fieldsID="ec73cd69158b2e7ce86921f38dff84c2" ns2:_="" ns3:_="">
    <xsd:import namespace="ccdb75ce-c0b7-4ff5-9fa7-cc4f5a87d5d8"/>
    <xsd:import namespace="9dd70855-4555-4fc6-8fbc-e6f8432570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  <xsd:element ref="ns2:Inform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db75ce-c0b7-4ff5-9fa7-cc4f5a87d5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cc4018d8-b214-4a48-af45-02710e18d6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Information" ma:index="24" nillable="true" ma:displayName="Information" ma:description="description du document et de son utilité" ma:format="Dropdown" ma:internalName="Informa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70855-4555-4fc6-8fbc-e6f84325707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50cc46bf-7569-46c0-9b7f-e4f8a6c5bb7e}" ma:internalName="TaxCatchAll" ma:showField="CatchAllData" ma:web="9dd70855-4555-4fc6-8fbc-e6f8432570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dd70855-4555-4fc6-8fbc-e6f843257071" xsi:nil="true"/>
    <lcf76f155ced4ddcb4097134ff3c332f xmlns="ccdb75ce-c0b7-4ff5-9fa7-cc4f5a87d5d8">
      <Terms xmlns="http://schemas.microsoft.com/office/infopath/2007/PartnerControls"/>
    </lcf76f155ced4ddcb4097134ff3c332f>
    <Information xmlns="ccdb75ce-c0b7-4ff5-9fa7-cc4f5a87d5d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80647B-C193-4704-8980-5340739950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db75ce-c0b7-4ff5-9fa7-cc4f5a87d5d8"/>
    <ds:schemaRef ds:uri="9dd70855-4555-4fc6-8fbc-e6f8432570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93C92D4-1B19-4DF4-B9DE-B9606038F27A}">
  <ds:schemaRefs>
    <ds:schemaRef ds:uri="http://schemas.microsoft.com/office/2006/metadata/properties"/>
    <ds:schemaRef ds:uri="http://www.w3.org/XML/1998/namespace"/>
    <ds:schemaRef ds:uri="ccdb75ce-c0b7-4ff5-9fa7-cc4f5a87d5d8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purl.org/dc/elements/1.1/"/>
    <ds:schemaRef ds:uri="http://purl.org/dc/dcmitype/"/>
    <ds:schemaRef ds:uri="9dd70855-4555-4fc6-8fbc-e6f843257071"/>
  </ds:schemaRefs>
</ds:datastoreItem>
</file>

<file path=customXml/itemProps3.xml><?xml version="1.0" encoding="utf-8"?>
<ds:datastoreItem xmlns:ds="http://schemas.openxmlformats.org/officeDocument/2006/customXml" ds:itemID="{4F2C4027-2E72-413D-8B18-A8CFAA65441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16</vt:i4>
      </vt:variant>
      <vt:variant>
        <vt:lpstr>Graphiques</vt:lpstr>
      </vt:variant>
      <vt:variant>
        <vt:i4>3</vt:i4>
      </vt:variant>
      <vt:variant>
        <vt:lpstr>Plages nommées</vt:lpstr>
      </vt:variant>
      <vt:variant>
        <vt:i4>14</vt:i4>
      </vt:variant>
    </vt:vector>
  </HeadingPairs>
  <TitlesOfParts>
    <vt:vector size="33" baseType="lpstr">
      <vt:lpstr>Entête</vt:lpstr>
      <vt:lpstr>Paramètres</vt:lpstr>
      <vt:lpstr>2023</vt:lpstr>
      <vt:lpstr>2030</vt:lpstr>
      <vt:lpstr>Trajectoire</vt:lpstr>
      <vt:lpstr>PA</vt:lpstr>
      <vt:lpstr>AA0</vt:lpstr>
      <vt:lpstr>AA1</vt:lpstr>
      <vt:lpstr>AA2</vt:lpstr>
      <vt:lpstr>AA3</vt:lpstr>
      <vt:lpstr>AA4</vt:lpstr>
      <vt:lpstr>AA5</vt:lpstr>
      <vt:lpstr>AA6</vt:lpstr>
      <vt:lpstr>AA7</vt:lpstr>
      <vt:lpstr>AA8</vt:lpstr>
      <vt:lpstr>AA9</vt:lpstr>
      <vt:lpstr>G_Indices</vt:lpstr>
      <vt:lpstr>G_Emissions</vt:lpstr>
      <vt:lpstr>G_Consommations</vt:lpstr>
      <vt:lpstr>PA!Impression_des_titres</vt:lpstr>
      <vt:lpstr>Poste</vt:lpstr>
      <vt:lpstr>AA0!Zone_d_impression</vt:lpstr>
      <vt:lpstr>'AA1'!Zone_d_impression</vt:lpstr>
      <vt:lpstr>'AA2'!Zone_d_impression</vt:lpstr>
      <vt:lpstr>'AA3'!Zone_d_impression</vt:lpstr>
      <vt:lpstr>'AA4'!Zone_d_impression</vt:lpstr>
      <vt:lpstr>'AA5'!Zone_d_impression</vt:lpstr>
      <vt:lpstr>'AA6'!Zone_d_impression</vt:lpstr>
      <vt:lpstr>'AA7'!Zone_d_impression</vt:lpstr>
      <vt:lpstr>'AA8'!Zone_d_impression</vt:lpstr>
      <vt:lpstr>'AA9'!Zone_d_impression</vt:lpstr>
      <vt:lpstr>Entête!Zone_d_impression</vt:lpstr>
      <vt:lpstr>PA!Zone_d_impression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Jean-Benoit Verbeke</dc:creator>
  <cp:keywords/>
  <dc:description/>
  <cp:lastModifiedBy>PEVENAGE Valérie</cp:lastModifiedBy>
  <cp:revision/>
  <dcterms:created xsi:type="dcterms:W3CDTF">1996-10-14T23:33:28Z</dcterms:created>
  <dcterms:modified xsi:type="dcterms:W3CDTF">2024-11-19T17:19:02Z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0x010100B128FA6667BEE4409F0B480276429A7C</vt:lpwstr>
  </property>
  <property fmtid="{D5CDD505-2E9C-101B-9397-08002B2CF9AE}" pid="3" name="MediaServiceImageTags">
    <vt:lpwstr/>
  </property>
  <property fmtid="{D5CDD505-2E9C-101B-9397-08002B2CF9AE}" pid="4" name="MSIP_Label_97a477d1-147d-4e34-b5e3-7b26d2f44870_Enabled">
    <vt:lpwstr>true</vt:lpwstr>
  </property>
  <property fmtid="{D5CDD505-2E9C-101B-9397-08002B2CF9AE}" pid="5" name="MSIP_Label_97a477d1-147d-4e34-b5e3-7b26d2f44870_SetDate">
    <vt:lpwstr>2024-10-16T12:02:40Z</vt:lpwstr>
  </property>
  <property fmtid="{D5CDD505-2E9C-101B-9397-08002B2CF9AE}" pid="6" name="MSIP_Label_97a477d1-147d-4e34-b5e3-7b26d2f44870_Method">
    <vt:lpwstr>Standard</vt:lpwstr>
  </property>
  <property fmtid="{D5CDD505-2E9C-101B-9397-08002B2CF9AE}" pid="7" name="MSIP_Label_97a477d1-147d-4e34-b5e3-7b26d2f44870_Name">
    <vt:lpwstr>97a477d1-147d-4e34-b5e3-7b26d2f44870</vt:lpwstr>
  </property>
  <property fmtid="{D5CDD505-2E9C-101B-9397-08002B2CF9AE}" pid="8" name="MSIP_Label_97a477d1-147d-4e34-b5e3-7b26d2f44870_SiteId">
    <vt:lpwstr>1f816a84-7aa6-4a56-b22a-7b3452fa8681</vt:lpwstr>
  </property>
  <property fmtid="{D5CDD505-2E9C-101B-9397-08002B2CF9AE}" pid="9" name="MSIP_Label_97a477d1-147d-4e34-b5e3-7b26d2f44870_ActionId">
    <vt:lpwstr>ac22d9eb-711f-4c82-b2c2-eb146b856a86</vt:lpwstr>
  </property>
  <property fmtid="{D5CDD505-2E9C-101B-9397-08002B2CF9AE}" pid="10" name="MSIP_Label_97a477d1-147d-4e34-b5e3-7b26d2f44870_ContentBits">
    <vt:lpwstr>0</vt:lpwstr>
  </property>
</Properties>
</file>