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C:\Users\47117\Desktop\"/>
    </mc:Choice>
  </mc:AlternateContent>
  <xr:revisionPtr revIDLastSave="0" documentId="13_ncr:1_{E80E1BDF-A121-4702-8F23-DAA7E7852BBD}" xr6:coauthVersionLast="47" xr6:coauthVersionMax="47" xr10:uidLastSave="{00000000-0000-0000-0000-000000000000}"/>
  <workbookProtection workbookAlgorithmName="SHA-512" workbookHashValue="hEiBXb5XFG2XKUe9OJjheVnlAwN3l2vqrct/WYgUxUECWYFUQij0ns8UxG9enw8z79EiD/YcwDapLtI7e9B9Wg==" workbookSaltValue="TEA0yOhUnSGpdIpbTd/OCg==" workbookSpinCount="100000" lockStructure="1"/>
  <bookViews>
    <workbookView xWindow="28680" yWindow="-120" windowWidth="19440" windowHeight="14880" tabRatio="707" xr2:uid="{00000000-000D-0000-FFFF-FFFF00000000}"/>
  </bookViews>
  <sheets>
    <sheet name="Introduction" sheetId="15" r:id="rId1"/>
    <sheet name="Encodage données" sheetId="8" r:id="rId2"/>
    <sheet name="Encodage ventilation" sheetId="12" r:id="rId3"/>
    <sheet name="Bilan énergétique" sheetId="11" r:id="rId4"/>
    <sheet name="Subside" sheetId="13" r:id="rId5"/>
    <sheet name="Calculs" sheetId="10" state="hidden" r:id="rId6"/>
    <sheet name="Checks" sheetId="14" state="hidden" r:id="rId7"/>
    <sheet name="DonnéesAutres" sheetId="9" state="hidden" r:id="rId8"/>
    <sheet name="Parois types" sheetId="2" state="hidden" r:id="rId9"/>
    <sheet name="Données Giant" sheetId="4" state="hidden" r:id="rId10"/>
    <sheet name="Liste des communes" sheetId="3" state="hidden" r:id="rId11"/>
  </sheets>
  <externalReferences>
    <externalReference r:id="rId12"/>
  </externalReferences>
  <definedNames>
    <definedName name="duree_chauf">'[1]Situation initiale'!$D$125</definedName>
    <definedName name="Fenêtres_portes">'Parois types'!$B$9:$B$18</definedName>
    <definedName name="Isolation_mur">'Données Giant'!$B$15:$B$16</definedName>
    <definedName name="Isolation_Sol">'Données Giant'!$C$15:$C$16</definedName>
    <definedName name="Isolation_Toiture">'Données Giant'!$D$15:$D$16</definedName>
    <definedName name="Murs">'Parois types'!$B$22:$B$36</definedName>
    <definedName name="Pas_de_modification">'Données Giant'!$E$15</definedName>
    <definedName name="Plancher_grenier">'Parois types'!$B$58:$B$62</definedName>
    <definedName name="Remplacement_Fenêtre_Porte_paroi_translucide">'Données Giant'!$F$15:$F$24</definedName>
    <definedName name="Sol_et_cave">'Parois types'!$B$65:$B$71</definedName>
    <definedName name="Temp_ext">'[1]Situation initiale'!$D$124</definedName>
    <definedName name="Temp_SR">'Bilan énergétique'!$E$174</definedName>
    <definedName name="Toit_incliné">'Parois types'!$B$48:$B$54</definedName>
    <definedName name="Toit_plat">'Parois types'!$B$40:$B$43</definedName>
    <definedName name="Travaux">'Données Giant'!$B$8:$F$8</definedName>
    <definedName name="Types_de_parois">'Parois types'!$A$1:$A$6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2" i="8" l="1"/>
  <c r="A66" i="8" l="1"/>
  <c r="K66" i="8" s="1"/>
  <c r="A67" i="8"/>
  <c r="K67" i="8" s="1"/>
  <c r="A68" i="8"/>
  <c r="K68" i="8" s="1"/>
  <c r="A69" i="8"/>
  <c r="K69" i="8" s="1"/>
  <c r="A70" i="8"/>
  <c r="K70" i="8" s="1"/>
  <c r="A71" i="8"/>
  <c r="K71" i="8" s="1"/>
  <c r="A72" i="8"/>
  <c r="K72" i="8" s="1"/>
  <c r="A73" i="8"/>
  <c r="K73" i="8" s="1"/>
  <c r="A74" i="8"/>
  <c r="K74" i="8" s="1"/>
  <c r="A75" i="8"/>
  <c r="K75" i="8" s="1"/>
  <c r="A76" i="8"/>
  <c r="K76" i="8" s="1"/>
  <c r="A77" i="8"/>
  <c r="K77" i="8" s="1"/>
  <c r="A78" i="8"/>
  <c r="K78" i="8" s="1"/>
  <c r="A79" i="8"/>
  <c r="K79" i="8" s="1"/>
  <c r="A80" i="8"/>
  <c r="K80" i="8" s="1"/>
  <c r="A81" i="8"/>
  <c r="K81" i="8" s="1"/>
  <c r="A82" i="8"/>
  <c r="K82" i="8" s="1"/>
  <c r="A83" i="8"/>
  <c r="K83" i="8" s="1"/>
  <c r="A84" i="8"/>
  <c r="K84" i="8" s="1"/>
  <c r="A85" i="8"/>
  <c r="K85" i="8" s="1"/>
  <c r="A86" i="8"/>
  <c r="K86" i="8" s="1"/>
  <c r="A87" i="8"/>
  <c r="K87" i="8" s="1"/>
  <c r="A88" i="8"/>
  <c r="K88" i="8" s="1"/>
  <c r="A89" i="8"/>
  <c r="K89" i="8" s="1"/>
  <c r="A90" i="8"/>
  <c r="K90" i="8" s="1"/>
  <c r="A91" i="8"/>
  <c r="K91" i="8" s="1"/>
  <c r="A92" i="8"/>
  <c r="K92" i="8" s="1"/>
  <c r="A93" i="8"/>
  <c r="K93" i="8" s="1"/>
  <c r="A94" i="8"/>
  <c r="K94" i="8" s="1"/>
  <c r="A95" i="8"/>
  <c r="K95" i="8" s="1"/>
  <c r="A96" i="8"/>
  <c r="K96" i="8" s="1"/>
  <c r="A97" i="8"/>
  <c r="K97" i="8" s="1"/>
  <c r="A98" i="8"/>
  <c r="K98" i="8" s="1"/>
  <c r="A99" i="8"/>
  <c r="K99" i="8" s="1"/>
  <c r="A100" i="8"/>
  <c r="K100" i="8" s="1"/>
  <c r="A101" i="8"/>
  <c r="K101" i="8" s="1"/>
  <c r="A102" i="8"/>
  <c r="K102" i="8" s="1"/>
  <c r="A103" i="8"/>
  <c r="K103" i="8" s="1"/>
  <c r="A104" i="8"/>
  <c r="K104" i="8" s="1"/>
  <c r="A105" i="8"/>
  <c r="K105" i="8" s="1"/>
  <c r="A106" i="8"/>
  <c r="K106" i="8" s="1"/>
  <c r="A107" i="8"/>
  <c r="K107" i="8" s="1"/>
  <c r="A108" i="8"/>
  <c r="K108" i="8" s="1"/>
  <c r="A109" i="8"/>
  <c r="K109" i="8" s="1"/>
  <c r="A110" i="8"/>
  <c r="K110" i="8" s="1"/>
  <c r="A111" i="8"/>
  <c r="K111" i="8" s="1"/>
  <c r="A112" i="8"/>
  <c r="K112" i="8" s="1"/>
  <c r="A113" i="8"/>
  <c r="K113" i="8" s="1"/>
  <c r="A114" i="8"/>
  <c r="K114" i="8" s="1"/>
  <c r="A115" i="8"/>
  <c r="K115" i="8" s="1"/>
  <c r="A116" i="8"/>
  <c r="K116" i="8" s="1"/>
  <c r="A117" i="8"/>
  <c r="K117" i="8" s="1"/>
  <c r="A118" i="8"/>
  <c r="K118" i="8" s="1"/>
  <c r="A119" i="8"/>
  <c r="K119" i="8" s="1"/>
  <c r="A120" i="8"/>
  <c r="K120" i="8" s="1"/>
  <c r="A121" i="8"/>
  <c r="K121" i="8" s="1"/>
  <c r="A122" i="8"/>
  <c r="K122" i="8" s="1"/>
  <c r="A123" i="8"/>
  <c r="K123" i="8" s="1"/>
  <c r="A124" i="8"/>
  <c r="K124" i="8" s="1"/>
  <c r="A125" i="8"/>
  <c r="K125" i="8" s="1"/>
  <c r="A126" i="8"/>
  <c r="K126" i="8" s="1"/>
  <c r="A127" i="8"/>
  <c r="K127" i="8" s="1"/>
  <c r="A128" i="8"/>
  <c r="K128" i="8" s="1"/>
  <c r="A129" i="8"/>
  <c r="K129" i="8" s="1"/>
  <c r="A130" i="8"/>
  <c r="K130" i="8" s="1"/>
  <c r="A131" i="8"/>
  <c r="K131" i="8" s="1"/>
  <c r="A132" i="8"/>
  <c r="K132" i="8" s="1"/>
  <c r="A133" i="8"/>
  <c r="K133" i="8" s="1"/>
  <c r="A134" i="8"/>
  <c r="K134" i="8" s="1"/>
  <c r="A135" i="8"/>
  <c r="K135" i="8" s="1"/>
  <c r="A136" i="8"/>
  <c r="K136" i="8" s="1"/>
  <c r="A137" i="8"/>
  <c r="K137" i="8" s="1"/>
  <c r="A138" i="8"/>
  <c r="K138" i="8" s="1"/>
  <c r="A139" i="8"/>
  <c r="K139" i="8" s="1"/>
  <c r="A140" i="8"/>
  <c r="K140" i="8" s="1"/>
  <c r="A141" i="8"/>
  <c r="K141" i="8" s="1"/>
  <c r="A142" i="8"/>
  <c r="K142" i="8" s="1"/>
  <c r="A143" i="8"/>
  <c r="K143" i="8" s="1"/>
  <c r="A144" i="8"/>
  <c r="K144" i="8" s="1"/>
  <c r="A145" i="8"/>
  <c r="K145" i="8" s="1"/>
  <c r="A146" i="8"/>
  <c r="K146" i="8" s="1"/>
  <c r="A147" i="8"/>
  <c r="K147" i="8" s="1"/>
  <c r="A148" i="8"/>
  <c r="K148" i="8" s="1"/>
  <c r="A149" i="8"/>
  <c r="K149" i="8" s="1"/>
  <c r="A150" i="8"/>
  <c r="K150" i="8" s="1"/>
  <c r="A151" i="8"/>
  <c r="K151" i="8" s="1"/>
  <c r="A152" i="8"/>
  <c r="K152" i="8" s="1"/>
  <c r="A153" i="8"/>
  <c r="K153" i="8" s="1"/>
  <c r="A154" i="8"/>
  <c r="K154" i="8" s="1"/>
  <c r="A155" i="8"/>
  <c r="K155" i="8" s="1"/>
  <c r="A156" i="8"/>
  <c r="K156" i="8" s="1"/>
  <c r="A157" i="8"/>
  <c r="K157" i="8" s="1"/>
  <c r="A158" i="8"/>
  <c r="K158" i="8" s="1"/>
  <c r="A159" i="8"/>
  <c r="K159" i="8" s="1"/>
  <c r="A160" i="8"/>
  <c r="K160" i="8" s="1"/>
  <c r="A161" i="8"/>
  <c r="K161" i="8" s="1"/>
  <c r="A162" i="8"/>
  <c r="K162" i="8" s="1"/>
  <c r="A163" i="8"/>
  <c r="K163" i="8" s="1"/>
  <c r="A164" i="8"/>
  <c r="K164" i="8" s="1"/>
  <c r="A165" i="8"/>
  <c r="K165" i="8" s="1"/>
  <c r="A166" i="8"/>
  <c r="K166" i="8" s="1"/>
  <c r="A167" i="8"/>
  <c r="K167" i="8" s="1"/>
  <c r="A168" i="8"/>
  <c r="K168" i="8" s="1"/>
  <c r="A169" i="8"/>
  <c r="K169" i="8" s="1"/>
  <c r="A170" i="8"/>
  <c r="K170" i="8" s="1"/>
  <c r="A171" i="8"/>
  <c r="K171" i="8" s="1"/>
  <c r="A172" i="8"/>
  <c r="K172" i="8" s="1"/>
  <c r="A173" i="8"/>
  <c r="K173" i="8" s="1"/>
  <c r="A174" i="8"/>
  <c r="K174" i="8" s="1"/>
  <c r="A175" i="8"/>
  <c r="K175" i="8" s="1"/>
  <c r="A176" i="8"/>
  <c r="K176" i="8" s="1"/>
  <c r="A177" i="8"/>
  <c r="K177" i="8" s="1"/>
  <c r="A178" i="8"/>
  <c r="K178" i="8" s="1"/>
  <c r="A179" i="8"/>
  <c r="K179" i="8" s="1"/>
  <c r="A180" i="8"/>
  <c r="K180" i="8" s="1"/>
  <c r="A181" i="8"/>
  <c r="K181" i="8" s="1"/>
  <c r="A182" i="8"/>
  <c r="K182" i="8" s="1"/>
  <c r="A65" i="8"/>
  <c r="K65" i="8" s="1"/>
  <c r="C25" i="14" l="1"/>
  <c r="E25" i="14" s="1"/>
  <c r="C20" i="14"/>
  <c r="E20" i="14" s="1"/>
  <c r="F18" i="8" s="1"/>
  <c r="C18" i="14"/>
  <c r="E18" i="14" s="1"/>
  <c r="C23" i="14"/>
  <c r="C12" i="14"/>
  <c r="E12" i="14" s="1"/>
  <c r="C27" i="14"/>
  <c r="C33" i="11"/>
  <c r="C13" i="14"/>
  <c r="E13" i="14" s="1"/>
  <c r="F25" i="8" l="1"/>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45" i="14"/>
  <c r="F45" i="14"/>
  <c r="H45" i="14"/>
  <c r="I43" i="14" l="1"/>
  <c r="D28" i="14" l="1"/>
  <c r="D29" i="14"/>
  <c r="D30" i="14"/>
  <c r="D31" i="14"/>
  <c r="D32" i="14"/>
  <c r="D33" i="14"/>
  <c r="D34" i="14"/>
  <c r="D35" i="14"/>
  <c r="D27" i="14"/>
  <c r="F19" i="12"/>
  <c r="F20" i="12"/>
  <c r="F21" i="12"/>
  <c r="F22" i="12"/>
  <c r="F23" i="12"/>
  <c r="F24" i="12"/>
  <c r="F18" i="12"/>
  <c r="D50" i="11" l="1"/>
  <c r="D49" i="11"/>
  <c r="D47" i="11"/>
  <c r="G45" i="8"/>
  <c r="G46" i="8"/>
  <c r="G44" i="8"/>
  <c r="C28" i="14" l="1"/>
  <c r="E28" i="14" l="1"/>
  <c r="F30" i="8" s="1"/>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E24" i="13" l="1" a="1"/>
  <c r="G25" i="13" l="1"/>
  <c r="G33" i="13"/>
  <c r="G41" i="13"/>
  <c r="G49" i="13"/>
  <c r="G57" i="13"/>
  <c r="G65" i="13"/>
  <c r="G73" i="13"/>
  <c r="G81" i="13"/>
  <c r="G89" i="13"/>
  <c r="G97" i="13"/>
  <c r="G105" i="13"/>
  <c r="G113" i="13"/>
  <c r="G121" i="13"/>
  <c r="G129" i="13"/>
  <c r="G137" i="13"/>
  <c r="G62" i="13"/>
  <c r="G94" i="13"/>
  <c r="G134" i="13"/>
  <c r="G26" i="13"/>
  <c r="G34" i="13"/>
  <c r="G42" i="13"/>
  <c r="G50" i="13"/>
  <c r="G58" i="13"/>
  <c r="G66" i="13"/>
  <c r="G74" i="13"/>
  <c r="G82" i="13"/>
  <c r="G90" i="13"/>
  <c r="G98" i="13"/>
  <c r="G106" i="13"/>
  <c r="G114" i="13"/>
  <c r="G122" i="13"/>
  <c r="G130" i="13"/>
  <c r="G138" i="13"/>
  <c r="G54" i="13"/>
  <c r="G118" i="13"/>
  <c r="G27" i="13"/>
  <c r="G35" i="13"/>
  <c r="G43" i="13"/>
  <c r="G51" i="13"/>
  <c r="G59" i="13"/>
  <c r="G67" i="13"/>
  <c r="G75" i="13"/>
  <c r="G83" i="13"/>
  <c r="G91" i="13"/>
  <c r="G99" i="13"/>
  <c r="G107" i="13"/>
  <c r="G115" i="13"/>
  <c r="G123" i="13"/>
  <c r="G131" i="13"/>
  <c r="G139" i="13"/>
  <c r="G46" i="13"/>
  <c r="G70" i="13"/>
  <c r="G102" i="13"/>
  <c r="G136" i="13"/>
  <c r="G28" i="13"/>
  <c r="G36" i="13"/>
  <c r="G44" i="13"/>
  <c r="G52" i="13"/>
  <c r="G60" i="13"/>
  <c r="G68" i="13"/>
  <c r="G76" i="13"/>
  <c r="G84" i="13"/>
  <c r="G92" i="13"/>
  <c r="G100" i="13"/>
  <c r="G108" i="13"/>
  <c r="G116" i="13"/>
  <c r="G124" i="13"/>
  <c r="G132" i="13"/>
  <c r="G140" i="13"/>
  <c r="G38" i="13"/>
  <c r="G78" i="13"/>
  <c r="G110" i="13"/>
  <c r="G120" i="13"/>
  <c r="G29" i="13"/>
  <c r="G37" i="13"/>
  <c r="G45" i="13"/>
  <c r="G53" i="13"/>
  <c r="G61" i="13"/>
  <c r="G69" i="13"/>
  <c r="G77" i="13"/>
  <c r="G85" i="13"/>
  <c r="G93" i="13"/>
  <c r="G101" i="13"/>
  <c r="G109" i="13"/>
  <c r="G117" i="13"/>
  <c r="G125" i="13"/>
  <c r="G133" i="13"/>
  <c r="G141" i="13"/>
  <c r="G30" i="13"/>
  <c r="G86" i="13"/>
  <c r="G126" i="13"/>
  <c r="G31" i="13"/>
  <c r="G39" i="13"/>
  <c r="G47" i="13"/>
  <c r="G55" i="13"/>
  <c r="G63" i="13"/>
  <c r="G71" i="13"/>
  <c r="G79" i="13"/>
  <c r="G87" i="13"/>
  <c r="G95" i="13"/>
  <c r="G103" i="13"/>
  <c r="G111" i="13"/>
  <c r="G119" i="13"/>
  <c r="G127" i="13"/>
  <c r="G135" i="13"/>
  <c r="G32" i="13"/>
  <c r="G40" i="13"/>
  <c r="G48" i="13"/>
  <c r="G56" i="13"/>
  <c r="G64" i="13"/>
  <c r="G72" i="13"/>
  <c r="G80" i="13"/>
  <c r="G88" i="13"/>
  <c r="G96" i="13"/>
  <c r="G104" i="13"/>
  <c r="G112" i="13"/>
  <c r="G128" i="13"/>
  <c r="E24" i="13"/>
  <c r="B157" i="10" a="1"/>
  <c r="B157" i="10" s="1"/>
  <c r="G24" i="13" l="1"/>
  <c r="F15" i="12"/>
  <c r="C38" i="14" s="1"/>
  <c r="J53" i="14"/>
  <c r="J54" i="14"/>
  <c r="J55" i="14"/>
  <c r="J56" i="14"/>
  <c r="J57" i="14"/>
  <c r="J58" i="14"/>
  <c r="J59" i="14"/>
  <c r="J60" i="14"/>
  <c r="J61" i="14"/>
  <c r="J62" i="14"/>
  <c r="J63" i="14"/>
  <c r="J64" i="14"/>
  <c r="J65" i="14"/>
  <c r="J66" i="14"/>
  <c r="J67" i="14"/>
  <c r="J68" i="14"/>
  <c r="J69" i="14"/>
  <c r="J70" i="14"/>
  <c r="J71" i="14"/>
  <c r="J72" i="14"/>
  <c r="J73" i="14"/>
  <c r="J74" i="14"/>
  <c r="J75" i="14"/>
  <c r="J76" i="14"/>
  <c r="J77" i="14"/>
  <c r="J78" i="14"/>
  <c r="J79" i="14"/>
  <c r="J80" i="14"/>
  <c r="J81" i="14"/>
  <c r="J82" i="14"/>
  <c r="J83" i="14"/>
  <c r="J84" i="14"/>
  <c r="J85" i="14"/>
  <c r="J86" i="14"/>
  <c r="J87" i="14"/>
  <c r="J88" i="14"/>
  <c r="J89" i="14"/>
  <c r="J90" i="14"/>
  <c r="J91" i="14"/>
  <c r="J92" i="14"/>
  <c r="J93" i="14"/>
  <c r="J94" i="14"/>
  <c r="J95" i="14"/>
  <c r="J96" i="14"/>
  <c r="J97" i="14"/>
  <c r="J98" i="14"/>
  <c r="J99" i="14"/>
  <c r="J100" i="14"/>
  <c r="J101" i="14"/>
  <c r="J102" i="14"/>
  <c r="J103" i="14"/>
  <c r="J104" i="14"/>
  <c r="J105" i="14"/>
  <c r="J106" i="14"/>
  <c r="J107" i="14"/>
  <c r="J108" i="14"/>
  <c r="J109" i="14"/>
  <c r="J110" i="14"/>
  <c r="J111" i="14"/>
  <c r="J112" i="14"/>
  <c r="J113" i="14"/>
  <c r="J114" i="14"/>
  <c r="J115" i="14"/>
  <c r="J116" i="14"/>
  <c r="J117" i="14"/>
  <c r="J118" i="14"/>
  <c r="J119" i="14"/>
  <c r="J120" i="14"/>
  <c r="J121" i="14"/>
  <c r="J122" i="14"/>
  <c r="J123" i="14"/>
  <c r="J124" i="14"/>
  <c r="J125" i="14"/>
  <c r="J126" i="14"/>
  <c r="J127" i="14"/>
  <c r="J128" i="14"/>
  <c r="J129" i="14"/>
  <c r="J130" i="14"/>
  <c r="J131" i="14"/>
  <c r="J132" i="14"/>
  <c r="J133" i="14"/>
  <c r="J134" i="14"/>
  <c r="J135" i="14"/>
  <c r="J136" i="14"/>
  <c r="J137" i="14"/>
  <c r="J138" i="14"/>
  <c r="J139" i="14"/>
  <c r="J140" i="14"/>
  <c r="J141" i="14"/>
  <c r="J142" i="14"/>
  <c r="J143" i="14"/>
  <c r="J144" i="14"/>
  <c r="J145" i="14"/>
  <c r="J146" i="14"/>
  <c r="J147" i="14"/>
  <c r="J148" i="14"/>
  <c r="J149" i="14"/>
  <c r="J150" i="14"/>
  <c r="J151" i="14"/>
  <c r="J152" i="14"/>
  <c r="J153" i="14"/>
  <c r="J154" i="14"/>
  <c r="J155" i="14"/>
  <c r="J156" i="14"/>
  <c r="J157" i="14"/>
  <c r="J158" i="14"/>
  <c r="J159" i="14"/>
  <c r="J160" i="14"/>
  <c r="J161" i="14"/>
  <c r="J162" i="14"/>
  <c r="J45" i="14"/>
  <c r="J46" i="14"/>
  <c r="J47" i="14"/>
  <c r="J48" i="14"/>
  <c r="J49" i="14"/>
  <c r="J50" i="14"/>
  <c r="J51" i="14"/>
  <c r="J52" i="14"/>
  <c r="J43" i="14" l="1"/>
  <c r="C62" i="11"/>
  <c r="D15" i="13" s="1"/>
  <c r="C34" i="14"/>
  <c r="C3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45" i="14"/>
  <c r="C46" i="14"/>
  <c r="C47" i="14"/>
  <c r="C48" i="14"/>
  <c r="C49" i="14"/>
  <c r="C50" i="14"/>
  <c r="C51" i="14"/>
  <c r="C52" i="14"/>
  <c r="C53" i="14"/>
  <c r="C54" i="14"/>
  <c r="C55" i="14"/>
  <c r="C56" i="14"/>
  <c r="C57" i="14"/>
  <c r="C58" i="14"/>
  <c r="C59" i="14"/>
  <c r="C60" i="14"/>
  <c r="C61" i="14"/>
  <c r="C62" i="14"/>
  <c r="C63" i="14"/>
  <c r="C64" i="14"/>
  <c r="C65" i="14"/>
  <c r="C66" i="14"/>
  <c r="C67" i="14"/>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152" i="14"/>
  <c r="C153" i="14"/>
  <c r="C154" i="14"/>
  <c r="C155" i="14"/>
  <c r="C156" i="14"/>
  <c r="C157" i="14"/>
  <c r="C158" i="14"/>
  <c r="C159" i="14"/>
  <c r="C160" i="14"/>
  <c r="C161" i="14"/>
  <c r="C162" i="14"/>
  <c r="C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1" i="14"/>
  <c r="F162" i="14"/>
  <c r="E46" i="14"/>
  <c r="E47" i="14"/>
  <c r="E48" i="14"/>
  <c r="E49" i="14"/>
  <c r="E50" i="14"/>
  <c r="E51" i="14"/>
  <c r="E52" i="14"/>
  <c r="E53" i="14"/>
  <c r="E54" i="14"/>
  <c r="E55" i="14"/>
  <c r="E56" i="14"/>
  <c r="E57" i="14"/>
  <c r="E58" i="14"/>
  <c r="E59" i="14"/>
  <c r="E60" i="14"/>
  <c r="E61" i="14"/>
  <c r="E62" i="14"/>
  <c r="E63" i="14"/>
  <c r="E64" i="14"/>
  <c r="E65" i="14"/>
  <c r="E66"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45"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45" i="14"/>
  <c r="D46" i="14"/>
  <c r="D47" i="14"/>
  <c r="C8" i="11"/>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45" i="14"/>
  <c r="D23" i="14"/>
  <c r="C29" i="14"/>
  <c r="C30" i="14"/>
  <c r="C31" i="14"/>
  <c r="C32" i="14"/>
  <c r="C33" i="14"/>
  <c r="C10" i="14"/>
  <c r="E10" i="14" s="1"/>
  <c r="F8" i="8" s="1"/>
  <c r="C11" i="14"/>
  <c r="E11" i="14" s="1"/>
  <c r="F9" i="8" s="1"/>
  <c r="F10" i="8"/>
  <c r="F11" i="8"/>
  <c r="C14" i="14"/>
  <c r="C15" i="14"/>
  <c r="E15" i="14" s="1"/>
  <c r="C16" i="14"/>
  <c r="E16" i="14" s="1"/>
  <c r="C9" i="14"/>
  <c r="D9" i="11"/>
  <c r="C9" i="11"/>
  <c r="C61" i="11"/>
  <c r="G21" i="11"/>
  <c r="C157" i="10"/>
  <c r="D157" i="10" s="1"/>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B158" i="10" a="1"/>
  <c r="B158" i="10" s="1"/>
  <c r="D158" i="10" s="1"/>
  <c r="B159" i="10" a="1"/>
  <c r="B159" i="10" s="1"/>
  <c r="D159" i="10" s="1"/>
  <c r="B160" i="10" a="1"/>
  <c r="B160" i="10" s="1"/>
  <c r="D160" i="10" s="1"/>
  <c r="B161" i="10" a="1"/>
  <c r="B161" i="10" s="1"/>
  <c r="D161" i="10" s="1"/>
  <c r="B162" i="10" a="1"/>
  <c r="B162" i="10" s="1"/>
  <c r="D162" i="10" s="1"/>
  <c r="B163" i="10" a="1"/>
  <c r="B163" i="10" s="1"/>
  <c r="D163" i="10" s="1"/>
  <c r="B164" i="10" a="1"/>
  <c r="B164" i="10" s="1"/>
  <c r="D164" i="10" s="1"/>
  <c r="B165" i="10" a="1"/>
  <c r="B165" i="10" s="1"/>
  <c r="D165" i="10" s="1"/>
  <c r="B166" i="10" a="1"/>
  <c r="B166" i="10" s="1"/>
  <c r="D166" i="10" s="1"/>
  <c r="B167" i="10" a="1"/>
  <c r="B167" i="10" s="1"/>
  <c r="D167" i="10" s="1"/>
  <c r="B168" i="10" a="1"/>
  <c r="B168" i="10" s="1"/>
  <c r="D168" i="10" s="1"/>
  <c r="B169" i="10" a="1"/>
  <c r="B169" i="10" s="1"/>
  <c r="D169" i="10" s="1"/>
  <c r="B170" i="10" a="1"/>
  <c r="B170" i="10" s="1"/>
  <c r="D170" i="10" s="1"/>
  <c r="B171" i="10" a="1"/>
  <c r="B171" i="10" s="1"/>
  <c r="D171" i="10" s="1"/>
  <c r="B172" i="10" a="1"/>
  <c r="B172" i="10" s="1"/>
  <c r="D172" i="10" s="1"/>
  <c r="B173" i="10" a="1"/>
  <c r="B173" i="10" s="1"/>
  <c r="D173" i="10" s="1"/>
  <c r="B174" i="10" a="1"/>
  <c r="B174" i="10" s="1"/>
  <c r="D174" i="10" s="1"/>
  <c r="B175" i="10" a="1"/>
  <c r="B175" i="10" s="1"/>
  <c r="D175" i="10" s="1"/>
  <c r="B176" i="10" a="1"/>
  <c r="B176" i="10" s="1"/>
  <c r="D176" i="10" s="1"/>
  <c r="B177" i="10" a="1"/>
  <c r="B177" i="10" s="1"/>
  <c r="D177" i="10" s="1"/>
  <c r="B178" i="10" a="1"/>
  <c r="B178" i="10" s="1"/>
  <c r="D178" i="10" s="1"/>
  <c r="B179" i="10" a="1"/>
  <c r="B179" i="10" s="1"/>
  <c r="D179" i="10" s="1"/>
  <c r="B180" i="10" a="1"/>
  <c r="B180" i="10" s="1"/>
  <c r="D180" i="10" s="1"/>
  <c r="B181" i="10" a="1"/>
  <c r="B181" i="10" s="1"/>
  <c r="D181" i="10" s="1"/>
  <c r="B182" i="10" a="1"/>
  <c r="B182" i="10" s="1"/>
  <c r="D182" i="10" s="1"/>
  <c r="B183" i="10" a="1"/>
  <c r="B183" i="10" s="1"/>
  <c r="D183" i="10" s="1"/>
  <c r="B184" i="10" a="1"/>
  <c r="B184" i="10" s="1"/>
  <c r="D184" i="10" s="1"/>
  <c r="B185" i="10" a="1"/>
  <c r="B185" i="10" s="1"/>
  <c r="D185" i="10" s="1"/>
  <c r="B186" i="10" a="1"/>
  <c r="B186" i="10" s="1"/>
  <c r="D186" i="10" s="1"/>
  <c r="B187" i="10" a="1"/>
  <c r="B187" i="10" s="1"/>
  <c r="D187" i="10" s="1"/>
  <c r="B188" i="10" a="1"/>
  <c r="B188" i="10" s="1"/>
  <c r="D188" i="10" s="1"/>
  <c r="B189" i="10" a="1"/>
  <c r="B189" i="10" s="1"/>
  <c r="D189" i="10" s="1"/>
  <c r="B190" i="10" a="1"/>
  <c r="B190" i="10" s="1"/>
  <c r="D190" i="10" s="1"/>
  <c r="B191" i="10" a="1"/>
  <c r="B191" i="10" s="1"/>
  <c r="D191" i="10" s="1"/>
  <c r="B192" i="10" a="1"/>
  <c r="B192" i="10" s="1"/>
  <c r="D192" i="10" s="1"/>
  <c r="B193" i="10" a="1"/>
  <c r="B193" i="10" s="1"/>
  <c r="D193" i="10" s="1"/>
  <c r="B194" i="10" a="1"/>
  <c r="B194" i="10" s="1"/>
  <c r="D194" i="10" s="1"/>
  <c r="B195" i="10" a="1"/>
  <c r="B195" i="10" s="1"/>
  <c r="D195" i="10" s="1"/>
  <c r="B196" i="10" a="1"/>
  <c r="B196" i="10" s="1"/>
  <c r="D196" i="10" s="1"/>
  <c r="B197" i="10" a="1"/>
  <c r="B197" i="10" s="1"/>
  <c r="D197" i="10" s="1"/>
  <c r="B198" i="10" a="1"/>
  <c r="B198" i="10" s="1"/>
  <c r="D198" i="10" s="1"/>
  <c r="B199" i="10" a="1"/>
  <c r="B199" i="10" s="1"/>
  <c r="D199" i="10" s="1"/>
  <c r="B200" i="10" a="1"/>
  <c r="B200" i="10" s="1"/>
  <c r="D200" i="10" s="1"/>
  <c r="B201" i="10" a="1"/>
  <c r="B201" i="10" s="1"/>
  <c r="D201" i="10" s="1"/>
  <c r="B202" i="10" a="1"/>
  <c r="B202" i="10" s="1"/>
  <c r="D202" i="10" s="1"/>
  <c r="B203" i="10" a="1"/>
  <c r="B203" i="10" s="1"/>
  <c r="D203" i="10" s="1"/>
  <c r="B204" i="10" a="1"/>
  <c r="B204" i="10" s="1"/>
  <c r="D204" i="10" s="1"/>
  <c r="B205" i="10" a="1"/>
  <c r="B205" i="10" s="1"/>
  <c r="D205" i="10" s="1"/>
  <c r="B206" i="10" a="1"/>
  <c r="B206" i="10" s="1"/>
  <c r="D206" i="10" s="1"/>
  <c r="A206" i="10"/>
  <c r="A202" i="10"/>
  <c r="A203" i="10"/>
  <c r="A204" i="10"/>
  <c r="A205"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D28" i="11"/>
  <c r="C28" i="11"/>
  <c r="C3"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9" i="14" l="1"/>
  <c r="F7" i="8" s="1"/>
  <c r="C7" i="14" s="1"/>
  <c r="F16" i="8"/>
  <c r="E15" i="13"/>
  <c r="D12" i="13"/>
  <c r="F14" i="8"/>
  <c r="F13" i="8"/>
  <c r="E14" i="14"/>
  <c r="F12" i="8" s="1"/>
  <c r="F43" i="14"/>
  <c r="D43" i="14"/>
  <c r="E43" i="14"/>
  <c r="G43" i="14"/>
  <c r="H43" i="14"/>
  <c r="C43" i="14"/>
  <c r="E33" i="14"/>
  <c r="F35" i="8" s="1"/>
  <c r="E35" i="14"/>
  <c r="F37" i="8" s="1"/>
  <c r="E31" i="14"/>
  <c r="F33" i="8" s="1"/>
  <c r="E34" i="14"/>
  <c r="F36" i="8" s="1"/>
  <c r="E29" i="14"/>
  <c r="F31" i="8" s="1"/>
  <c r="E27" i="14"/>
  <c r="F29" i="8" s="1"/>
  <c r="C24" i="14" s="1"/>
  <c r="E32" i="14"/>
  <c r="F34" i="8" s="1"/>
  <c r="E30" i="14"/>
  <c r="F32" i="8" s="1"/>
  <c r="B31" i="14"/>
  <c r="E12" i="13"/>
  <c r="C15" i="12"/>
  <c r="C47" i="11"/>
  <c r="C56" i="9"/>
  <c r="B56" i="9"/>
  <c r="C55" i="9"/>
  <c r="B55" i="9"/>
  <c r="B52" i="9"/>
  <c r="B51" i="9"/>
  <c r="C48" i="11" l="1" a="1"/>
  <c r="C48" i="11" s="1"/>
  <c r="D48" i="11" s="1" a="1"/>
  <c r="D48" i="11" s="1"/>
  <c r="B42" i="14"/>
  <c r="H57" i="8" l="1"/>
  <c r="H59" i="8"/>
  <c r="C52" i="11"/>
  <c r="D52" i="11" s="1"/>
  <c r="H56" i="8"/>
  <c r="H55" i="8"/>
  <c r="H58" i="8"/>
  <c r="H53" i="8"/>
  <c r="C42" i="14" a="1"/>
  <c r="C42" i="14" s="1"/>
  <c r="C51" i="11"/>
  <c r="D51" i="11" s="1"/>
  <c r="C50" i="11"/>
  <c r="C49" i="11"/>
  <c r="D24" i="13" a="1"/>
  <c r="D24" i="13" s="1"/>
  <c r="D33" i="11"/>
  <c r="C26" i="11"/>
  <c r="C16" i="11"/>
  <c r="C17" i="11" s="1"/>
  <c r="C25" i="11"/>
  <c r="D25" i="11" s="1"/>
  <c r="C22" i="11"/>
  <c r="G22" i="11"/>
  <c r="D13" i="11"/>
  <c r="D14" i="11" s="1"/>
  <c r="C13" i="11"/>
  <c r="C14" i="11" s="1"/>
  <c r="D8" i="11"/>
  <c r="D22" i="11" s="1"/>
  <c r="C41" i="14" l="1"/>
  <c r="C17" i="13" s="1"/>
  <c r="D17" i="11"/>
  <c r="D26" i="11"/>
  <c r="D18" i="11" s="1"/>
  <c r="D27" i="11" s="1"/>
  <c r="C53" i="11"/>
  <c r="D53" i="11" s="1"/>
  <c r="C18" i="11"/>
  <c r="C34" i="11" s="1"/>
  <c r="G23" i="11"/>
  <c r="D21" i="11" s="1"/>
  <c r="D16" i="11"/>
  <c r="A3" i="10"/>
  <c r="J3" i="10" s="1"/>
  <c r="D34" i="11" l="1"/>
  <c r="C27" i="11"/>
  <c r="C33" i="8"/>
  <c r="C35" i="11" l="1"/>
  <c r="D35" i="11" s="1"/>
  <c r="B100" i="9" l="1"/>
  <c r="B99" i="9"/>
  <c r="B98" i="9"/>
  <c r="B94" i="9"/>
  <c r="B93" i="9"/>
  <c r="B92" i="9"/>
  <c r="B91" i="9"/>
  <c r="B90" i="9"/>
  <c r="B86" i="9"/>
  <c r="B96" i="9" s="1"/>
  <c r="B85" i="9"/>
  <c r="B97" i="9" s="1"/>
  <c r="A53" i="10"/>
  <c r="J53" i="10" s="1"/>
  <c r="B53" i="10"/>
  <c r="C53" i="10"/>
  <c r="D53" i="10"/>
  <c r="F53" i="10"/>
  <c r="I53" i="10" s="1"/>
  <c r="G53" i="10"/>
  <c r="A54" i="10"/>
  <c r="J54" i="10" s="1"/>
  <c r="B54" i="10"/>
  <c r="C54" i="10"/>
  <c r="D54" i="10"/>
  <c r="F54" i="10"/>
  <c r="I54" i="10" s="1"/>
  <c r="G54" i="10"/>
  <c r="A55" i="10"/>
  <c r="J55" i="10" s="1"/>
  <c r="B55" i="10"/>
  <c r="C55" i="10"/>
  <c r="D55" i="10"/>
  <c r="F55" i="10"/>
  <c r="I55" i="10" s="1"/>
  <c r="G55" i="10"/>
  <c r="A56" i="10"/>
  <c r="J56" i="10" s="1"/>
  <c r="B56" i="10"/>
  <c r="C56" i="10"/>
  <c r="D56" i="10"/>
  <c r="F56" i="10"/>
  <c r="I56" i="10" s="1"/>
  <c r="G56" i="10"/>
  <c r="A57" i="10"/>
  <c r="J57" i="10" s="1"/>
  <c r="B57" i="10"/>
  <c r="C57" i="10"/>
  <c r="D57" i="10"/>
  <c r="F57" i="10"/>
  <c r="I57" i="10" s="1"/>
  <c r="G57" i="10"/>
  <c r="A58" i="10"/>
  <c r="J58" i="10" s="1"/>
  <c r="B58" i="10"/>
  <c r="C58" i="10"/>
  <c r="D58" i="10"/>
  <c r="F58" i="10"/>
  <c r="I58" i="10" s="1"/>
  <c r="G58" i="10"/>
  <c r="A59" i="10"/>
  <c r="J59" i="10" s="1"/>
  <c r="B59" i="10"/>
  <c r="C59" i="10"/>
  <c r="D59" i="10"/>
  <c r="F59" i="10"/>
  <c r="I59" i="10" s="1"/>
  <c r="G59" i="10"/>
  <c r="A60" i="10"/>
  <c r="J60" i="10" s="1"/>
  <c r="B60" i="10"/>
  <c r="C60" i="10"/>
  <c r="D60" i="10"/>
  <c r="F60" i="10"/>
  <c r="I60" i="10" s="1"/>
  <c r="G60" i="10"/>
  <c r="A61" i="10"/>
  <c r="J61" i="10" s="1"/>
  <c r="B61" i="10"/>
  <c r="C61" i="10"/>
  <c r="D61" i="10"/>
  <c r="F61" i="10"/>
  <c r="I61" i="10" s="1"/>
  <c r="G61" i="10"/>
  <c r="A62" i="10"/>
  <c r="J62" i="10" s="1"/>
  <c r="B62" i="10"/>
  <c r="C62" i="10"/>
  <c r="D62" i="10"/>
  <c r="F62" i="10"/>
  <c r="I62" i="10" s="1"/>
  <c r="G62" i="10"/>
  <c r="A63" i="10"/>
  <c r="J63" i="10" s="1"/>
  <c r="B63" i="10"/>
  <c r="C63" i="10"/>
  <c r="D63" i="10"/>
  <c r="F63" i="10"/>
  <c r="I63" i="10" s="1"/>
  <c r="G63" i="10"/>
  <c r="A64" i="10"/>
  <c r="J64" i="10" s="1"/>
  <c r="B64" i="10"/>
  <c r="C64" i="10"/>
  <c r="D64" i="10"/>
  <c r="F64" i="10"/>
  <c r="I64" i="10" s="1"/>
  <c r="G64" i="10"/>
  <c r="A65" i="10"/>
  <c r="J65" i="10" s="1"/>
  <c r="B65" i="10"/>
  <c r="C65" i="10"/>
  <c r="D65" i="10"/>
  <c r="F65" i="10"/>
  <c r="I65" i="10" s="1"/>
  <c r="G65" i="10"/>
  <c r="A66" i="10"/>
  <c r="J66" i="10" s="1"/>
  <c r="B66" i="10"/>
  <c r="C66" i="10"/>
  <c r="D66" i="10"/>
  <c r="F66" i="10"/>
  <c r="I66" i="10" s="1"/>
  <c r="G66" i="10"/>
  <c r="A67" i="10"/>
  <c r="J67" i="10" s="1"/>
  <c r="B67" i="10"/>
  <c r="C67" i="10"/>
  <c r="D67" i="10"/>
  <c r="F67" i="10"/>
  <c r="I67" i="10" s="1"/>
  <c r="G67" i="10"/>
  <c r="A68" i="10"/>
  <c r="J68" i="10" s="1"/>
  <c r="B68" i="10"/>
  <c r="C68" i="10"/>
  <c r="D68" i="10"/>
  <c r="F68" i="10"/>
  <c r="I68" i="10" s="1"/>
  <c r="G68" i="10"/>
  <c r="A69" i="10"/>
  <c r="J69" i="10" s="1"/>
  <c r="B69" i="10"/>
  <c r="C69" i="10"/>
  <c r="D69" i="10"/>
  <c r="F69" i="10"/>
  <c r="I69" i="10" s="1"/>
  <c r="G69" i="10"/>
  <c r="A70" i="10"/>
  <c r="J70" i="10" s="1"/>
  <c r="B70" i="10"/>
  <c r="C70" i="10"/>
  <c r="D70" i="10"/>
  <c r="F70" i="10"/>
  <c r="I70" i="10" s="1"/>
  <c r="G70" i="10"/>
  <c r="A71" i="10"/>
  <c r="J71" i="10" s="1"/>
  <c r="B71" i="10"/>
  <c r="C71" i="10"/>
  <c r="D71" i="10"/>
  <c r="F71" i="10"/>
  <c r="I71" i="10" s="1"/>
  <c r="G71" i="10"/>
  <c r="A72" i="10"/>
  <c r="J72" i="10" s="1"/>
  <c r="B72" i="10"/>
  <c r="C72" i="10"/>
  <c r="D72" i="10"/>
  <c r="F72" i="10"/>
  <c r="I72" i="10" s="1"/>
  <c r="G72" i="10"/>
  <c r="A73" i="10"/>
  <c r="J73" i="10" s="1"/>
  <c r="B73" i="10"/>
  <c r="C73" i="10"/>
  <c r="D73" i="10"/>
  <c r="F73" i="10"/>
  <c r="I73" i="10" s="1"/>
  <c r="G73" i="10"/>
  <c r="A74" i="10"/>
  <c r="J74" i="10" s="1"/>
  <c r="B74" i="10"/>
  <c r="C74" i="10"/>
  <c r="D74" i="10"/>
  <c r="F74" i="10"/>
  <c r="I74" i="10" s="1"/>
  <c r="G74" i="10"/>
  <c r="A75" i="10"/>
  <c r="J75" i="10" s="1"/>
  <c r="B75" i="10"/>
  <c r="C75" i="10"/>
  <c r="D75" i="10"/>
  <c r="F75" i="10"/>
  <c r="I75" i="10" s="1"/>
  <c r="G75" i="10"/>
  <c r="A76" i="10"/>
  <c r="J76" i="10" s="1"/>
  <c r="B76" i="10"/>
  <c r="C76" i="10"/>
  <c r="D76" i="10"/>
  <c r="F76" i="10"/>
  <c r="I76" i="10" s="1"/>
  <c r="G76" i="10"/>
  <c r="A77" i="10"/>
  <c r="J77" i="10" s="1"/>
  <c r="B77" i="10"/>
  <c r="C77" i="10"/>
  <c r="D77" i="10"/>
  <c r="F77" i="10"/>
  <c r="I77" i="10" s="1"/>
  <c r="G77" i="10"/>
  <c r="A78" i="10"/>
  <c r="J78" i="10" s="1"/>
  <c r="B78" i="10"/>
  <c r="C78" i="10"/>
  <c r="D78" i="10"/>
  <c r="F78" i="10"/>
  <c r="I78" i="10" s="1"/>
  <c r="G78" i="10"/>
  <c r="A79" i="10"/>
  <c r="J79" i="10" s="1"/>
  <c r="B79" i="10"/>
  <c r="C79" i="10"/>
  <c r="D79" i="10"/>
  <c r="F79" i="10"/>
  <c r="I79" i="10" s="1"/>
  <c r="G79" i="10"/>
  <c r="A80" i="10"/>
  <c r="J80" i="10" s="1"/>
  <c r="B80" i="10"/>
  <c r="C80" i="10"/>
  <c r="D80" i="10"/>
  <c r="F80" i="10"/>
  <c r="I80" i="10" s="1"/>
  <c r="G80" i="10"/>
  <c r="A81" i="10"/>
  <c r="J81" i="10" s="1"/>
  <c r="B81" i="10"/>
  <c r="C81" i="10"/>
  <c r="D81" i="10"/>
  <c r="F81" i="10"/>
  <c r="I81" i="10" s="1"/>
  <c r="G81" i="10"/>
  <c r="A82" i="10"/>
  <c r="J82" i="10" s="1"/>
  <c r="B82" i="10"/>
  <c r="C82" i="10"/>
  <c r="D82" i="10"/>
  <c r="F82" i="10"/>
  <c r="I82" i="10" s="1"/>
  <c r="G82" i="10"/>
  <c r="A83" i="10"/>
  <c r="J83" i="10" s="1"/>
  <c r="B83" i="10"/>
  <c r="C83" i="10"/>
  <c r="D83" i="10"/>
  <c r="F83" i="10"/>
  <c r="I83" i="10" s="1"/>
  <c r="G83" i="10"/>
  <c r="A84" i="10"/>
  <c r="J84" i="10" s="1"/>
  <c r="B84" i="10"/>
  <c r="C84" i="10"/>
  <c r="D84" i="10"/>
  <c r="F84" i="10"/>
  <c r="I84" i="10" s="1"/>
  <c r="G84" i="10"/>
  <c r="A85" i="10"/>
  <c r="J85" i="10" s="1"/>
  <c r="B85" i="10"/>
  <c r="C85" i="10"/>
  <c r="D85" i="10"/>
  <c r="F85" i="10"/>
  <c r="I85" i="10" s="1"/>
  <c r="G85" i="10"/>
  <c r="A86" i="10"/>
  <c r="J86" i="10" s="1"/>
  <c r="B86" i="10"/>
  <c r="C86" i="10"/>
  <c r="D86" i="10"/>
  <c r="F86" i="10"/>
  <c r="I86" i="10" s="1"/>
  <c r="G86" i="10"/>
  <c r="A87" i="10"/>
  <c r="J87" i="10" s="1"/>
  <c r="B87" i="10"/>
  <c r="C87" i="10"/>
  <c r="D87" i="10"/>
  <c r="F87" i="10"/>
  <c r="I87" i="10" s="1"/>
  <c r="G87" i="10"/>
  <c r="A88" i="10"/>
  <c r="J88" i="10" s="1"/>
  <c r="B88" i="10"/>
  <c r="C88" i="10"/>
  <c r="D88" i="10"/>
  <c r="F88" i="10"/>
  <c r="I88" i="10" s="1"/>
  <c r="G88" i="10"/>
  <c r="A89" i="10"/>
  <c r="J89" i="10" s="1"/>
  <c r="B89" i="10"/>
  <c r="C89" i="10"/>
  <c r="D89" i="10"/>
  <c r="F89" i="10"/>
  <c r="I89" i="10" s="1"/>
  <c r="G89" i="10"/>
  <c r="A90" i="10"/>
  <c r="J90" i="10" s="1"/>
  <c r="B90" i="10"/>
  <c r="C90" i="10"/>
  <c r="D90" i="10"/>
  <c r="F90" i="10"/>
  <c r="I90" i="10" s="1"/>
  <c r="G90" i="10"/>
  <c r="A91" i="10"/>
  <c r="J91" i="10" s="1"/>
  <c r="B91" i="10"/>
  <c r="C91" i="10"/>
  <c r="D91" i="10"/>
  <c r="F91" i="10"/>
  <c r="I91" i="10" s="1"/>
  <c r="G91" i="10"/>
  <c r="A92" i="10"/>
  <c r="J92" i="10" s="1"/>
  <c r="B92" i="10"/>
  <c r="C92" i="10"/>
  <c r="D92" i="10"/>
  <c r="F92" i="10"/>
  <c r="I92" i="10" s="1"/>
  <c r="G92" i="10"/>
  <c r="A93" i="10"/>
  <c r="J93" i="10" s="1"/>
  <c r="B93" i="10"/>
  <c r="C93" i="10"/>
  <c r="D93" i="10"/>
  <c r="F93" i="10"/>
  <c r="I93" i="10" s="1"/>
  <c r="G93" i="10"/>
  <c r="A94" i="10"/>
  <c r="J94" i="10" s="1"/>
  <c r="B94" i="10"/>
  <c r="C94" i="10"/>
  <c r="D94" i="10"/>
  <c r="F94" i="10"/>
  <c r="I94" i="10" s="1"/>
  <c r="G94" i="10"/>
  <c r="A95" i="10"/>
  <c r="J95" i="10" s="1"/>
  <c r="B95" i="10"/>
  <c r="C95" i="10"/>
  <c r="D95" i="10"/>
  <c r="F95" i="10"/>
  <c r="I95" i="10" s="1"/>
  <c r="G95" i="10"/>
  <c r="A96" i="10"/>
  <c r="J96" i="10" s="1"/>
  <c r="B96" i="10"/>
  <c r="C96" i="10"/>
  <c r="D96" i="10"/>
  <c r="F96" i="10"/>
  <c r="I96" i="10" s="1"/>
  <c r="G96" i="10"/>
  <c r="A97" i="10"/>
  <c r="J97" i="10" s="1"/>
  <c r="B97" i="10"/>
  <c r="C97" i="10"/>
  <c r="D97" i="10"/>
  <c r="F97" i="10"/>
  <c r="I97" i="10" s="1"/>
  <c r="G97" i="10"/>
  <c r="A98" i="10"/>
  <c r="J98" i="10" s="1"/>
  <c r="B98" i="10"/>
  <c r="C98" i="10"/>
  <c r="D98" i="10"/>
  <c r="F98" i="10"/>
  <c r="I98" i="10" s="1"/>
  <c r="G98" i="10"/>
  <c r="A99" i="10"/>
  <c r="J99" i="10" s="1"/>
  <c r="B99" i="10"/>
  <c r="C99" i="10"/>
  <c r="D99" i="10"/>
  <c r="F99" i="10"/>
  <c r="I99" i="10" s="1"/>
  <c r="G99" i="10"/>
  <c r="A100" i="10"/>
  <c r="J100" i="10" s="1"/>
  <c r="B100" i="10"/>
  <c r="C100" i="10"/>
  <c r="D100" i="10"/>
  <c r="F100" i="10"/>
  <c r="I100" i="10" s="1"/>
  <c r="G100" i="10"/>
  <c r="A101" i="10"/>
  <c r="J101" i="10" s="1"/>
  <c r="B101" i="10"/>
  <c r="C101" i="10"/>
  <c r="D101" i="10"/>
  <c r="F101" i="10"/>
  <c r="I101" i="10" s="1"/>
  <c r="G101" i="10"/>
  <c r="A102" i="10"/>
  <c r="J102" i="10" s="1"/>
  <c r="B102" i="10"/>
  <c r="C102" i="10"/>
  <c r="D102" i="10"/>
  <c r="F102" i="10"/>
  <c r="I102" i="10" s="1"/>
  <c r="G102" i="10"/>
  <c r="A103" i="10"/>
  <c r="J103" i="10" s="1"/>
  <c r="B103" i="10"/>
  <c r="C103" i="10"/>
  <c r="D103" i="10"/>
  <c r="F103" i="10"/>
  <c r="I103" i="10" s="1"/>
  <c r="G103" i="10"/>
  <c r="A104" i="10"/>
  <c r="J104" i="10" s="1"/>
  <c r="B104" i="10"/>
  <c r="C104" i="10"/>
  <c r="D104" i="10"/>
  <c r="F104" i="10"/>
  <c r="I104" i="10" s="1"/>
  <c r="G104" i="10"/>
  <c r="A105" i="10"/>
  <c r="J105" i="10" s="1"/>
  <c r="B105" i="10"/>
  <c r="C105" i="10"/>
  <c r="D105" i="10"/>
  <c r="F105" i="10"/>
  <c r="I105" i="10" s="1"/>
  <c r="G105" i="10"/>
  <c r="A106" i="10"/>
  <c r="J106" i="10" s="1"/>
  <c r="B106" i="10"/>
  <c r="C106" i="10"/>
  <c r="D106" i="10"/>
  <c r="F106" i="10"/>
  <c r="I106" i="10" s="1"/>
  <c r="G106" i="10"/>
  <c r="A107" i="10"/>
  <c r="J107" i="10" s="1"/>
  <c r="B107" i="10"/>
  <c r="C107" i="10"/>
  <c r="D107" i="10"/>
  <c r="F107" i="10"/>
  <c r="I107" i="10" s="1"/>
  <c r="G107" i="10"/>
  <c r="A108" i="10"/>
  <c r="J108" i="10" s="1"/>
  <c r="B108" i="10"/>
  <c r="C108" i="10"/>
  <c r="D108" i="10"/>
  <c r="F108" i="10"/>
  <c r="I108" i="10" s="1"/>
  <c r="G108" i="10"/>
  <c r="A109" i="10"/>
  <c r="J109" i="10" s="1"/>
  <c r="B109" i="10"/>
  <c r="C109" i="10"/>
  <c r="D109" i="10"/>
  <c r="F109" i="10"/>
  <c r="I109" i="10" s="1"/>
  <c r="G109" i="10"/>
  <c r="A110" i="10"/>
  <c r="J110" i="10" s="1"/>
  <c r="B110" i="10"/>
  <c r="C110" i="10"/>
  <c r="D110" i="10"/>
  <c r="F110" i="10"/>
  <c r="I110" i="10" s="1"/>
  <c r="G110" i="10"/>
  <c r="A111" i="10"/>
  <c r="J111" i="10" s="1"/>
  <c r="B111" i="10"/>
  <c r="C111" i="10"/>
  <c r="D111" i="10"/>
  <c r="F111" i="10"/>
  <c r="I111" i="10" s="1"/>
  <c r="G111" i="10"/>
  <c r="A112" i="10"/>
  <c r="J112" i="10" s="1"/>
  <c r="B112" i="10"/>
  <c r="C112" i="10"/>
  <c r="D112" i="10"/>
  <c r="F112" i="10"/>
  <c r="I112" i="10" s="1"/>
  <c r="G112" i="10"/>
  <c r="A113" i="10"/>
  <c r="J113" i="10" s="1"/>
  <c r="B113" i="10"/>
  <c r="C113" i="10"/>
  <c r="D113" i="10"/>
  <c r="F113" i="10"/>
  <c r="I113" i="10" s="1"/>
  <c r="G113" i="10"/>
  <c r="A114" i="10"/>
  <c r="J114" i="10" s="1"/>
  <c r="B114" i="10"/>
  <c r="C114" i="10"/>
  <c r="D114" i="10"/>
  <c r="F114" i="10"/>
  <c r="I114" i="10" s="1"/>
  <c r="G114" i="10"/>
  <c r="A115" i="10"/>
  <c r="J115" i="10" s="1"/>
  <c r="B115" i="10"/>
  <c r="C115" i="10"/>
  <c r="D115" i="10"/>
  <c r="F115" i="10"/>
  <c r="I115" i="10" s="1"/>
  <c r="G115" i="10"/>
  <c r="A116" i="10"/>
  <c r="J116" i="10" s="1"/>
  <c r="B116" i="10"/>
  <c r="C116" i="10"/>
  <c r="D116" i="10"/>
  <c r="F116" i="10"/>
  <c r="I116" i="10" s="1"/>
  <c r="G116" i="10"/>
  <c r="A117" i="10"/>
  <c r="J117" i="10" s="1"/>
  <c r="B117" i="10"/>
  <c r="C117" i="10"/>
  <c r="D117" i="10"/>
  <c r="F117" i="10"/>
  <c r="I117" i="10" s="1"/>
  <c r="G117" i="10"/>
  <c r="A118" i="10"/>
  <c r="J118" i="10" s="1"/>
  <c r="B118" i="10"/>
  <c r="C118" i="10"/>
  <c r="D118" i="10"/>
  <c r="F118" i="10"/>
  <c r="I118" i="10" s="1"/>
  <c r="G118" i="10"/>
  <c r="A119" i="10"/>
  <c r="J119" i="10" s="1"/>
  <c r="B119" i="10"/>
  <c r="C119" i="10"/>
  <c r="D119" i="10"/>
  <c r="F119" i="10"/>
  <c r="I119" i="10" s="1"/>
  <c r="G119" i="10"/>
  <c r="A120" i="10"/>
  <c r="J120" i="10" s="1"/>
  <c r="B120" i="10"/>
  <c r="C120" i="10"/>
  <c r="D120" i="10"/>
  <c r="F120" i="10"/>
  <c r="I120" i="10" s="1"/>
  <c r="G120" i="10"/>
  <c r="A4" i="10"/>
  <c r="J4" i="10" s="1"/>
  <c r="B4" i="10"/>
  <c r="C4" i="10"/>
  <c r="D4" i="10"/>
  <c r="F4" i="10"/>
  <c r="G4" i="10"/>
  <c r="A5" i="10"/>
  <c r="J5" i="10" s="1"/>
  <c r="B5" i="10"/>
  <c r="C5" i="10"/>
  <c r="D5" i="10"/>
  <c r="F5" i="10"/>
  <c r="G5" i="10"/>
  <c r="A6" i="10"/>
  <c r="J6" i="10" s="1"/>
  <c r="B6" i="10"/>
  <c r="C6" i="10"/>
  <c r="D6" i="10"/>
  <c r="F6" i="10"/>
  <c r="G6" i="10"/>
  <c r="A7" i="10"/>
  <c r="J7" i="10" s="1"/>
  <c r="B7" i="10"/>
  <c r="C7" i="10"/>
  <c r="D7" i="10"/>
  <c r="F7" i="10"/>
  <c r="G7" i="10"/>
  <c r="A8" i="10"/>
  <c r="J8" i="10" s="1"/>
  <c r="B8" i="10"/>
  <c r="C8" i="10"/>
  <c r="D8" i="10"/>
  <c r="F8" i="10"/>
  <c r="G8" i="10"/>
  <c r="A9" i="10"/>
  <c r="J9" i="10" s="1"/>
  <c r="B9" i="10"/>
  <c r="C9" i="10"/>
  <c r="D9" i="10"/>
  <c r="F9" i="10"/>
  <c r="I9" i="10" s="1"/>
  <c r="G9" i="10"/>
  <c r="A10" i="10"/>
  <c r="J10" i="10" s="1"/>
  <c r="B10" i="10"/>
  <c r="C10" i="10"/>
  <c r="D10" i="10"/>
  <c r="F10" i="10"/>
  <c r="G10" i="10"/>
  <c r="A11" i="10"/>
  <c r="J11" i="10" s="1"/>
  <c r="B11" i="10"/>
  <c r="C11" i="10"/>
  <c r="D11" i="10"/>
  <c r="F11" i="10"/>
  <c r="G11" i="10"/>
  <c r="A12" i="10"/>
  <c r="B12" i="10"/>
  <c r="C12" i="10"/>
  <c r="D12" i="10"/>
  <c r="F12" i="10"/>
  <c r="G12" i="10"/>
  <c r="A13" i="10"/>
  <c r="J13" i="10" s="1"/>
  <c r="B13" i="10"/>
  <c r="C13" i="10"/>
  <c r="D13" i="10"/>
  <c r="F13" i="10"/>
  <c r="G13" i="10"/>
  <c r="A14" i="10"/>
  <c r="J14" i="10" s="1"/>
  <c r="B14" i="10"/>
  <c r="C14" i="10"/>
  <c r="D14" i="10"/>
  <c r="F14" i="10"/>
  <c r="G14" i="10"/>
  <c r="A15" i="10"/>
  <c r="J15" i="10" s="1"/>
  <c r="B15" i="10"/>
  <c r="C15" i="10"/>
  <c r="D15" i="10"/>
  <c r="F15" i="10"/>
  <c r="G15" i="10"/>
  <c r="A16" i="10"/>
  <c r="J16" i="10" s="1"/>
  <c r="B16" i="10"/>
  <c r="C16" i="10"/>
  <c r="D16" i="10"/>
  <c r="F16" i="10"/>
  <c r="I16" i="10" s="1"/>
  <c r="G16" i="10"/>
  <c r="A17" i="10"/>
  <c r="J17" i="10" s="1"/>
  <c r="B17" i="10"/>
  <c r="C17" i="10"/>
  <c r="D17" i="10"/>
  <c r="F17" i="10"/>
  <c r="I17" i="10" s="1"/>
  <c r="G17" i="10"/>
  <c r="A18" i="10"/>
  <c r="J18" i="10" s="1"/>
  <c r="B18" i="10"/>
  <c r="C18" i="10"/>
  <c r="D18" i="10"/>
  <c r="F18" i="10"/>
  <c r="I18" i="10" s="1"/>
  <c r="G18" i="10"/>
  <c r="A19" i="10"/>
  <c r="J19" i="10" s="1"/>
  <c r="B19" i="10"/>
  <c r="C19" i="10"/>
  <c r="D19" i="10"/>
  <c r="F19" i="10"/>
  <c r="I19" i="10" s="1"/>
  <c r="G19" i="10"/>
  <c r="A20" i="10"/>
  <c r="J20" i="10" s="1"/>
  <c r="B20" i="10"/>
  <c r="C20" i="10"/>
  <c r="D20" i="10"/>
  <c r="F20" i="10"/>
  <c r="I20" i="10" s="1"/>
  <c r="G20" i="10"/>
  <c r="A21" i="10"/>
  <c r="J21" i="10" s="1"/>
  <c r="B21" i="10"/>
  <c r="C21" i="10"/>
  <c r="D21" i="10"/>
  <c r="F21" i="10"/>
  <c r="I21" i="10" s="1"/>
  <c r="G21" i="10"/>
  <c r="A22" i="10"/>
  <c r="J22" i="10" s="1"/>
  <c r="B22" i="10"/>
  <c r="C22" i="10"/>
  <c r="D22" i="10"/>
  <c r="F22" i="10"/>
  <c r="I22" i="10" s="1"/>
  <c r="G22" i="10"/>
  <c r="A23" i="10"/>
  <c r="J23" i="10" s="1"/>
  <c r="B23" i="10"/>
  <c r="C23" i="10"/>
  <c r="D23" i="10"/>
  <c r="F23" i="10"/>
  <c r="I23" i="10" s="1"/>
  <c r="G23" i="10"/>
  <c r="A24" i="10"/>
  <c r="J24" i="10" s="1"/>
  <c r="B24" i="10"/>
  <c r="C24" i="10"/>
  <c r="D24" i="10"/>
  <c r="F24" i="10"/>
  <c r="I24" i="10" s="1"/>
  <c r="G24" i="10"/>
  <c r="A25" i="10"/>
  <c r="J25" i="10" s="1"/>
  <c r="B25" i="10"/>
  <c r="C25" i="10"/>
  <c r="D25" i="10"/>
  <c r="F25" i="10"/>
  <c r="I25" i="10" s="1"/>
  <c r="G25" i="10"/>
  <c r="A26" i="10"/>
  <c r="J26" i="10" s="1"/>
  <c r="B26" i="10"/>
  <c r="C26" i="10"/>
  <c r="D26" i="10"/>
  <c r="F26" i="10"/>
  <c r="I26" i="10" s="1"/>
  <c r="G26" i="10"/>
  <c r="A27" i="10"/>
  <c r="J27" i="10" s="1"/>
  <c r="B27" i="10"/>
  <c r="C27" i="10"/>
  <c r="D27" i="10"/>
  <c r="F27" i="10"/>
  <c r="I27" i="10" s="1"/>
  <c r="G27" i="10"/>
  <c r="A28" i="10"/>
  <c r="J28" i="10" s="1"/>
  <c r="B28" i="10"/>
  <c r="C28" i="10"/>
  <c r="D28" i="10"/>
  <c r="F28" i="10"/>
  <c r="I28" i="10" s="1"/>
  <c r="G28" i="10"/>
  <c r="A29" i="10"/>
  <c r="J29" i="10" s="1"/>
  <c r="B29" i="10"/>
  <c r="C29" i="10"/>
  <c r="D29" i="10"/>
  <c r="F29" i="10"/>
  <c r="I29" i="10" s="1"/>
  <c r="G29" i="10"/>
  <c r="A30" i="10"/>
  <c r="J30" i="10" s="1"/>
  <c r="B30" i="10"/>
  <c r="C30" i="10"/>
  <c r="D30" i="10"/>
  <c r="F30" i="10"/>
  <c r="I30" i="10" s="1"/>
  <c r="G30" i="10"/>
  <c r="A31" i="10"/>
  <c r="J31" i="10" s="1"/>
  <c r="B31" i="10"/>
  <c r="C31" i="10"/>
  <c r="D31" i="10"/>
  <c r="F31" i="10"/>
  <c r="I31" i="10" s="1"/>
  <c r="G31" i="10"/>
  <c r="A32" i="10"/>
  <c r="J32" i="10" s="1"/>
  <c r="B32" i="10"/>
  <c r="C32" i="10"/>
  <c r="D32" i="10"/>
  <c r="F32" i="10"/>
  <c r="I32" i="10" s="1"/>
  <c r="G32" i="10"/>
  <c r="A33" i="10"/>
  <c r="J33" i="10" s="1"/>
  <c r="B33" i="10"/>
  <c r="C33" i="10"/>
  <c r="D33" i="10"/>
  <c r="F33" i="10"/>
  <c r="I33" i="10" s="1"/>
  <c r="G33" i="10"/>
  <c r="A34" i="10"/>
  <c r="J34" i="10" s="1"/>
  <c r="B34" i="10"/>
  <c r="C34" i="10"/>
  <c r="D34" i="10"/>
  <c r="F34" i="10"/>
  <c r="I34" i="10" s="1"/>
  <c r="G34" i="10"/>
  <c r="A35" i="10"/>
  <c r="J35" i="10" s="1"/>
  <c r="B35" i="10"/>
  <c r="C35" i="10"/>
  <c r="D35" i="10"/>
  <c r="F35" i="10"/>
  <c r="I35" i="10" s="1"/>
  <c r="G35" i="10"/>
  <c r="A36" i="10"/>
  <c r="J36" i="10" s="1"/>
  <c r="B36" i="10"/>
  <c r="C36" i="10"/>
  <c r="D36" i="10"/>
  <c r="F36" i="10"/>
  <c r="I36" i="10" s="1"/>
  <c r="G36" i="10"/>
  <c r="A37" i="10"/>
  <c r="J37" i="10" s="1"/>
  <c r="B37" i="10"/>
  <c r="C37" i="10"/>
  <c r="D37" i="10"/>
  <c r="F37" i="10"/>
  <c r="I37" i="10" s="1"/>
  <c r="G37" i="10"/>
  <c r="A38" i="10"/>
  <c r="J38" i="10" s="1"/>
  <c r="B38" i="10"/>
  <c r="C38" i="10"/>
  <c r="D38" i="10"/>
  <c r="F38" i="10"/>
  <c r="I38" i="10" s="1"/>
  <c r="G38" i="10"/>
  <c r="A39" i="10"/>
  <c r="J39" i="10" s="1"/>
  <c r="B39" i="10"/>
  <c r="C39" i="10"/>
  <c r="D39" i="10"/>
  <c r="F39" i="10"/>
  <c r="I39" i="10" s="1"/>
  <c r="G39" i="10"/>
  <c r="A40" i="10"/>
  <c r="J40" i="10" s="1"/>
  <c r="B40" i="10"/>
  <c r="C40" i="10"/>
  <c r="D40" i="10"/>
  <c r="F40" i="10"/>
  <c r="I40" i="10" s="1"/>
  <c r="G40" i="10"/>
  <c r="A41" i="10"/>
  <c r="J41" i="10" s="1"/>
  <c r="B41" i="10"/>
  <c r="C41" i="10"/>
  <c r="D41" i="10"/>
  <c r="F41" i="10"/>
  <c r="I41" i="10" s="1"/>
  <c r="G41" i="10"/>
  <c r="A42" i="10"/>
  <c r="J42" i="10" s="1"/>
  <c r="B42" i="10"/>
  <c r="C42" i="10"/>
  <c r="D42" i="10"/>
  <c r="F42" i="10"/>
  <c r="I42" i="10" s="1"/>
  <c r="G42" i="10"/>
  <c r="A43" i="10"/>
  <c r="J43" i="10" s="1"/>
  <c r="B43" i="10"/>
  <c r="C43" i="10"/>
  <c r="D43" i="10"/>
  <c r="F43" i="10"/>
  <c r="I43" i="10" s="1"/>
  <c r="G43" i="10"/>
  <c r="A44" i="10"/>
  <c r="J44" i="10" s="1"/>
  <c r="B44" i="10"/>
  <c r="C44" i="10"/>
  <c r="D44" i="10"/>
  <c r="F44" i="10"/>
  <c r="I44" i="10" s="1"/>
  <c r="G44" i="10"/>
  <c r="A45" i="10"/>
  <c r="J45" i="10" s="1"/>
  <c r="B45" i="10"/>
  <c r="C45" i="10"/>
  <c r="D45" i="10"/>
  <c r="F45" i="10"/>
  <c r="I45" i="10" s="1"/>
  <c r="G45" i="10"/>
  <c r="A46" i="10"/>
  <c r="J46" i="10" s="1"/>
  <c r="B46" i="10"/>
  <c r="C46" i="10"/>
  <c r="D46" i="10"/>
  <c r="F46" i="10"/>
  <c r="I46" i="10" s="1"/>
  <c r="G46" i="10"/>
  <c r="A47" i="10"/>
  <c r="J47" i="10" s="1"/>
  <c r="B47" i="10"/>
  <c r="C47" i="10"/>
  <c r="D47" i="10"/>
  <c r="F47" i="10"/>
  <c r="I47" i="10" s="1"/>
  <c r="G47" i="10"/>
  <c r="A48" i="10"/>
  <c r="J48" i="10" s="1"/>
  <c r="B48" i="10"/>
  <c r="C48" i="10"/>
  <c r="D48" i="10"/>
  <c r="F48" i="10"/>
  <c r="I48" i="10" s="1"/>
  <c r="G48" i="10"/>
  <c r="A49" i="10"/>
  <c r="J49" i="10" s="1"/>
  <c r="B49" i="10"/>
  <c r="C49" i="10"/>
  <c r="D49" i="10"/>
  <c r="F49" i="10"/>
  <c r="I49" i="10" s="1"/>
  <c r="G49" i="10"/>
  <c r="A50" i="10"/>
  <c r="J50" i="10" s="1"/>
  <c r="B50" i="10"/>
  <c r="C50" i="10"/>
  <c r="D50" i="10"/>
  <c r="F50" i="10"/>
  <c r="I50" i="10" s="1"/>
  <c r="G50" i="10"/>
  <c r="A51" i="10"/>
  <c r="J51" i="10" s="1"/>
  <c r="B51" i="10"/>
  <c r="C51" i="10"/>
  <c r="D51" i="10"/>
  <c r="F51" i="10"/>
  <c r="I51" i="10" s="1"/>
  <c r="G51" i="10"/>
  <c r="A52" i="10"/>
  <c r="J52" i="10" s="1"/>
  <c r="B52" i="10"/>
  <c r="C52" i="10"/>
  <c r="D52" i="10"/>
  <c r="F52" i="10"/>
  <c r="I52" i="10" s="1"/>
  <c r="G52" i="10"/>
  <c r="F3" i="10"/>
  <c r="G3" i="10"/>
  <c r="B3" i="10"/>
  <c r="D3" i="10"/>
  <c r="H3" i="10" s="1"/>
  <c r="C11" i="11" l="1"/>
  <c r="M52" i="10"/>
  <c r="H52" i="10"/>
  <c r="M50" i="10"/>
  <c r="H50" i="10"/>
  <c r="M48" i="10"/>
  <c r="H48" i="10"/>
  <c r="M46" i="10"/>
  <c r="H46" i="10"/>
  <c r="M44" i="10"/>
  <c r="H44" i="10"/>
  <c r="M42" i="10"/>
  <c r="H42" i="10"/>
  <c r="K42" i="10" s="1"/>
  <c r="M40" i="10"/>
  <c r="H40" i="10"/>
  <c r="M38" i="10"/>
  <c r="H38" i="10"/>
  <c r="M36" i="10"/>
  <c r="H36" i="10"/>
  <c r="M34" i="10"/>
  <c r="H34" i="10"/>
  <c r="M32" i="10"/>
  <c r="H32" i="10"/>
  <c r="M30" i="10"/>
  <c r="H30" i="10"/>
  <c r="M28" i="10"/>
  <c r="H28" i="10"/>
  <c r="K28" i="10" s="1"/>
  <c r="M26" i="10"/>
  <c r="H26" i="10"/>
  <c r="K26" i="10" s="1"/>
  <c r="M24" i="10"/>
  <c r="H24" i="10"/>
  <c r="M22" i="10"/>
  <c r="H22" i="10"/>
  <c r="K22" i="10" s="1"/>
  <c r="M20" i="10"/>
  <c r="H20" i="10"/>
  <c r="M18" i="10"/>
  <c r="H18" i="10"/>
  <c r="M16" i="10"/>
  <c r="H16" i="10"/>
  <c r="M14" i="10"/>
  <c r="O14" i="10" s="1"/>
  <c r="H14" i="10"/>
  <c r="K14" i="10" s="1"/>
  <c r="M12" i="10"/>
  <c r="H12" i="10"/>
  <c r="M10" i="10"/>
  <c r="O10" i="10" s="1"/>
  <c r="H10" i="10"/>
  <c r="K10" i="10" s="1"/>
  <c r="M8" i="10"/>
  <c r="H8" i="10"/>
  <c r="I8" i="10" s="1"/>
  <c r="M6" i="10"/>
  <c r="N6" i="10" s="1"/>
  <c r="P6" i="10" s="1"/>
  <c r="H6" i="10"/>
  <c r="K6" i="10" s="1"/>
  <c r="M4" i="10"/>
  <c r="N4" i="10" s="1"/>
  <c r="P4" i="10" s="1"/>
  <c r="H4" i="10"/>
  <c r="K4" i="10" s="1"/>
  <c r="M119" i="10"/>
  <c r="H119" i="10"/>
  <c r="M117" i="10"/>
  <c r="H117" i="10"/>
  <c r="M115" i="10"/>
  <c r="H115" i="10"/>
  <c r="M113" i="10"/>
  <c r="H113" i="10"/>
  <c r="M111" i="10"/>
  <c r="H111" i="10"/>
  <c r="M109" i="10"/>
  <c r="H109" i="10"/>
  <c r="K109" i="10" s="1"/>
  <c r="M107" i="10"/>
  <c r="H107" i="10"/>
  <c r="M105" i="10"/>
  <c r="H105" i="10"/>
  <c r="K105" i="10" s="1"/>
  <c r="M103" i="10"/>
  <c r="H103" i="10"/>
  <c r="M101" i="10"/>
  <c r="H101" i="10"/>
  <c r="K101" i="10" s="1"/>
  <c r="M99" i="10"/>
  <c r="H99" i="10"/>
  <c r="M97" i="10"/>
  <c r="H97" i="10"/>
  <c r="K97" i="10" s="1"/>
  <c r="M95" i="10"/>
  <c r="H95" i="10"/>
  <c r="K95" i="10" s="1"/>
  <c r="M93" i="10"/>
  <c r="H93" i="10"/>
  <c r="K93" i="10" s="1"/>
  <c r="M91" i="10"/>
  <c r="H91" i="10"/>
  <c r="M89" i="10"/>
  <c r="H89" i="10"/>
  <c r="M87" i="10"/>
  <c r="H87" i="10"/>
  <c r="M85" i="10"/>
  <c r="H85" i="10"/>
  <c r="K85" i="10" s="1"/>
  <c r="M83" i="10"/>
  <c r="H83" i="10"/>
  <c r="M81" i="10"/>
  <c r="H81" i="10"/>
  <c r="M79" i="10"/>
  <c r="H79" i="10"/>
  <c r="M77" i="10"/>
  <c r="H77" i="10"/>
  <c r="K77" i="10" s="1"/>
  <c r="M75" i="10"/>
  <c r="H75" i="10"/>
  <c r="M73" i="10"/>
  <c r="H73" i="10"/>
  <c r="M71" i="10"/>
  <c r="H71" i="10"/>
  <c r="K71" i="10" s="1"/>
  <c r="M69" i="10"/>
  <c r="H69" i="10"/>
  <c r="K69" i="10" s="1"/>
  <c r="M67" i="10"/>
  <c r="H67" i="10"/>
  <c r="M65" i="10"/>
  <c r="H65" i="10"/>
  <c r="M63" i="10"/>
  <c r="H63" i="10"/>
  <c r="M61" i="10"/>
  <c r="H61" i="10"/>
  <c r="K61" i="10" s="1"/>
  <c r="M59" i="10"/>
  <c r="H59" i="10"/>
  <c r="M57" i="10"/>
  <c r="H57" i="10"/>
  <c r="K57" i="10" s="1"/>
  <c r="M55" i="10"/>
  <c r="H55" i="10"/>
  <c r="M53" i="10"/>
  <c r="H53" i="10"/>
  <c r="M3" i="10"/>
  <c r="N3" i="10" s="1"/>
  <c r="P3" i="10" s="1"/>
  <c r="I3" i="10"/>
  <c r="M51" i="10"/>
  <c r="H51" i="10"/>
  <c r="M49" i="10"/>
  <c r="H49" i="10"/>
  <c r="K49" i="10" s="1"/>
  <c r="M47" i="10"/>
  <c r="H47" i="10"/>
  <c r="M45" i="10"/>
  <c r="H45" i="10"/>
  <c r="M43" i="10"/>
  <c r="H43" i="10"/>
  <c r="K43" i="10" s="1"/>
  <c r="M41" i="10"/>
  <c r="H41" i="10"/>
  <c r="K41" i="10" s="1"/>
  <c r="M39" i="10"/>
  <c r="H39" i="10"/>
  <c r="K39" i="10" s="1"/>
  <c r="M37" i="10"/>
  <c r="H37" i="10"/>
  <c r="K37" i="10" s="1"/>
  <c r="M35" i="10"/>
  <c r="H35" i="10"/>
  <c r="K35" i="10" s="1"/>
  <c r="M33" i="10"/>
  <c r="H33" i="10"/>
  <c r="M31" i="10"/>
  <c r="H31" i="10"/>
  <c r="K31" i="10" s="1"/>
  <c r="M29" i="10"/>
  <c r="H29" i="10"/>
  <c r="K29" i="10" s="1"/>
  <c r="M27" i="10"/>
  <c r="H27" i="10"/>
  <c r="K27" i="10" s="1"/>
  <c r="M25" i="10"/>
  <c r="H25" i="10"/>
  <c r="K25" i="10" s="1"/>
  <c r="M23" i="10"/>
  <c r="H23" i="10"/>
  <c r="M21" i="10"/>
  <c r="H21" i="10"/>
  <c r="M19" i="10"/>
  <c r="H19" i="10"/>
  <c r="K19" i="10" s="1"/>
  <c r="M17" i="10"/>
  <c r="H17" i="10"/>
  <c r="K17" i="10" s="1"/>
  <c r="M15" i="10"/>
  <c r="H15" i="10"/>
  <c r="I15" i="10" s="1"/>
  <c r="M13" i="10"/>
  <c r="O13" i="10" s="1"/>
  <c r="H13" i="10"/>
  <c r="K13" i="10" s="1"/>
  <c r="M11" i="10"/>
  <c r="H11" i="10"/>
  <c r="M9" i="10"/>
  <c r="H9" i="10"/>
  <c r="K9" i="10" s="1"/>
  <c r="M7" i="10"/>
  <c r="N7" i="10" s="1"/>
  <c r="P7" i="10" s="1"/>
  <c r="H7" i="10"/>
  <c r="K7" i="10" s="1"/>
  <c r="M5" i="10"/>
  <c r="N5" i="10" s="1"/>
  <c r="P5" i="10" s="1"/>
  <c r="H5" i="10"/>
  <c r="I5" i="10" s="1"/>
  <c r="M120" i="10"/>
  <c r="H120" i="10"/>
  <c r="M118" i="10"/>
  <c r="H118" i="10"/>
  <c r="K118" i="10" s="1"/>
  <c r="M116" i="10"/>
  <c r="H116" i="10"/>
  <c r="K116" i="10" s="1"/>
  <c r="M114" i="10"/>
  <c r="H114" i="10"/>
  <c r="K114" i="10" s="1"/>
  <c r="M112" i="10"/>
  <c r="H112" i="10"/>
  <c r="M110" i="10"/>
  <c r="H110" i="10"/>
  <c r="K110" i="10" s="1"/>
  <c r="M108" i="10"/>
  <c r="H108" i="10"/>
  <c r="K108" i="10" s="1"/>
  <c r="M106" i="10"/>
  <c r="H106" i="10"/>
  <c r="K106" i="10" s="1"/>
  <c r="M104" i="10"/>
  <c r="H104" i="10"/>
  <c r="M102" i="10"/>
  <c r="H102" i="10"/>
  <c r="M100" i="10"/>
  <c r="H100" i="10"/>
  <c r="K100" i="10" s="1"/>
  <c r="M98" i="10"/>
  <c r="H98" i="10"/>
  <c r="M96" i="10"/>
  <c r="H96" i="10"/>
  <c r="M94" i="10"/>
  <c r="H94" i="10"/>
  <c r="K94" i="10" s="1"/>
  <c r="M92" i="10"/>
  <c r="H92" i="10"/>
  <c r="K92" i="10" s="1"/>
  <c r="M90" i="10"/>
  <c r="H90" i="10"/>
  <c r="K90" i="10" s="1"/>
  <c r="M88" i="10"/>
  <c r="H88" i="10"/>
  <c r="M86" i="10"/>
  <c r="H86" i="10"/>
  <c r="M84" i="10"/>
  <c r="H84" i="10"/>
  <c r="K84" i="10" s="1"/>
  <c r="M82" i="10"/>
  <c r="H82" i="10"/>
  <c r="M80" i="10"/>
  <c r="H80" i="10"/>
  <c r="M78" i="10"/>
  <c r="H78" i="10"/>
  <c r="K78" i="10" s="1"/>
  <c r="M76" i="10"/>
  <c r="H76" i="10"/>
  <c r="M74" i="10"/>
  <c r="H74" i="10"/>
  <c r="M72" i="10"/>
  <c r="H72" i="10"/>
  <c r="M70" i="10"/>
  <c r="H70" i="10"/>
  <c r="M68" i="10"/>
  <c r="H68" i="10"/>
  <c r="K68" i="10" s="1"/>
  <c r="M66" i="10"/>
  <c r="H66" i="10"/>
  <c r="M64" i="10"/>
  <c r="H64" i="10"/>
  <c r="M62" i="10"/>
  <c r="H62" i="10"/>
  <c r="K62" i="10" s="1"/>
  <c r="M60" i="10"/>
  <c r="H60" i="10"/>
  <c r="M58" i="10"/>
  <c r="H58" i="10"/>
  <c r="K58" i="10" s="1"/>
  <c r="M56" i="10"/>
  <c r="H56" i="10"/>
  <c r="M54" i="10"/>
  <c r="H54" i="10"/>
  <c r="D67" i="11"/>
  <c r="C64" i="11"/>
  <c r="D64" i="11"/>
  <c r="C67" i="11"/>
  <c r="J12" i="10"/>
  <c r="U50" i="10"/>
  <c r="T50" i="10"/>
  <c r="R50" i="10"/>
  <c r="V50" i="10"/>
  <c r="S50" i="10"/>
  <c r="Q50" i="10"/>
  <c r="U46" i="10"/>
  <c r="R46" i="10"/>
  <c r="V46" i="10"/>
  <c r="T46" i="10"/>
  <c r="S46" i="10"/>
  <c r="Q46" i="10"/>
  <c r="V44" i="10"/>
  <c r="T44" i="10"/>
  <c r="S44" i="10"/>
  <c r="Q44" i="10"/>
  <c r="U44" i="10"/>
  <c r="R44" i="10"/>
  <c r="V40" i="10"/>
  <c r="T40" i="10"/>
  <c r="S40" i="10"/>
  <c r="U40" i="10"/>
  <c r="Q40" i="10"/>
  <c r="R40" i="10"/>
  <c r="U34" i="10"/>
  <c r="T34" i="10"/>
  <c r="R34" i="10"/>
  <c r="V34" i="10"/>
  <c r="S34" i="10"/>
  <c r="Q34" i="10"/>
  <c r="U30" i="10"/>
  <c r="R30" i="10"/>
  <c r="V30" i="10"/>
  <c r="T30" i="10"/>
  <c r="S30" i="10"/>
  <c r="Q30" i="10"/>
  <c r="V28" i="10"/>
  <c r="T28" i="10"/>
  <c r="S28" i="10"/>
  <c r="U28" i="10"/>
  <c r="Q28" i="10"/>
  <c r="R28" i="10"/>
  <c r="V24" i="10"/>
  <c r="T24" i="10"/>
  <c r="S24" i="10"/>
  <c r="U24" i="10"/>
  <c r="Q24" i="10"/>
  <c r="R24" i="10"/>
  <c r="V20" i="10"/>
  <c r="T20" i="10"/>
  <c r="U20" i="10"/>
  <c r="S20" i="10"/>
  <c r="R20" i="10"/>
  <c r="Q20" i="10"/>
  <c r="V16" i="10"/>
  <c r="T16" i="10"/>
  <c r="U16" i="10"/>
  <c r="S16" i="10"/>
  <c r="Q16" i="10"/>
  <c r="R16" i="10"/>
  <c r="V12" i="10"/>
  <c r="T12" i="10"/>
  <c r="S12" i="10"/>
  <c r="Q12" i="10"/>
  <c r="U12" i="10"/>
  <c r="R12" i="10"/>
  <c r="U10" i="10"/>
  <c r="V10" i="10"/>
  <c r="T10" i="10"/>
  <c r="R10" i="10"/>
  <c r="S10" i="10"/>
  <c r="Q10" i="10"/>
  <c r="U6" i="10"/>
  <c r="V6" i="10"/>
  <c r="R6" i="10"/>
  <c r="S6" i="10"/>
  <c r="T6" i="10"/>
  <c r="Q6" i="10"/>
  <c r="V4" i="10"/>
  <c r="T4" i="10"/>
  <c r="U4" i="10"/>
  <c r="S4" i="10"/>
  <c r="R4" i="10"/>
  <c r="Q4" i="10"/>
  <c r="U117" i="10"/>
  <c r="V117" i="10"/>
  <c r="T117" i="10"/>
  <c r="S117" i="10"/>
  <c r="R117" i="10"/>
  <c r="Q117" i="10"/>
  <c r="U113" i="10"/>
  <c r="V113" i="10"/>
  <c r="T113" i="10"/>
  <c r="S113" i="10"/>
  <c r="Q113" i="10"/>
  <c r="R113" i="10"/>
  <c r="U109" i="10"/>
  <c r="V109" i="10"/>
  <c r="T109" i="10"/>
  <c r="S109" i="10"/>
  <c r="Q109" i="10"/>
  <c r="R109" i="10"/>
  <c r="U105" i="10"/>
  <c r="V105" i="10"/>
  <c r="T105" i="10"/>
  <c r="S105" i="10"/>
  <c r="R105" i="10"/>
  <c r="Q105" i="10"/>
  <c r="U101" i="10"/>
  <c r="V101" i="10"/>
  <c r="T101" i="10"/>
  <c r="S101" i="10"/>
  <c r="R101" i="10"/>
  <c r="Q101" i="10"/>
  <c r="U97" i="10"/>
  <c r="V97" i="10"/>
  <c r="T97" i="10"/>
  <c r="S97" i="10"/>
  <c r="Q97" i="10"/>
  <c r="R97" i="10"/>
  <c r="U93" i="10"/>
  <c r="V93" i="10"/>
  <c r="T93" i="10"/>
  <c r="S93" i="10"/>
  <c r="R93" i="10"/>
  <c r="Q93" i="10"/>
  <c r="U89" i="10"/>
  <c r="V89" i="10"/>
  <c r="T89" i="10"/>
  <c r="S89" i="10"/>
  <c r="Q89" i="10"/>
  <c r="R89" i="10"/>
  <c r="U85" i="10"/>
  <c r="V85" i="10"/>
  <c r="T85" i="10"/>
  <c r="R85" i="10"/>
  <c r="S85" i="10"/>
  <c r="Q85" i="10"/>
  <c r="U81" i="10"/>
  <c r="V81" i="10"/>
  <c r="T81" i="10"/>
  <c r="R81" i="10"/>
  <c r="S81" i="10"/>
  <c r="Q81" i="10"/>
  <c r="U77" i="10"/>
  <c r="V77" i="10"/>
  <c r="T77" i="10"/>
  <c r="R77" i="10"/>
  <c r="S77" i="10"/>
  <c r="Q77" i="10"/>
  <c r="U73" i="10"/>
  <c r="V73" i="10"/>
  <c r="T73" i="10"/>
  <c r="R73" i="10"/>
  <c r="S73" i="10"/>
  <c r="Q73" i="10"/>
  <c r="U69" i="10"/>
  <c r="V69" i="10"/>
  <c r="T69" i="10"/>
  <c r="R69" i="10"/>
  <c r="S69" i="10"/>
  <c r="Q69" i="10"/>
  <c r="V63" i="10"/>
  <c r="U63" i="10"/>
  <c r="T63" i="10"/>
  <c r="S63" i="10"/>
  <c r="R63" i="10"/>
  <c r="Q63" i="10"/>
  <c r="U61" i="10"/>
  <c r="V61" i="10"/>
  <c r="T61" i="10"/>
  <c r="R61" i="10"/>
  <c r="S61" i="10"/>
  <c r="Q61" i="10"/>
  <c r="U57" i="10"/>
  <c r="V57" i="10"/>
  <c r="T57" i="10"/>
  <c r="R57" i="10"/>
  <c r="S57" i="10"/>
  <c r="Q57" i="10"/>
  <c r="U53" i="10"/>
  <c r="V53" i="10"/>
  <c r="T53" i="10"/>
  <c r="R53" i="10"/>
  <c r="S53" i="10"/>
  <c r="Q53" i="10"/>
  <c r="V48" i="10"/>
  <c r="T48" i="10"/>
  <c r="U48" i="10"/>
  <c r="S48" i="10"/>
  <c r="Q48" i="10"/>
  <c r="R48" i="10"/>
  <c r="U42" i="10"/>
  <c r="V42" i="10"/>
  <c r="T42" i="10"/>
  <c r="R42" i="10"/>
  <c r="S42" i="10"/>
  <c r="Q42" i="10"/>
  <c r="U38" i="10"/>
  <c r="V38" i="10"/>
  <c r="R38" i="10"/>
  <c r="S38" i="10"/>
  <c r="T38" i="10"/>
  <c r="Q38" i="10"/>
  <c r="V36" i="10"/>
  <c r="T36" i="10"/>
  <c r="U36" i="10"/>
  <c r="S36" i="10"/>
  <c r="R36" i="10"/>
  <c r="Q36" i="10"/>
  <c r="V32" i="10"/>
  <c r="T32" i="10"/>
  <c r="U32" i="10"/>
  <c r="S32" i="10"/>
  <c r="Q32" i="10"/>
  <c r="R32" i="10"/>
  <c r="U26" i="10"/>
  <c r="V26" i="10"/>
  <c r="T26" i="10"/>
  <c r="R26" i="10"/>
  <c r="S26" i="10"/>
  <c r="Q26" i="10"/>
  <c r="U22" i="10"/>
  <c r="V22" i="10"/>
  <c r="R22" i="10"/>
  <c r="T22" i="10"/>
  <c r="S22" i="10"/>
  <c r="Q22" i="10"/>
  <c r="U18" i="10"/>
  <c r="T18" i="10"/>
  <c r="R18" i="10"/>
  <c r="V18" i="10"/>
  <c r="S18" i="10"/>
  <c r="Q18" i="10"/>
  <c r="U14" i="10"/>
  <c r="R14" i="10"/>
  <c r="V14" i="10"/>
  <c r="S14" i="10"/>
  <c r="T14" i="10"/>
  <c r="Q14" i="10"/>
  <c r="V8" i="10"/>
  <c r="T8" i="10"/>
  <c r="S8" i="10"/>
  <c r="U8" i="10"/>
  <c r="Q8" i="10"/>
  <c r="R8" i="10"/>
  <c r="V119" i="10"/>
  <c r="U119" i="10"/>
  <c r="S119" i="10"/>
  <c r="T119" i="10"/>
  <c r="R119" i="10"/>
  <c r="Q119" i="10"/>
  <c r="V115" i="10"/>
  <c r="U115" i="10"/>
  <c r="S115" i="10"/>
  <c r="T115" i="10"/>
  <c r="Q115" i="10"/>
  <c r="R115" i="10"/>
  <c r="V111" i="10"/>
  <c r="U111" i="10"/>
  <c r="S111" i="10"/>
  <c r="T111" i="10"/>
  <c r="R111" i="10"/>
  <c r="Q111" i="10"/>
  <c r="V107" i="10"/>
  <c r="U107" i="10"/>
  <c r="S107" i="10"/>
  <c r="T107" i="10"/>
  <c r="Q107" i="10"/>
  <c r="R107" i="10"/>
  <c r="V103" i="10"/>
  <c r="U103" i="10"/>
  <c r="T103" i="10"/>
  <c r="S103" i="10"/>
  <c r="R103" i="10"/>
  <c r="Q103" i="10"/>
  <c r="V99" i="10"/>
  <c r="U99" i="10"/>
  <c r="S99" i="10"/>
  <c r="T99" i="10"/>
  <c r="R99" i="10"/>
  <c r="Q99" i="10"/>
  <c r="V95" i="10"/>
  <c r="U95" i="10"/>
  <c r="T95" i="10"/>
  <c r="S95" i="10"/>
  <c r="R95" i="10"/>
  <c r="Q95" i="10"/>
  <c r="V91" i="10"/>
  <c r="U91" i="10"/>
  <c r="S91" i="10"/>
  <c r="T91" i="10"/>
  <c r="R91" i="10"/>
  <c r="Q91" i="10"/>
  <c r="V87" i="10"/>
  <c r="U87" i="10"/>
  <c r="T87" i="10"/>
  <c r="S87" i="10"/>
  <c r="R87" i="10"/>
  <c r="Q87" i="10"/>
  <c r="V83" i="10"/>
  <c r="U83" i="10"/>
  <c r="S83" i="10"/>
  <c r="T83" i="10"/>
  <c r="R83" i="10"/>
  <c r="Q83" i="10"/>
  <c r="V79" i="10"/>
  <c r="U79" i="10"/>
  <c r="T79" i="10"/>
  <c r="S79" i="10"/>
  <c r="R79" i="10"/>
  <c r="Q79" i="10"/>
  <c r="V75" i="10"/>
  <c r="U75" i="10"/>
  <c r="S75" i="10"/>
  <c r="T75" i="10"/>
  <c r="R75" i="10"/>
  <c r="Q75" i="10"/>
  <c r="V71" i="10"/>
  <c r="U71" i="10"/>
  <c r="T71" i="10"/>
  <c r="S71" i="10"/>
  <c r="R71" i="10"/>
  <c r="Q71" i="10"/>
  <c r="V67" i="10"/>
  <c r="U67" i="10"/>
  <c r="S67" i="10"/>
  <c r="T67" i="10"/>
  <c r="R67" i="10"/>
  <c r="Q67" i="10"/>
  <c r="U65" i="10"/>
  <c r="V65" i="10"/>
  <c r="T65" i="10"/>
  <c r="R65" i="10"/>
  <c r="S65" i="10"/>
  <c r="Q65" i="10"/>
  <c r="V59" i="10"/>
  <c r="U59" i="10"/>
  <c r="S59" i="10"/>
  <c r="T59" i="10"/>
  <c r="R59" i="10"/>
  <c r="Q59" i="10"/>
  <c r="V55" i="10"/>
  <c r="U55" i="10"/>
  <c r="T55" i="10"/>
  <c r="S55" i="10"/>
  <c r="R55" i="10"/>
  <c r="Q55" i="10"/>
  <c r="V3" i="10"/>
  <c r="T3" i="10"/>
  <c r="U3" i="10"/>
  <c r="S3" i="10"/>
  <c r="R3" i="10"/>
  <c r="Q3" i="10"/>
  <c r="V51" i="10"/>
  <c r="U51" i="10"/>
  <c r="S51" i="10"/>
  <c r="T51" i="10"/>
  <c r="R51" i="10"/>
  <c r="Q51" i="10"/>
  <c r="U49" i="10"/>
  <c r="V49" i="10"/>
  <c r="T49" i="10"/>
  <c r="R49" i="10"/>
  <c r="S49" i="10"/>
  <c r="Q49" i="10"/>
  <c r="V47" i="10"/>
  <c r="U47" i="10"/>
  <c r="T47" i="10"/>
  <c r="S47" i="10"/>
  <c r="R47" i="10"/>
  <c r="Q47" i="10"/>
  <c r="U45" i="10"/>
  <c r="V45" i="10"/>
  <c r="T45" i="10"/>
  <c r="R45" i="10"/>
  <c r="S45" i="10"/>
  <c r="Q45" i="10"/>
  <c r="V43" i="10"/>
  <c r="U43" i="10"/>
  <c r="S43" i="10"/>
  <c r="T43" i="10"/>
  <c r="R43" i="10"/>
  <c r="Q43" i="10"/>
  <c r="U41" i="10"/>
  <c r="V41" i="10"/>
  <c r="T41" i="10"/>
  <c r="R41" i="10"/>
  <c r="S41" i="10"/>
  <c r="Q41" i="10"/>
  <c r="V39" i="10"/>
  <c r="U39" i="10"/>
  <c r="T39" i="10"/>
  <c r="S39" i="10"/>
  <c r="R39" i="10"/>
  <c r="Q39" i="10"/>
  <c r="U37" i="10"/>
  <c r="V37" i="10"/>
  <c r="T37" i="10"/>
  <c r="R37" i="10"/>
  <c r="S37" i="10"/>
  <c r="Q37" i="10"/>
  <c r="V35" i="10"/>
  <c r="U35" i="10"/>
  <c r="S35" i="10"/>
  <c r="T35" i="10"/>
  <c r="R35" i="10"/>
  <c r="Q35" i="10"/>
  <c r="U33" i="10"/>
  <c r="V33" i="10"/>
  <c r="T33" i="10"/>
  <c r="R33" i="10"/>
  <c r="S33" i="10"/>
  <c r="Q33" i="10"/>
  <c r="V31" i="10"/>
  <c r="U31" i="10"/>
  <c r="T31" i="10"/>
  <c r="S31" i="10"/>
  <c r="R31" i="10"/>
  <c r="Q31" i="10"/>
  <c r="U29" i="10"/>
  <c r="V29" i="10"/>
  <c r="T29" i="10"/>
  <c r="R29" i="10"/>
  <c r="S29" i="10"/>
  <c r="Q29" i="10"/>
  <c r="V27" i="10"/>
  <c r="U27" i="10"/>
  <c r="S27" i="10"/>
  <c r="T27" i="10"/>
  <c r="R27" i="10"/>
  <c r="Q27" i="10"/>
  <c r="U25" i="10"/>
  <c r="V25" i="10"/>
  <c r="T25" i="10"/>
  <c r="R25" i="10"/>
  <c r="S25" i="10"/>
  <c r="Q25" i="10"/>
  <c r="V23" i="10"/>
  <c r="U23" i="10"/>
  <c r="T23" i="10"/>
  <c r="S23" i="10"/>
  <c r="R23" i="10"/>
  <c r="Q23" i="10"/>
  <c r="U21" i="10"/>
  <c r="V21" i="10"/>
  <c r="T21" i="10"/>
  <c r="R21" i="10"/>
  <c r="S21" i="10"/>
  <c r="Q21" i="10"/>
  <c r="V19" i="10"/>
  <c r="U19" i="10"/>
  <c r="S19" i="10"/>
  <c r="T19" i="10"/>
  <c r="R19" i="10"/>
  <c r="Q19" i="10"/>
  <c r="U17" i="10"/>
  <c r="V17" i="10"/>
  <c r="T17" i="10"/>
  <c r="R17" i="10"/>
  <c r="S17" i="10"/>
  <c r="Q17" i="10"/>
  <c r="V15" i="10"/>
  <c r="U15" i="10"/>
  <c r="T15" i="10"/>
  <c r="S15" i="10"/>
  <c r="R15" i="10"/>
  <c r="Q15" i="10"/>
  <c r="U13" i="10"/>
  <c r="V13" i="10"/>
  <c r="T13" i="10"/>
  <c r="R13" i="10"/>
  <c r="S13" i="10"/>
  <c r="Q13" i="10"/>
  <c r="V11" i="10"/>
  <c r="U11" i="10"/>
  <c r="S11" i="10"/>
  <c r="T11" i="10"/>
  <c r="R11" i="10"/>
  <c r="Q11" i="10"/>
  <c r="U9" i="10"/>
  <c r="V9" i="10"/>
  <c r="T9" i="10"/>
  <c r="R9" i="10"/>
  <c r="S9" i="10"/>
  <c r="Q9" i="10"/>
  <c r="V7" i="10"/>
  <c r="U7" i="10"/>
  <c r="T7" i="10"/>
  <c r="S7" i="10"/>
  <c r="R7" i="10"/>
  <c r="Q7" i="10"/>
  <c r="U5" i="10"/>
  <c r="V5" i="10"/>
  <c r="T5" i="10"/>
  <c r="R5" i="10"/>
  <c r="S5" i="10"/>
  <c r="Q5" i="10"/>
  <c r="V120" i="10"/>
  <c r="S120" i="10"/>
  <c r="U120" i="10"/>
  <c r="Q120" i="10"/>
  <c r="T120" i="10"/>
  <c r="R120" i="10"/>
  <c r="U118" i="10"/>
  <c r="V118" i="10"/>
  <c r="T118" i="10"/>
  <c r="R118" i="10"/>
  <c r="S118" i="10"/>
  <c r="Q118" i="10"/>
  <c r="V116" i="10"/>
  <c r="U116" i="10"/>
  <c r="S116" i="10"/>
  <c r="Q116" i="10"/>
  <c r="T116" i="10"/>
  <c r="R116" i="10"/>
  <c r="U114" i="10"/>
  <c r="T114" i="10"/>
  <c r="R114" i="10"/>
  <c r="V114" i="10"/>
  <c r="S114" i="10"/>
  <c r="Q114" i="10"/>
  <c r="V112" i="10"/>
  <c r="U112" i="10"/>
  <c r="S112" i="10"/>
  <c r="T112" i="10"/>
  <c r="Q112" i="10"/>
  <c r="R112" i="10"/>
  <c r="U110" i="10"/>
  <c r="T110" i="10"/>
  <c r="V110" i="10"/>
  <c r="R110" i="10"/>
  <c r="S110" i="10"/>
  <c r="Q110" i="10"/>
  <c r="V108" i="10"/>
  <c r="S108" i="10"/>
  <c r="Q108" i="10"/>
  <c r="T108" i="10"/>
  <c r="U108" i="10"/>
  <c r="R108" i="10"/>
  <c r="U106" i="10"/>
  <c r="V106" i="10"/>
  <c r="T106" i="10"/>
  <c r="S106" i="10"/>
  <c r="R106" i="10"/>
  <c r="Q106" i="10"/>
  <c r="V104" i="10"/>
  <c r="T104" i="10"/>
  <c r="S104" i="10"/>
  <c r="U104" i="10"/>
  <c r="Q104" i="10"/>
  <c r="R104" i="10"/>
  <c r="U102" i="10"/>
  <c r="V102" i="10"/>
  <c r="R102" i="10"/>
  <c r="S102" i="10"/>
  <c r="T102" i="10"/>
  <c r="Q102" i="10"/>
  <c r="V100" i="10"/>
  <c r="T100" i="10"/>
  <c r="U100" i="10"/>
  <c r="S100" i="10"/>
  <c r="Q100" i="10"/>
  <c r="R100" i="10"/>
  <c r="U98" i="10"/>
  <c r="T98" i="10"/>
  <c r="R98" i="10"/>
  <c r="V98" i="10"/>
  <c r="S98" i="10"/>
  <c r="Q98" i="10"/>
  <c r="V96" i="10"/>
  <c r="T96" i="10"/>
  <c r="U96" i="10"/>
  <c r="S96" i="10"/>
  <c r="Q96" i="10"/>
  <c r="R96" i="10"/>
  <c r="U94" i="10"/>
  <c r="R94" i="10"/>
  <c r="V94" i="10"/>
  <c r="T94" i="10"/>
  <c r="S94" i="10"/>
  <c r="Q94" i="10"/>
  <c r="V92" i="10"/>
  <c r="T92" i="10"/>
  <c r="S92" i="10"/>
  <c r="U92" i="10"/>
  <c r="Q92" i="10"/>
  <c r="R92" i="10"/>
  <c r="U90" i="10"/>
  <c r="V90" i="10"/>
  <c r="T90" i="10"/>
  <c r="R90" i="10"/>
  <c r="S90" i="10"/>
  <c r="Q90" i="10"/>
  <c r="V88" i="10"/>
  <c r="T88" i="10"/>
  <c r="S88" i="10"/>
  <c r="U88" i="10"/>
  <c r="Q88" i="10"/>
  <c r="R88" i="10"/>
  <c r="U86" i="10"/>
  <c r="V86" i="10"/>
  <c r="R86" i="10"/>
  <c r="T86" i="10"/>
  <c r="S86" i="10"/>
  <c r="Q86" i="10"/>
  <c r="V84" i="10"/>
  <c r="T84" i="10"/>
  <c r="U84" i="10"/>
  <c r="S84" i="10"/>
  <c r="R84" i="10"/>
  <c r="Q84" i="10"/>
  <c r="U82" i="10"/>
  <c r="T82" i="10"/>
  <c r="R82" i="10"/>
  <c r="V82" i="10"/>
  <c r="S82" i="10"/>
  <c r="Q82" i="10"/>
  <c r="V80" i="10"/>
  <c r="T80" i="10"/>
  <c r="U80" i="10"/>
  <c r="S80" i="10"/>
  <c r="Q80" i="10"/>
  <c r="R80" i="10"/>
  <c r="U78" i="10"/>
  <c r="R78" i="10"/>
  <c r="V78" i="10"/>
  <c r="S78" i="10"/>
  <c r="T78" i="10"/>
  <c r="Q78" i="10"/>
  <c r="V76" i="10"/>
  <c r="T76" i="10"/>
  <c r="S76" i="10"/>
  <c r="Q76" i="10"/>
  <c r="U76" i="10"/>
  <c r="R76" i="10"/>
  <c r="U74" i="10"/>
  <c r="V74" i="10"/>
  <c r="T74" i="10"/>
  <c r="R74" i="10"/>
  <c r="S74" i="10"/>
  <c r="Q74" i="10"/>
  <c r="V72" i="10"/>
  <c r="T72" i="10"/>
  <c r="S72" i="10"/>
  <c r="U72" i="10"/>
  <c r="Q72" i="10"/>
  <c r="R72" i="10"/>
  <c r="U70" i="10"/>
  <c r="V70" i="10"/>
  <c r="R70" i="10"/>
  <c r="S70" i="10"/>
  <c r="T70" i="10"/>
  <c r="Q70" i="10"/>
  <c r="V68" i="10"/>
  <c r="T68" i="10"/>
  <c r="U68" i="10"/>
  <c r="S68" i="10"/>
  <c r="R68" i="10"/>
  <c r="Q68" i="10"/>
  <c r="U66" i="10"/>
  <c r="T66" i="10"/>
  <c r="R66" i="10"/>
  <c r="V66" i="10"/>
  <c r="S66" i="10"/>
  <c r="Q66" i="10"/>
  <c r="V64" i="10"/>
  <c r="T64" i="10"/>
  <c r="U64" i="10"/>
  <c r="S64" i="10"/>
  <c r="Q64" i="10"/>
  <c r="R64" i="10"/>
  <c r="U62" i="10"/>
  <c r="R62" i="10"/>
  <c r="V62" i="10"/>
  <c r="T62" i="10"/>
  <c r="S62" i="10"/>
  <c r="Q62" i="10"/>
  <c r="V60" i="10"/>
  <c r="T60" i="10"/>
  <c r="S60" i="10"/>
  <c r="Q60" i="10"/>
  <c r="U60" i="10"/>
  <c r="R60" i="10"/>
  <c r="U58" i="10"/>
  <c r="V58" i="10"/>
  <c r="T58" i="10"/>
  <c r="R58" i="10"/>
  <c r="S58" i="10"/>
  <c r="Q58" i="10"/>
  <c r="V56" i="10"/>
  <c r="T56" i="10"/>
  <c r="S56" i="10"/>
  <c r="U56" i="10"/>
  <c r="Q56" i="10"/>
  <c r="R56" i="10"/>
  <c r="U54" i="10"/>
  <c r="V54" i="10"/>
  <c r="R54" i="10"/>
  <c r="T54" i="10"/>
  <c r="S54" i="10"/>
  <c r="Q54" i="10"/>
  <c r="V52" i="10"/>
  <c r="T52" i="10"/>
  <c r="U52" i="10"/>
  <c r="S52" i="10"/>
  <c r="R52" i="10"/>
  <c r="Q52" i="10"/>
  <c r="N52" i="10"/>
  <c r="P52" i="10" s="1"/>
  <c r="N50" i="10"/>
  <c r="P50" i="10" s="1"/>
  <c r="N48" i="10"/>
  <c r="P48" i="10" s="1"/>
  <c r="N46" i="10"/>
  <c r="P46" i="10" s="1"/>
  <c r="N44" i="10"/>
  <c r="P44" i="10" s="1"/>
  <c r="N42" i="10"/>
  <c r="P42" i="10" s="1"/>
  <c r="N40" i="10"/>
  <c r="P40" i="10" s="1"/>
  <c r="N38" i="10"/>
  <c r="P38" i="10" s="1"/>
  <c r="N36" i="10"/>
  <c r="P36" i="10" s="1"/>
  <c r="N34" i="10"/>
  <c r="P34" i="10" s="1"/>
  <c r="N32" i="10"/>
  <c r="P32" i="10" s="1"/>
  <c r="N30" i="10"/>
  <c r="P30" i="10" s="1"/>
  <c r="L30" i="10"/>
  <c r="N28" i="10"/>
  <c r="P28" i="10" s="1"/>
  <c r="L28" i="10"/>
  <c r="N26" i="10"/>
  <c r="P26" i="10" s="1"/>
  <c r="L26" i="10"/>
  <c r="N24" i="10"/>
  <c r="P24" i="10" s="1"/>
  <c r="N22" i="10"/>
  <c r="P22" i="10" s="1"/>
  <c r="N20" i="10"/>
  <c r="P20" i="10" s="1"/>
  <c r="N18" i="10"/>
  <c r="P18" i="10" s="1"/>
  <c r="N16" i="10"/>
  <c r="P16" i="10" s="1"/>
  <c r="N12" i="10"/>
  <c r="P12" i="10" s="1"/>
  <c r="N8" i="10"/>
  <c r="P8" i="10" s="1"/>
  <c r="N119" i="10"/>
  <c r="P119" i="10" s="1"/>
  <c r="N117" i="10"/>
  <c r="P117" i="10" s="1"/>
  <c r="N115" i="10"/>
  <c r="P115" i="10" s="1"/>
  <c r="N113" i="10"/>
  <c r="P113" i="10" s="1"/>
  <c r="N111" i="10"/>
  <c r="P111" i="10" s="1"/>
  <c r="N109" i="10"/>
  <c r="P109" i="10" s="1"/>
  <c r="N107" i="10"/>
  <c r="P107" i="10" s="1"/>
  <c r="N105" i="10"/>
  <c r="P105" i="10" s="1"/>
  <c r="N103" i="10"/>
  <c r="P103" i="10" s="1"/>
  <c r="N101" i="10"/>
  <c r="P101" i="10" s="1"/>
  <c r="N99" i="10"/>
  <c r="P99" i="10" s="1"/>
  <c r="N97" i="10"/>
  <c r="P97" i="10" s="1"/>
  <c r="N95" i="10"/>
  <c r="P95" i="10" s="1"/>
  <c r="N93" i="10"/>
  <c r="P93" i="10" s="1"/>
  <c r="N91" i="10"/>
  <c r="P91" i="10" s="1"/>
  <c r="N89" i="10"/>
  <c r="P89" i="10" s="1"/>
  <c r="N87" i="10"/>
  <c r="P87" i="10" s="1"/>
  <c r="N85" i="10"/>
  <c r="P85" i="10" s="1"/>
  <c r="N83" i="10"/>
  <c r="P83" i="10" s="1"/>
  <c r="N81" i="10"/>
  <c r="P81" i="10" s="1"/>
  <c r="N79" i="10"/>
  <c r="P79" i="10" s="1"/>
  <c r="N77" i="10"/>
  <c r="P77" i="10" s="1"/>
  <c r="N75" i="10"/>
  <c r="P75" i="10" s="1"/>
  <c r="N73" i="10"/>
  <c r="P73" i="10" s="1"/>
  <c r="N71" i="10"/>
  <c r="P71" i="10" s="1"/>
  <c r="N69" i="10"/>
  <c r="P69" i="10" s="1"/>
  <c r="N67" i="10"/>
  <c r="P67" i="10" s="1"/>
  <c r="N65" i="10"/>
  <c r="P65" i="10" s="1"/>
  <c r="N63" i="10"/>
  <c r="P63" i="10" s="1"/>
  <c r="N61" i="10"/>
  <c r="P61" i="10" s="1"/>
  <c r="N59" i="10"/>
  <c r="P59" i="10" s="1"/>
  <c r="N57" i="10"/>
  <c r="P57" i="10" s="1"/>
  <c r="N55" i="10"/>
  <c r="P55" i="10" s="1"/>
  <c r="N53" i="10"/>
  <c r="P53" i="10" s="1"/>
  <c r="N51" i="10"/>
  <c r="P51" i="10" s="1"/>
  <c r="N49" i="10"/>
  <c r="P49" i="10" s="1"/>
  <c r="N47" i="10"/>
  <c r="P47" i="10" s="1"/>
  <c r="N45" i="10"/>
  <c r="P45" i="10" s="1"/>
  <c r="N43" i="10"/>
  <c r="P43" i="10" s="1"/>
  <c r="N41" i="10"/>
  <c r="P41" i="10" s="1"/>
  <c r="N39" i="10"/>
  <c r="P39" i="10" s="1"/>
  <c r="N37" i="10"/>
  <c r="P37" i="10" s="1"/>
  <c r="N35" i="10"/>
  <c r="P35" i="10" s="1"/>
  <c r="N33" i="10"/>
  <c r="P33" i="10" s="1"/>
  <c r="N31" i="10"/>
  <c r="P31" i="10" s="1"/>
  <c r="N29" i="10"/>
  <c r="P29" i="10" s="1"/>
  <c r="L29" i="10"/>
  <c r="N27" i="10"/>
  <c r="P27" i="10" s="1"/>
  <c r="L27" i="10"/>
  <c r="N25" i="10"/>
  <c r="P25" i="10" s="1"/>
  <c r="L25" i="10"/>
  <c r="N23" i="10"/>
  <c r="P23" i="10" s="1"/>
  <c r="N21" i="10"/>
  <c r="P21" i="10" s="1"/>
  <c r="N19" i="10"/>
  <c r="P19" i="10" s="1"/>
  <c r="L19" i="10"/>
  <c r="N17" i="10"/>
  <c r="P17" i="10" s="1"/>
  <c r="L17" i="10"/>
  <c r="N15" i="10"/>
  <c r="P15" i="10" s="1"/>
  <c r="N9" i="10"/>
  <c r="P9" i="10" s="1"/>
  <c r="N120" i="10"/>
  <c r="P120" i="10" s="1"/>
  <c r="N118" i="10"/>
  <c r="P118" i="10" s="1"/>
  <c r="N116" i="10"/>
  <c r="P116" i="10" s="1"/>
  <c r="N114" i="10"/>
  <c r="P114" i="10" s="1"/>
  <c r="N112" i="10"/>
  <c r="P112" i="10" s="1"/>
  <c r="N110" i="10"/>
  <c r="P110" i="10" s="1"/>
  <c r="N108" i="10"/>
  <c r="P108" i="10" s="1"/>
  <c r="N106" i="10"/>
  <c r="P106" i="10" s="1"/>
  <c r="N104" i="10"/>
  <c r="P104" i="10" s="1"/>
  <c r="N102" i="10"/>
  <c r="P102" i="10" s="1"/>
  <c r="N100" i="10"/>
  <c r="P100" i="10" s="1"/>
  <c r="N98" i="10"/>
  <c r="P98" i="10" s="1"/>
  <c r="N96" i="10"/>
  <c r="P96" i="10" s="1"/>
  <c r="N94" i="10"/>
  <c r="P94" i="10" s="1"/>
  <c r="N92" i="10"/>
  <c r="P92" i="10" s="1"/>
  <c r="N90" i="10"/>
  <c r="P90" i="10" s="1"/>
  <c r="N88" i="10"/>
  <c r="P88" i="10" s="1"/>
  <c r="N86" i="10"/>
  <c r="P86" i="10" s="1"/>
  <c r="N84" i="10"/>
  <c r="P84" i="10" s="1"/>
  <c r="N82" i="10"/>
  <c r="P82" i="10" s="1"/>
  <c r="N80" i="10"/>
  <c r="P80" i="10" s="1"/>
  <c r="N78" i="10"/>
  <c r="P78" i="10" s="1"/>
  <c r="N76" i="10"/>
  <c r="P76" i="10" s="1"/>
  <c r="N74" i="10"/>
  <c r="P74" i="10" s="1"/>
  <c r="N72" i="10"/>
  <c r="P72" i="10" s="1"/>
  <c r="N70" i="10"/>
  <c r="P70" i="10" s="1"/>
  <c r="N68" i="10"/>
  <c r="P68" i="10" s="1"/>
  <c r="N66" i="10"/>
  <c r="P66" i="10" s="1"/>
  <c r="N64" i="10"/>
  <c r="P64" i="10" s="1"/>
  <c r="N62" i="10"/>
  <c r="P62" i="10" s="1"/>
  <c r="N60" i="10"/>
  <c r="P60" i="10" s="1"/>
  <c r="N58" i="10"/>
  <c r="P58" i="10" s="1"/>
  <c r="N56" i="10"/>
  <c r="P56" i="10" s="1"/>
  <c r="N54" i="10"/>
  <c r="P54" i="10" s="1"/>
  <c r="L50" i="10"/>
  <c r="L46" i="10"/>
  <c r="L45" i="10"/>
  <c r="K30" i="10"/>
  <c r="L113" i="10"/>
  <c r="K107" i="10"/>
  <c r="K103" i="10"/>
  <c r="L102" i="10"/>
  <c r="L101" i="10"/>
  <c r="L99" i="10"/>
  <c r="L91" i="10"/>
  <c r="L89" i="10"/>
  <c r="L86" i="10"/>
  <c r="L83" i="10"/>
  <c r="L81" i="10"/>
  <c r="K75" i="10"/>
  <c r="L74" i="10"/>
  <c r="L73" i="10"/>
  <c r="L70" i="10"/>
  <c r="K67" i="10"/>
  <c r="L66" i="10"/>
  <c r="L65" i="10"/>
  <c r="L63" i="10"/>
  <c r="K59" i="10"/>
  <c r="L54" i="10"/>
  <c r="L53" i="10"/>
  <c r="K52" i="10"/>
  <c r="K51" i="10"/>
  <c r="K38" i="10"/>
  <c r="K36" i="10"/>
  <c r="L33" i="10"/>
  <c r="K21" i="10"/>
  <c r="K20" i="10"/>
  <c r="I12" i="10"/>
  <c r="L117" i="10"/>
  <c r="K115" i="10"/>
  <c r="O11" i="10"/>
  <c r="L9" i="10"/>
  <c r="L43" i="10"/>
  <c r="L42" i="10"/>
  <c r="L41" i="10"/>
  <c r="L39" i="10"/>
  <c r="L38" i="10"/>
  <c r="L37" i="10"/>
  <c r="L36" i="10"/>
  <c r="L35" i="10"/>
  <c r="L31" i="10"/>
  <c r="L20" i="10"/>
  <c r="O8" i="10"/>
  <c r="O24" i="10"/>
  <c r="O23" i="10"/>
  <c r="O18" i="10"/>
  <c r="O16" i="10"/>
  <c r="O15" i="10"/>
  <c r="O12" i="10"/>
  <c r="O48" i="10"/>
  <c r="O47" i="10"/>
  <c r="O44" i="10"/>
  <c r="O40" i="10"/>
  <c r="O34" i="10"/>
  <c r="O32" i="10"/>
  <c r="O5" i="10"/>
  <c r="O120" i="10"/>
  <c r="O119" i="10"/>
  <c r="O112" i="10"/>
  <c r="O111" i="10"/>
  <c r="O104" i="10"/>
  <c r="O98" i="10"/>
  <c r="O96" i="10"/>
  <c r="O88" i="10"/>
  <c r="O87" i="10"/>
  <c r="O82" i="10"/>
  <c r="O80" i="10"/>
  <c r="O79" i="10"/>
  <c r="O76" i="10"/>
  <c r="O72" i="10"/>
  <c r="O64" i="10"/>
  <c r="O60" i="10"/>
  <c r="O56" i="10"/>
  <c r="O55" i="10"/>
  <c r="B95" i="9"/>
  <c r="O66" i="10"/>
  <c r="O65" i="10"/>
  <c r="O49" i="10"/>
  <c r="O33" i="10"/>
  <c r="O17" i="10"/>
  <c r="O113" i="10"/>
  <c r="O97" i="10"/>
  <c r="O81" i="10"/>
  <c r="O75" i="10"/>
  <c r="O51" i="10"/>
  <c r="O43" i="10"/>
  <c r="O35" i="10"/>
  <c r="O27" i="10"/>
  <c r="O19" i="10"/>
  <c r="O110" i="10"/>
  <c r="O94" i="10"/>
  <c r="O78" i="10"/>
  <c r="O62" i="10"/>
  <c r="O46" i="10"/>
  <c r="O30" i="10"/>
  <c r="O115" i="10"/>
  <c r="O83" i="10"/>
  <c r="O108" i="10"/>
  <c r="O92" i="10"/>
  <c r="O28" i="10"/>
  <c r="O107" i="10"/>
  <c r="O67" i="10"/>
  <c r="O59" i="10"/>
  <c r="O106" i="10"/>
  <c r="O90" i="10"/>
  <c r="O74" i="10"/>
  <c r="O58" i="10"/>
  <c r="O42" i="10"/>
  <c r="O26" i="10"/>
  <c r="O91" i="10"/>
  <c r="O103" i="10"/>
  <c r="O95" i="10"/>
  <c r="O71" i="10"/>
  <c r="O63" i="10"/>
  <c r="O105" i="10"/>
  <c r="O89" i="10"/>
  <c r="O73" i="10"/>
  <c r="O57" i="10"/>
  <c r="O41" i="10"/>
  <c r="O25" i="10"/>
  <c r="O9" i="10"/>
  <c r="O99" i="10"/>
  <c r="O39" i="10"/>
  <c r="O31" i="10"/>
  <c r="O7" i="10"/>
  <c r="O118" i="10"/>
  <c r="O102" i="10"/>
  <c r="O86" i="10"/>
  <c r="O70" i="10"/>
  <c r="O54" i="10"/>
  <c r="O38" i="10"/>
  <c r="O22" i="10"/>
  <c r="O6" i="10"/>
  <c r="O4" i="10"/>
  <c r="O117" i="10"/>
  <c r="O109" i="10"/>
  <c r="O101" i="10"/>
  <c r="O93" i="10"/>
  <c r="O85" i="10"/>
  <c r="O77" i="10"/>
  <c r="O69" i="10"/>
  <c r="O61" i="10"/>
  <c r="O53" i="10"/>
  <c r="O116" i="10"/>
  <c r="O100" i="10"/>
  <c r="O84" i="10"/>
  <c r="O68" i="10"/>
  <c r="O52" i="10"/>
  <c r="O36" i="10"/>
  <c r="O20" i="10"/>
  <c r="O45" i="10"/>
  <c r="O37" i="10"/>
  <c r="O29" i="10"/>
  <c r="O21" i="10"/>
  <c r="O114" i="10"/>
  <c r="O50" i="10"/>
  <c r="N10" i="10" l="1"/>
  <c r="P10" i="10" s="1"/>
  <c r="N14" i="10"/>
  <c r="P14" i="10" s="1"/>
  <c r="N13" i="10"/>
  <c r="P13" i="10" s="1"/>
  <c r="I10" i="10"/>
  <c r="L10" i="10" s="1"/>
  <c r="I14" i="10"/>
  <c r="L14" i="10" s="1"/>
  <c r="I13" i="10"/>
  <c r="L13" i="10" s="1"/>
  <c r="O3" i="10"/>
  <c r="K3" i="10"/>
  <c r="C39" i="11" s="1" a="1"/>
  <c r="C39" i="11" s="1"/>
  <c r="I4" i="10"/>
  <c r="L4" i="10" s="1"/>
  <c r="L3" i="10"/>
  <c r="I7" i="10"/>
  <c r="D11" i="11"/>
  <c r="D23" i="11" s="1"/>
  <c r="D24" i="11" s="1"/>
  <c r="D29" i="11" s="1"/>
  <c r="D30" i="11" s="1"/>
  <c r="D43" i="11" s="1"/>
  <c r="C23" i="11"/>
  <c r="C24" i="11" s="1"/>
  <c r="C29" i="11" s="1"/>
  <c r="K65" i="10"/>
  <c r="K73" i="10"/>
  <c r="C65" i="11"/>
  <c r="C66" i="11" s="1"/>
  <c r="D71" i="11"/>
  <c r="I6" i="10"/>
  <c r="K53" i="10"/>
  <c r="C71" i="11"/>
  <c r="C68" i="11"/>
  <c r="C69" i="11" s="1"/>
  <c r="K11" i="10"/>
  <c r="I11" i="10"/>
  <c r="D68" i="11" s="1"/>
  <c r="K99" i="10"/>
  <c r="K46" i="10"/>
  <c r="K83" i="10"/>
  <c r="K113" i="10"/>
  <c r="K50" i="10"/>
  <c r="K63" i="10"/>
  <c r="K91" i="10"/>
  <c r="K45" i="10"/>
  <c r="C36" i="11"/>
  <c r="K66" i="10"/>
  <c r="K54" i="10"/>
  <c r="K70" i="10"/>
  <c r="K86" i="10"/>
  <c r="K102" i="10"/>
  <c r="K74" i="10"/>
  <c r="K117" i="10"/>
  <c r="K81" i="10"/>
  <c r="K89" i="10"/>
  <c r="L58" i="10"/>
  <c r="L62" i="10"/>
  <c r="L78" i="10"/>
  <c r="L90" i="10"/>
  <c r="L94" i="10"/>
  <c r="L106" i="10"/>
  <c r="L110" i="10"/>
  <c r="L114" i="10"/>
  <c r="L118" i="10"/>
  <c r="L51" i="10"/>
  <c r="L57" i="10"/>
  <c r="L61" i="10"/>
  <c r="L69" i="10"/>
  <c r="L77" i="10"/>
  <c r="L85" i="10"/>
  <c r="L93" i="10"/>
  <c r="L97" i="10"/>
  <c r="L105" i="10"/>
  <c r="L109" i="10"/>
  <c r="L22" i="10"/>
  <c r="K33" i="10"/>
  <c r="L68" i="10"/>
  <c r="L84" i="10"/>
  <c r="L92" i="10"/>
  <c r="L100" i="10"/>
  <c r="L108" i="10"/>
  <c r="L116" i="10"/>
  <c r="L21" i="10"/>
  <c r="L49" i="10"/>
  <c r="L59" i="10"/>
  <c r="L67" i="10"/>
  <c r="L71" i="10"/>
  <c r="L75" i="10"/>
  <c r="L95" i="10"/>
  <c r="L103" i="10"/>
  <c r="L107" i="10"/>
  <c r="L115" i="10"/>
  <c r="L52" i="10"/>
  <c r="N11" i="10"/>
  <c r="P11" i="10" s="1"/>
  <c r="D36" i="11" s="1"/>
  <c r="K56" i="10"/>
  <c r="L56" i="10"/>
  <c r="K80" i="10"/>
  <c r="L80" i="10"/>
  <c r="K96" i="10"/>
  <c r="L96" i="10"/>
  <c r="K120" i="10"/>
  <c r="L120" i="10"/>
  <c r="K40" i="10"/>
  <c r="L40" i="10"/>
  <c r="K18" i="10"/>
  <c r="L18" i="10"/>
  <c r="L55" i="10"/>
  <c r="K55" i="10"/>
  <c r="K72" i="10"/>
  <c r="L72" i="10"/>
  <c r="K82" i="10"/>
  <c r="L82" i="10"/>
  <c r="K98" i="10"/>
  <c r="L98" i="10"/>
  <c r="L119" i="10"/>
  <c r="K119" i="10"/>
  <c r="K34" i="10"/>
  <c r="L34" i="10"/>
  <c r="K12" i="10"/>
  <c r="L12" i="10"/>
  <c r="K16" i="10"/>
  <c r="L16" i="10"/>
  <c r="K64" i="10"/>
  <c r="L64" i="10"/>
  <c r="L87" i="10"/>
  <c r="K87" i="10"/>
  <c r="K104" i="10"/>
  <c r="L104" i="10"/>
  <c r="K32" i="10"/>
  <c r="L32" i="10"/>
  <c r="L47" i="10"/>
  <c r="K47" i="10"/>
  <c r="L15" i="10"/>
  <c r="K15" i="10"/>
  <c r="K24" i="10"/>
  <c r="L24" i="10"/>
  <c r="K8" i="10"/>
  <c r="L8" i="10"/>
  <c r="K60" i="10"/>
  <c r="L60" i="10"/>
  <c r="L79" i="10"/>
  <c r="K79" i="10"/>
  <c r="K88" i="10"/>
  <c r="L88" i="10"/>
  <c r="L111" i="10"/>
  <c r="K111" i="10"/>
  <c r="K5" i="10"/>
  <c r="L5" i="10"/>
  <c r="K44" i="10"/>
  <c r="L44" i="10"/>
  <c r="K48" i="10"/>
  <c r="L48" i="10"/>
  <c r="L23" i="10"/>
  <c r="K23" i="10"/>
  <c r="K76" i="10"/>
  <c r="L76" i="10"/>
  <c r="K112" i="10"/>
  <c r="L112" i="10"/>
  <c r="C34" i="2"/>
  <c r="C33" i="2"/>
  <c r="C32" i="2"/>
  <c r="C31" i="2"/>
  <c r="C30" i="2"/>
  <c r="C29" i="2"/>
  <c r="C28" i="2"/>
  <c r="C30" i="11" l="1"/>
  <c r="C43" i="11" s="1"/>
  <c r="F24" i="13" a="1"/>
  <c r="D65" i="11"/>
  <c r="D66" i="11" s="1"/>
  <c r="L6" i="10"/>
  <c r="D69" i="11"/>
  <c r="C72" i="11"/>
  <c r="C73" i="11" s="1"/>
  <c r="C10" i="11"/>
  <c r="C42" i="11" a="1"/>
  <c r="C42" i="11" s="1"/>
  <c r="C41" i="11" a="1"/>
  <c r="C41" i="11" s="1"/>
  <c r="C40" i="11" a="1"/>
  <c r="C40" i="11" s="1"/>
  <c r="L11" i="10"/>
  <c r="L7" i="10"/>
  <c r="H31" i="13" l="1" a="1"/>
  <c r="H31" i="13" s="1"/>
  <c r="H94" i="13" a="1"/>
  <c r="H94" i="13" s="1"/>
  <c r="H30" i="13" a="1"/>
  <c r="H30" i="13" s="1"/>
  <c r="H64" i="13" a="1"/>
  <c r="H64" i="13" s="1"/>
  <c r="I64" i="13" s="1"/>
  <c r="H135" i="13" a="1"/>
  <c r="H135" i="13" s="1"/>
  <c r="C135" i="13" s="1"/>
  <c r="H50" i="13" a="1"/>
  <c r="H50" i="13" s="1"/>
  <c r="C50" i="13" s="1"/>
  <c r="H112" i="13" a="1"/>
  <c r="H112" i="13" s="1"/>
  <c r="C112" i="13" s="1"/>
  <c r="H26" i="13" a="1"/>
  <c r="H26" i="13" s="1"/>
  <c r="C26" i="13" s="1"/>
  <c r="H89" i="13" a="1"/>
  <c r="H89" i="13" s="1"/>
  <c r="H84" i="13" a="1"/>
  <c r="H84" i="13" s="1"/>
  <c r="H60" i="13" a="1"/>
  <c r="H60" i="13" s="1"/>
  <c r="H122" i="13" a="1"/>
  <c r="H122" i="13" s="1"/>
  <c r="C122" i="13" s="1"/>
  <c r="H77" i="13" a="1"/>
  <c r="H77" i="13" s="1"/>
  <c r="C77" i="13" s="1"/>
  <c r="H83" i="13" a="1"/>
  <c r="H83" i="13" s="1"/>
  <c r="C83" i="13" s="1"/>
  <c r="H29" i="13" a="1"/>
  <c r="H29" i="13" s="1"/>
  <c r="C29" i="13" s="1"/>
  <c r="H107" i="13" a="1"/>
  <c r="H107" i="13" s="1"/>
  <c r="C107" i="13" s="1"/>
  <c r="H132" i="13" a="1"/>
  <c r="H132" i="13" s="1"/>
  <c r="C132" i="13" s="1"/>
  <c r="H92" i="13" a="1"/>
  <c r="H92" i="13" s="1"/>
  <c r="H37" i="13" a="1"/>
  <c r="H37" i="13" s="1"/>
  <c r="H40" i="13" a="1"/>
  <c r="H40" i="13" s="1"/>
  <c r="C40" i="13" s="1"/>
  <c r="H102" i="13" a="1"/>
  <c r="H102" i="13" s="1"/>
  <c r="H93" i="13" a="1"/>
  <c r="H93" i="13" s="1"/>
  <c r="C93" i="13" s="1"/>
  <c r="H79" i="13" a="1"/>
  <c r="H79" i="13" s="1"/>
  <c r="C79" i="13" s="1"/>
  <c r="H69" i="13" a="1"/>
  <c r="H69" i="13" s="1"/>
  <c r="C69" i="13" s="1"/>
  <c r="H58" i="13" a="1"/>
  <c r="H58" i="13" s="1"/>
  <c r="C58" i="13" s="1"/>
  <c r="H120" i="13" a="1"/>
  <c r="H120" i="13" s="1"/>
  <c r="H34" i="13" a="1"/>
  <c r="H34" i="13" s="1"/>
  <c r="H97" i="13" a="1"/>
  <c r="H97" i="13" s="1"/>
  <c r="C97" i="13" s="1"/>
  <c r="H140" i="13" a="1"/>
  <c r="H140" i="13" s="1"/>
  <c r="C140" i="13" s="1"/>
  <c r="H67" i="13" a="1"/>
  <c r="H67" i="13" s="1"/>
  <c r="C67" i="13" s="1"/>
  <c r="H130" i="13" a="1"/>
  <c r="H130" i="13" s="1"/>
  <c r="C130" i="13" s="1"/>
  <c r="H117" i="13" a="1"/>
  <c r="H117" i="13" s="1"/>
  <c r="C117" i="13" s="1"/>
  <c r="H91" i="13" a="1"/>
  <c r="H91" i="13" s="1"/>
  <c r="C91" i="13" s="1"/>
  <c r="H100" i="13" a="1"/>
  <c r="H100" i="13" s="1"/>
  <c r="I100" i="13" s="1"/>
  <c r="H106" i="13" a="1"/>
  <c r="H106" i="13" s="1"/>
  <c r="H86" i="13" a="1"/>
  <c r="H86" i="13" s="1"/>
  <c r="C86" i="13" s="1"/>
  <c r="H52" i="13" a="1"/>
  <c r="H52" i="13" s="1"/>
  <c r="C52" i="13" s="1"/>
  <c r="H48" i="13" a="1"/>
  <c r="H48" i="13" s="1"/>
  <c r="C48" i="13" s="1"/>
  <c r="H110" i="13" a="1"/>
  <c r="H110" i="13" s="1"/>
  <c r="C110" i="13" s="1"/>
  <c r="H141" i="13" a="1"/>
  <c r="H141" i="13" s="1"/>
  <c r="I141" i="13" s="1"/>
  <c r="H87" i="13" a="1"/>
  <c r="H87" i="13" s="1"/>
  <c r="I87" i="13" s="1"/>
  <c r="H124" i="13" a="1"/>
  <c r="H124" i="13" s="1"/>
  <c r="C124" i="13" s="1"/>
  <c r="H65" i="13" a="1"/>
  <c r="H65" i="13" s="1"/>
  <c r="I65" i="13" s="1"/>
  <c r="H128" i="13" a="1"/>
  <c r="H128" i="13" s="1"/>
  <c r="I128" i="13" s="1"/>
  <c r="H43" i="13" a="1"/>
  <c r="H43" i="13" s="1"/>
  <c r="C43" i="13" s="1"/>
  <c r="H105" i="13" a="1"/>
  <c r="H105" i="13" s="1"/>
  <c r="I105" i="13" s="1"/>
  <c r="H55" i="13" a="1"/>
  <c r="H55" i="13" s="1"/>
  <c r="I55" i="13" s="1"/>
  <c r="H74" i="13" a="1"/>
  <c r="H74" i="13" s="1"/>
  <c r="C74" i="13" s="1"/>
  <c r="H138" i="13" a="1"/>
  <c r="H138" i="13" s="1"/>
  <c r="C138" i="13" s="1"/>
  <c r="H28" i="13" a="1"/>
  <c r="H28" i="13" s="1"/>
  <c r="C28" i="13" s="1"/>
  <c r="H99" i="13" a="1"/>
  <c r="H99" i="13" s="1"/>
  <c r="I99" i="13" s="1"/>
  <c r="H47" i="13" a="1"/>
  <c r="H47" i="13" s="1"/>
  <c r="C47" i="13" s="1"/>
  <c r="H131" i="13" a="1"/>
  <c r="H131" i="13" s="1"/>
  <c r="C131" i="13" s="1"/>
  <c r="H104" i="13" a="1"/>
  <c r="H104" i="13" s="1"/>
  <c r="C104" i="13" s="1"/>
  <c r="H75" i="13" a="1"/>
  <c r="H75" i="13" s="1"/>
  <c r="C75" i="13" s="1"/>
  <c r="H56" i="13" a="1"/>
  <c r="H56" i="13" s="1"/>
  <c r="C56" i="13" s="1"/>
  <c r="H118" i="13" a="1"/>
  <c r="H118" i="13" s="1"/>
  <c r="I118" i="13" s="1"/>
  <c r="H38" i="13" a="1"/>
  <c r="H38" i="13" s="1"/>
  <c r="C38" i="13" s="1"/>
  <c r="H95" i="13" a="1"/>
  <c r="H95" i="13" s="1"/>
  <c r="C95" i="13" s="1"/>
  <c r="H70" i="13" a="1"/>
  <c r="H70" i="13" s="1"/>
  <c r="C70" i="13" s="1"/>
  <c r="H72" i="13" a="1"/>
  <c r="H72" i="13" s="1"/>
  <c r="C72" i="13" s="1"/>
  <c r="H136" i="13" a="1"/>
  <c r="H136" i="13" s="1"/>
  <c r="C136" i="13" s="1"/>
  <c r="H51" i="13" a="1"/>
  <c r="H51" i="13" s="1"/>
  <c r="C51" i="13" s="1"/>
  <c r="H113" i="13" a="1"/>
  <c r="H113" i="13" s="1"/>
  <c r="C113" i="13" s="1"/>
  <c r="H101" i="13" a="1"/>
  <c r="H101" i="13" s="1"/>
  <c r="C101" i="13" s="1"/>
  <c r="H82" i="13" a="1"/>
  <c r="H82" i="13" s="1"/>
  <c r="C82" i="13" s="1"/>
  <c r="H54" i="13" a="1"/>
  <c r="H54" i="13" s="1"/>
  <c r="C54" i="13" s="1"/>
  <c r="H36" i="13" a="1"/>
  <c r="H36" i="13" s="1"/>
  <c r="I36" i="13" s="1"/>
  <c r="H85" i="13" a="1"/>
  <c r="H85" i="13" s="1"/>
  <c r="C85" i="13" s="1"/>
  <c r="H127" i="13" a="1"/>
  <c r="H127" i="13" s="1"/>
  <c r="C127" i="13" s="1"/>
  <c r="H139" i="13" a="1"/>
  <c r="H139" i="13" s="1"/>
  <c r="C139" i="13" s="1"/>
  <c r="H63" i="13" a="1"/>
  <c r="H63" i="13" s="1"/>
  <c r="C63" i="13" s="1"/>
  <c r="H126" i="13" a="1"/>
  <c r="H126" i="13" s="1"/>
  <c r="C126" i="13" s="1"/>
  <c r="H32" i="13" a="1"/>
  <c r="H32" i="13" s="1"/>
  <c r="C32" i="13" s="1"/>
  <c r="H103" i="13" a="1"/>
  <c r="H103" i="13" s="1"/>
  <c r="C103" i="13" s="1"/>
  <c r="H125" i="13" a="1"/>
  <c r="H125" i="13" s="1"/>
  <c r="C125" i="13" s="1"/>
  <c r="H80" i="13" a="1"/>
  <c r="H80" i="13" s="1"/>
  <c r="C80" i="13" s="1"/>
  <c r="H61" i="13" a="1"/>
  <c r="H61" i="13" s="1"/>
  <c r="I61" i="13" s="1"/>
  <c r="H59" i="13" a="1"/>
  <c r="H59" i="13" s="1"/>
  <c r="I59" i="13" s="1"/>
  <c r="H121" i="13" a="1"/>
  <c r="H121" i="13" s="1"/>
  <c r="I121" i="13" s="1"/>
  <c r="H27" i="13" a="1"/>
  <c r="H27" i="13" s="1"/>
  <c r="I27" i="13" s="1"/>
  <c r="H90" i="13" a="1"/>
  <c r="H90" i="13" s="1"/>
  <c r="C90" i="13" s="1"/>
  <c r="H76" i="13" a="1"/>
  <c r="H76" i="13" s="1"/>
  <c r="C76" i="13" s="1"/>
  <c r="H45" i="13" a="1"/>
  <c r="H45" i="13" s="1"/>
  <c r="C45" i="13" s="1"/>
  <c r="H115" i="13" a="1"/>
  <c r="H115" i="13" s="1"/>
  <c r="C115" i="13" s="1"/>
  <c r="H133" i="13" a="1"/>
  <c r="H133" i="13" s="1"/>
  <c r="C133" i="13" s="1"/>
  <c r="H46" i="13" a="1"/>
  <c r="H46" i="13" s="1"/>
  <c r="C46" i="13" s="1"/>
  <c r="H119" i="13" a="1"/>
  <c r="H119" i="13" s="1"/>
  <c r="C119" i="13" s="1"/>
  <c r="H96" i="13" a="1"/>
  <c r="H96" i="13" s="1"/>
  <c r="C96" i="13" s="1"/>
  <c r="H73" i="13" a="1"/>
  <c r="H73" i="13" s="1"/>
  <c r="C73" i="13" s="1"/>
  <c r="H44" i="13" a="1"/>
  <c r="H44" i="13" s="1"/>
  <c r="C44" i="13" s="1"/>
  <c r="H42" i="13" a="1"/>
  <c r="H42" i="13" s="1"/>
  <c r="C42" i="13" s="1"/>
  <c r="H81" i="13" a="1"/>
  <c r="H81" i="13" s="1"/>
  <c r="C81" i="13" s="1"/>
  <c r="H114" i="13" a="1"/>
  <c r="H114" i="13" s="1"/>
  <c r="C114" i="13" s="1"/>
  <c r="H71" i="13" a="1"/>
  <c r="H71" i="13" s="1"/>
  <c r="C71" i="13" s="1"/>
  <c r="H134" i="13" a="1"/>
  <c r="H134" i="13" s="1"/>
  <c r="C134" i="13" s="1"/>
  <c r="H41" i="13" a="1"/>
  <c r="H41" i="13" s="1"/>
  <c r="C41" i="13" s="1"/>
  <c r="H111" i="13" a="1"/>
  <c r="H111" i="13" s="1"/>
  <c r="C111" i="13" s="1"/>
  <c r="H25" i="13" a="1"/>
  <c r="H25" i="13" s="1"/>
  <c r="I25" i="13" s="1"/>
  <c r="H88" i="13" a="1"/>
  <c r="H88" i="13" s="1"/>
  <c r="C88" i="13" s="1"/>
  <c r="H116" i="13" a="1"/>
  <c r="H116" i="13" s="1"/>
  <c r="C116" i="13" s="1"/>
  <c r="H66" i="13" a="1"/>
  <c r="H66" i="13" s="1"/>
  <c r="C66" i="13" s="1"/>
  <c r="H129" i="13" a="1"/>
  <c r="H129" i="13" s="1"/>
  <c r="C129" i="13" s="1"/>
  <c r="H35" i="13" a="1"/>
  <c r="H35" i="13" s="1"/>
  <c r="C35" i="13" s="1"/>
  <c r="H98" i="13" a="1"/>
  <c r="H98" i="13" s="1"/>
  <c r="C98" i="13" s="1"/>
  <c r="H108" i="13" a="1"/>
  <c r="H108" i="13" s="1"/>
  <c r="C108" i="13" s="1"/>
  <c r="H53" i="13" a="1"/>
  <c r="H53" i="13" s="1"/>
  <c r="C53" i="13" s="1"/>
  <c r="H123" i="13" a="1"/>
  <c r="H123" i="13" s="1"/>
  <c r="C123" i="13" s="1"/>
  <c r="H78" i="13" a="1"/>
  <c r="H78" i="13" s="1"/>
  <c r="C78" i="13" s="1"/>
  <c r="H49" i="13" a="1"/>
  <c r="H49" i="13" s="1"/>
  <c r="C49" i="13" s="1"/>
  <c r="H33" i="13" a="1"/>
  <c r="H33" i="13" s="1"/>
  <c r="C33" i="13" s="1"/>
  <c r="H62" i="13" a="1"/>
  <c r="H62" i="13" s="1"/>
  <c r="C62" i="13" s="1"/>
  <c r="H137" i="13" a="1"/>
  <c r="H137" i="13" s="1"/>
  <c r="C137" i="13" s="1"/>
  <c r="H68" i="13" a="1"/>
  <c r="H68" i="13" s="1"/>
  <c r="C68" i="13" s="1"/>
  <c r="H57" i="13" a="1"/>
  <c r="H57" i="13" s="1"/>
  <c r="C57" i="13" s="1"/>
  <c r="H109" i="13" a="1"/>
  <c r="H109" i="13" s="1"/>
  <c r="I109" i="13" s="1"/>
  <c r="H39" i="13" a="1"/>
  <c r="H39" i="13" s="1"/>
  <c r="C39" i="13" s="1"/>
  <c r="C102" i="13"/>
  <c r="I106" i="13"/>
  <c r="C92" i="13"/>
  <c r="C34" i="13"/>
  <c r="C84" i="13"/>
  <c r="C89" i="13"/>
  <c r="C31" i="13"/>
  <c r="C37" i="13"/>
  <c r="C30" i="13"/>
  <c r="C94" i="13"/>
  <c r="C60" i="13"/>
  <c r="C120" i="13"/>
  <c r="F24" i="13"/>
  <c r="H24" i="13" s="1" a="1"/>
  <c r="H24" i="13" s="1"/>
  <c r="D72" i="11"/>
  <c r="D73" i="11" s="1"/>
  <c r="D39" i="11" a="1"/>
  <c r="D39" i="11" s="1"/>
  <c r="D41" i="11" a="1"/>
  <c r="D41" i="11" s="1"/>
  <c r="D10" i="11"/>
  <c r="D40" i="11" a="1"/>
  <c r="D40" i="11" s="1"/>
  <c r="D42" i="11" a="1"/>
  <c r="D42" i="11" s="1"/>
  <c r="C12" i="11"/>
  <c r="C44" i="11"/>
  <c r="C56" i="11" s="1"/>
  <c r="C57" i="11" s="1"/>
  <c r="C75" i="11" s="1"/>
  <c r="C77" i="11" l="1"/>
  <c r="C81" i="11" s="1"/>
  <c r="C105" i="13"/>
  <c r="C55" i="13"/>
  <c r="C99" i="13"/>
  <c r="C109" i="13"/>
  <c r="C65" i="13"/>
  <c r="C64" i="13"/>
  <c r="I30" i="13"/>
  <c r="I90" i="13"/>
  <c r="C118" i="13"/>
  <c r="I39" i="13"/>
  <c r="C100" i="13"/>
  <c r="C25" i="13"/>
  <c r="C27" i="13"/>
  <c r="I35" i="13"/>
  <c r="I125" i="13"/>
  <c r="C128" i="13"/>
  <c r="C76" i="11"/>
  <c r="I135" i="13"/>
  <c r="C121" i="13"/>
  <c r="I83" i="13"/>
  <c r="C61" i="13"/>
  <c r="C36" i="13"/>
  <c r="C141" i="13"/>
  <c r="I56" i="13"/>
  <c r="C106" i="13"/>
  <c r="C87" i="13"/>
  <c r="C59" i="13"/>
  <c r="C24" i="13"/>
  <c r="I96" i="13"/>
  <c r="I52" i="13"/>
  <c r="I103" i="13"/>
  <c r="I40" i="13"/>
  <c r="I88" i="13"/>
  <c r="I132" i="13"/>
  <c r="I57" i="13"/>
  <c r="I77" i="13"/>
  <c r="I26" i="13"/>
  <c r="I73" i="13"/>
  <c r="I124" i="13"/>
  <c r="I129" i="13"/>
  <c r="I44" i="13"/>
  <c r="I28" i="13"/>
  <c r="I91" i="13"/>
  <c r="I131" i="13"/>
  <c r="I67" i="13"/>
  <c r="I138" i="13"/>
  <c r="I122" i="13"/>
  <c r="I130" i="13"/>
  <c r="I37" i="13"/>
  <c r="I50" i="13"/>
  <c r="I84" i="13"/>
  <c r="I46" i="13"/>
  <c r="I123" i="13"/>
  <c r="I31" i="13"/>
  <c r="I60" i="13"/>
  <c r="I94" i="13"/>
  <c r="I29" i="13"/>
  <c r="I62" i="13"/>
  <c r="I107" i="13"/>
  <c r="I115" i="13"/>
  <c r="I51" i="13"/>
  <c r="I119" i="13"/>
  <c r="I76" i="13"/>
  <c r="I117" i="13"/>
  <c r="I63" i="13"/>
  <c r="I97" i="13"/>
  <c r="I58" i="13"/>
  <c r="I78" i="13"/>
  <c r="I38" i="13"/>
  <c r="I33" i="13"/>
  <c r="I74" i="13"/>
  <c r="I42" i="13"/>
  <c r="I140" i="13"/>
  <c r="I92" i="13"/>
  <c r="I120" i="13"/>
  <c r="I80" i="13"/>
  <c r="I101" i="13"/>
  <c r="I53" i="13"/>
  <c r="I81" i="13"/>
  <c r="I54" i="13"/>
  <c r="I45" i="13"/>
  <c r="I70" i="13"/>
  <c r="I133" i="13"/>
  <c r="I66" i="13"/>
  <c r="I98" i="13"/>
  <c r="I41" i="13"/>
  <c r="I47" i="13"/>
  <c r="I75" i="13"/>
  <c r="I32" i="13"/>
  <c r="I137" i="13"/>
  <c r="I116" i="13"/>
  <c r="I126" i="13"/>
  <c r="I102" i="13"/>
  <c r="I111" i="13"/>
  <c r="I139" i="13"/>
  <c r="I48" i="13"/>
  <c r="I93" i="13"/>
  <c r="I104" i="13"/>
  <c r="I43" i="13"/>
  <c r="I108" i="13"/>
  <c r="I134" i="13"/>
  <c r="I127" i="13"/>
  <c r="I89" i="13"/>
  <c r="I112" i="13"/>
  <c r="I69" i="13"/>
  <c r="I82" i="13"/>
  <c r="I110" i="13"/>
  <c r="I86" i="13"/>
  <c r="I71" i="13"/>
  <c r="I68" i="13"/>
  <c r="I72" i="13"/>
  <c r="I49" i="13"/>
  <c r="I95" i="13"/>
  <c r="I34" i="13"/>
  <c r="I136" i="13"/>
  <c r="I79" i="13"/>
  <c r="I85" i="13"/>
  <c r="I113" i="13"/>
  <c r="I114" i="13"/>
  <c r="D12" i="11"/>
  <c r="D44" i="11"/>
  <c r="D56" i="11" s="1"/>
  <c r="D57" i="11" s="1"/>
  <c r="I24" i="13" l="1"/>
  <c r="D7" i="13"/>
  <c r="D8" i="13"/>
  <c r="D10" i="13"/>
  <c r="F56" i="11"/>
  <c r="D6" i="13" l="1"/>
  <c r="D9" i="13"/>
  <c r="D75" i="11"/>
  <c r="C78" i="11" l="1"/>
  <c r="D77" i="11"/>
  <c r="C80" i="11"/>
  <c r="C79" i="11"/>
  <c r="D14" i="13" s="1"/>
  <c r="D4" i="13" s="1"/>
  <c r="C82" i="11" s="1"/>
  <c r="D76" i="11"/>
  <c r="E14"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GIULIANA Samuel</author>
  </authors>
  <commentList>
    <comment ref="C14" authorId="0" shapeId="0" xr:uid="{357D1960-EB3F-420B-A2D3-8C6476DF798D}">
      <text>
        <r>
          <rPr>
            <b/>
            <sz val="9"/>
            <color indexed="81"/>
            <rFont val="Tahoma"/>
            <family val="2"/>
          </rPr>
          <t>GIULIANA Samuel:</t>
        </r>
        <r>
          <rPr>
            <sz val="9"/>
            <color indexed="81"/>
            <rFont val="Tahoma"/>
            <family val="2"/>
          </rPr>
          <t xml:space="preserve">
La surface de plancher chauffée  est la somme des surfaces de planchers de chaque niveau de la construction situés dans le volume protégé </t>
        </r>
      </text>
    </comment>
    <comment ref="C16" authorId="0" shapeId="0" xr:uid="{CC5A4EFE-9ABD-4E0D-B05D-0AF64419B673}">
      <text>
        <r>
          <rPr>
            <b/>
            <sz val="9"/>
            <color indexed="81"/>
            <rFont val="Tahoma"/>
            <family val="2"/>
          </rPr>
          <t>GIULIANA Samuel:</t>
        </r>
        <r>
          <rPr>
            <sz val="9"/>
            <color indexed="81"/>
            <rFont val="Tahoma"/>
            <family val="2"/>
          </rPr>
          <t xml:space="preserve">
Volume de tous les espaces d'un bâtiment qui est protégé, du point de vue thermique, de l'environnement extérieur (air ou eau), du sol et de tous les espaces adjacents qui ne font pas partie d'un volume protégé.</t>
        </r>
      </text>
    </comment>
    <comment ref="G64" authorId="0" shapeId="0" xr:uid="{8512429C-F738-48A8-B4B3-354DA8CF8325}">
      <text>
        <r>
          <rPr>
            <b/>
            <sz val="9"/>
            <color indexed="81"/>
            <rFont val="Tahoma"/>
            <family val="2"/>
          </rPr>
          <t>GIULIANA Samuel:</t>
        </r>
        <r>
          <rPr>
            <sz val="9"/>
            <color indexed="81"/>
            <rFont val="Tahoma"/>
            <family val="2"/>
          </rPr>
          <t xml:space="preserve">
Isolation des parois : U global de la paroi
Changement de fenêtres/portes : Uw (U de la fenêtre/porte dans son intégralité)
Changement de vitrage ou paroi translucide seul : Ug (U du vitrage seul)
</t>
        </r>
      </text>
    </comment>
    <comment ref="I64" authorId="0" shapeId="0" xr:uid="{50196D7B-9819-4D45-9922-CCD3C433EF65}">
      <text>
        <r>
          <rPr>
            <b/>
            <sz val="9"/>
            <color indexed="81"/>
            <rFont val="Tahoma"/>
            <family val="2"/>
          </rPr>
          <t>GIULIANA Samuel:</t>
        </r>
        <r>
          <rPr>
            <sz val="9"/>
            <color indexed="81"/>
            <rFont val="Tahoma"/>
            <family val="2"/>
          </rPr>
          <t xml:space="preserve">
Isolation des parois : U global de la paroi
Changement de fenêtres/portes : Uw (U de la fenêtre/porte dans son intégralité)
Changement de vitrage ou paroi translucide seul : Ug (U du vitrage seul)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Pierre DEMESMAECKER</author>
  </authors>
  <commentList>
    <comment ref="M1" authorId="0" shapeId="0" xr:uid="{37751B9E-BCFA-46D1-87A9-C5A9374D8126}">
      <text>
        <r>
          <rPr>
            <b/>
            <sz val="9"/>
            <color indexed="81"/>
            <rFont val="Tahoma"/>
            <family val="2"/>
          </rPr>
          <t>Pierre DEMESMAECKER:</t>
        </r>
        <r>
          <rPr>
            <sz val="9"/>
            <color indexed="81"/>
            <rFont val="Tahoma"/>
            <family val="2"/>
          </rPr>
          <t xml:space="preserve">
uniquement pour fenêtres.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Pierre DEMESMAECKER</author>
  </authors>
  <commentList>
    <comment ref="A99" authorId="0" shapeId="0" xr:uid="{AA1F032B-82C3-465A-B246-C421009AD09F}">
      <text>
        <r>
          <rPr>
            <b/>
            <sz val="9"/>
            <color indexed="81"/>
            <rFont val="Tahoma"/>
            <family val="2"/>
          </rPr>
          <t>Sol de bow-window ou sur un passage de voiture par exemple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Pierre DEMESMAECKER</author>
  </authors>
  <commentList>
    <comment ref="Q9" authorId="0" shapeId="0" xr:uid="{5FC3AAE8-23DC-4803-821B-882340100D69}">
      <text>
        <r>
          <rPr>
            <b/>
            <sz val="9"/>
            <color indexed="81"/>
            <rFont val="Tahoma"/>
            <family val="2"/>
          </rPr>
          <t>Sol de bow-window ou sur un passage de voiture par exemple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<sst xmlns="http://schemas.openxmlformats.org/spreadsheetml/2006/main" count="3442" uniqueCount="3186">
  <si>
    <t>Cette feuille de calcul permet de déterminer le montant de subvention correspondant aux travaux envisagés. 
Les données doivent être encodées dans les cases bleues.
Lors de l’encodage des coefficients de transmission thermique, un avertisseur de couleur apparaitra si les valeurs ne paraissent pas correctes (valeurs ne respectant pas les exigences de cet appel à projet ou paraissant irréalistes).</t>
  </si>
  <si>
    <t>La méthode de calcul utilisée dans l'outil ne correspond pas à la méthode réglementaire PEB actuelle. Elle présente une approche simplifiée notamment concernant les déperditions par le sol et vers les espaces contigus non chauffés, ainsi que pour les apports internes.</t>
  </si>
  <si>
    <t>1. Situation et Occupation du bâtiment</t>
  </si>
  <si>
    <t>Encodez ici les informations générales relatives à la situation géographique, à l'occupation, l'affectation et la configuration du bâtiment.</t>
  </si>
  <si>
    <t>Commune</t>
  </si>
  <si>
    <t>Affectation principale</t>
  </si>
  <si>
    <t>Nombre maximum de personnes présentes</t>
  </si>
  <si>
    <t>personnes</t>
  </si>
  <si>
    <t>Nombre moyen de personnes dans le bâtiment</t>
  </si>
  <si>
    <t>Horaires d'occupation</t>
  </si>
  <si>
    <t>Température moyenne en occupation</t>
  </si>
  <si>
    <t>°C</t>
  </si>
  <si>
    <t>Diminution ou coupure du chauffage en inoccupation ?</t>
  </si>
  <si>
    <t>Surface de plancher chauffé</t>
  </si>
  <si>
    <t>m²</t>
  </si>
  <si>
    <t>Volume du bâtiment</t>
  </si>
  <si>
    <t>m³</t>
  </si>
  <si>
    <t>2. Installation de chauffage</t>
  </si>
  <si>
    <t>Situation actuelle</t>
  </si>
  <si>
    <t>Situation rénovée</t>
  </si>
  <si>
    <t>Type d'installation</t>
  </si>
  <si>
    <t>Vecteur énergétique</t>
  </si>
  <si>
    <t>Date de fabrication de la chaudière</t>
  </si>
  <si>
    <t>Rendement de combustion connu ?</t>
  </si>
  <si>
    <t>Isolation des tuyaux</t>
  </si>
  <si>
    <t>Présence de vannes thermostatiques</t>
  </si>
  <si>
    <t>Régulation présente</t>
  </si>
  <si>
    <t>Positionnement des radiateurs</t>
  </si>
  <si>
    <t>3. Consommations de chauffage des 3 dernières années</t>
  </si>
  <si>
    <t>Année</t>
  </si>
  <si>
    <t>Relevé</t>
  </si>
  <si>
    <t>Unité</t>
  </si>
  <si>
    <t>Combustible</t>
  </si>
  <si>
    <t>4. Caractérisation des déperditions thermiques par les parois</t>
  </si>
  <si>
    <t>Ce tableau doit-être complété pour toutes les parois de déperdition existantes, y compris celles qui ne seront pas rénovées.</t>
  </si>
  <si>
    <t>La construction de nouvelles parois n'est pas subsidiée, quel que soit le matériau et niveau d'isolation atteint.</t>
  </si>
  <si>
    <t>Il faut séparer toutes les parois de l'enveloppe qui ont une composition et une fonction différente. Une ligne par paroi.</t>
  </si>
  <si>
    <t>Pour chaque paroi, sélectionnez une catégorie, un nom, encodez la surface (m²), l'état d'isolation actuel, le U de la paroi si connu (sinon il est sélectionné par défaut en fonction de l'état actuel).</t>
  </si>
  <si>
    <t>Pour chaque paroi également, indiquez si une rénovation de la paroi est prévue et si oui, quelle sera la technique utilisée (attention à bien faire correspondre la technique avec la catégorie), le U de rénovation visé, ainsi que le type de matériau envisagé (biosourcé ou non)</t>
  </si>
  <si>
    <t>Pour compléter ce tableau, il faut un métré aussi précis que possible et disposer d'information sur la composition de toutes les parois.</t>
  </si>
  <si>
    <t xml:space="preserve">/!\ Les surfaces de fenêtres ne doivent pas être comptées dans les surfaces des parois et constituent une catégorie de paroi à part entière. </t>
  </si>
  <si>
    <t>Catégorie</t>
  </si>
  <si>
    <t>Dénomination</t>
  </si>
  <si>
    <t>Surface (m²)</t>
  </si>
  <si>
    <t>Etat actuel</t>
  </si>
  <si>
    <t>Si U connu    [W/m²K]</t>
  </si>
  <si>
    <t>Rénovation prévue de la paroi ?</t>
  </si>
  <si>
    <t>U de rénovation visé</t>
  </si>
  <si>
    <t>Isolant  ou châssis biosourcé</t>
  </si>
  <si>
    <t>5. Ventilation</t>
  </si>
  <si>
    <t xml:space="preserve">Encodez ici les information concernant la ventilation. Sélectionnez le type de ventilation actuel et indiquez le cas échéant, le rendement de récupération de chaleur. </t>
  </si>
  <si>
    <t>Encodez chaque nouveau groupe de ventilation en lui attribuant un nom et un débit. Pourles systèmes C, ne sont à prendre en compte pour l'encodage, que les extracteurs mécaniques.</t>
  </si>
  <si>
    <r>
      <rPr>
        <u/>
        <sz val="10"/>
        <color rgb="FFFF0000"/>
        <rFont val="Arial"/>
        <family val="2"/>
      </rPr>
      <t>/!\</t>
    </r>
    <r>
      <rPr>
        <sz val="10"/>
        <color rgb="FFFF0000"/>
        <rFont val="Arial"/>
        <family val="2"/>
      </rPr>
      <t xml:space="preserve"> Les subsides pour la ventilation ne sont valables que si des travaux d'amélioration d'enveloppe sont prévus (isolation/remplacement vitrages ou châssis).</t>
    </r>
    <r>
      <rPr>
        <sz val="10"/>
        <color rgb="FF202124"/>
        <rFont val="Arial"/>
        <family val="2"/>
      </rPr>
      <t xml:space="preserve"> Les primes sont calculées en fonction des débits de ventilation</t>
    </r>
  </si>
  <si>
    <t>Système de ventilation</t>
  </si>
  <si>
    <t>Ventilation Naturelle</t>
  </si>
  <si>
    <t>Identique à l'existant</t>
  </si>
  <si>
    <t xml:space="preserve"> </t>
  </si>
  <si>
    <t>débit</t>
  </si>
  <si>
    <t>Primes</t>
  </si>
  <si>
    <t xml:space="preserve">Cette section établit un bilan énergétique du bâtiment en fonction des données encodées. L'outil estime les déperditions par poste, les apports, la consommation théorique totale pour la situation actuelle et rénovée. Il calcule ensuite l'économie d'énergie réalisée entre ces 2 situations. </t>
  </si>
  <si>
    <t>Situation Rénovée</t>
  </si>
  <si>
    <t>Situation et Occupation</t>
  </si>
  <si>
    <t>unités</t>
  </si>
  <si>
    <t>Volume</t>
  </si>
  <si>
    <t>Um</t>
  </si>
  <si>
    <t>W/m²K</t>
  </si>
  <si>
    <t>compacité (V/At)</t>
  </si>
  <si>
    <t>m</t>
  </si>
  <si>
    <t>Niveau K</t>
  </si>
  <si>
    <t>/</t>
  </si>
  <si>
    <t>Degrés-Jours du lieu en base 15/15</t>
  </si>
  <si>
    <t>Température extérieure hivernale moyenne</t>
  </si>
  <si>
    <t>Durée de la saison de chauffe</t>
  </si>
  <si>
    <t>j/an</t>
  </si>
  <si>
    <t>Température en occupation</t>
  </si>
  <si>
    <t>Température moyenne intérieure</t>
  </si>
  <si>
    <t>Nombre moyen de personnes</t>
  </si>
  <si>
    <t>pers/h</t>
  </si>
  <si>
    <t>Ventilation</t>
  </si>
  <si>
    <t>V50</t>
  </si>
  <si>
    <t>m³/h.m²</t>
  </si>
  <si>
    <t>Surface de fenêtre remplacée</t>
  </si>
  <si>
    <t>Volume d'air intérieur</t>
  </si>
  <si>
    <t>Surface de fenêtres totale</t>
  </si>
  <si>
    <t>n50</t>
  </si>
  <si>
    <t>1/h</t>
  </si>
  <si>
    <t>%surface de fenêtre remplacée</t>
  </si>
  <si>
    <t>Renouvellement d'air moyen par inétanchéité à l'air</t>
  </si>
  <si>
    <t>Débit de conception de ventilation hygiénique</t>
  </si>
  <si>
    <t>m³/h</t>
  </si>
  <si>
    <t>h d'occupation/semaine</t>
  </si>
  <si>
    <t>h</t>
  </si>
  <si>
    <t>Débit moyen d'air</t>
  </si>
  <si>
    <t>Rendement récupération chaleur</t>
  </si>
  <si>
    <t>Renouvellement moyen</t>
  </si>
  <si>
    <t>Déperditions aérauliques</t>
  </si>
  <si>
    <t>kWh/an</t>
  </si>
  <si>
    <t>Apports internes et solaires</t>
  </si>
  <si>
    <t>Apports des équipements et éclairage</t>
  </si>
  <si>
    <t>Apports des personnes</t>
  </si>
  <si>
    <t>Apports internes</t>
  </si>
  <si>
    <t>Apports solaires hivernaux</t>
  </si>
  <si>
    <t>Bilan Déperditions</t>
  </si>
  <si>
    <t>Déperditions Toiture</t>
  </si>
  <si>
    <t>Déperditions Murs</t>
  </si>
  <si>
    <t>Déperditions Sol</t>
  </si>
  <si>
    <t>Déperditions Portes et Fenêtres</t>
  </si>
  <si>
    <t>Déperditions Aérauliques</t>
  </si>
  <si>
    <t>Total Déperditions</t>
  </si>
  <si>
    <t>Installation de chauffage</t>
  </si>
  <si>
    <t>Rendement de production</t>
  </si>
  <si>
    <t>seulement si connu</t>
  </si>
  <si>
    <t>Pertes à l'arrêt</t>
  </si>
  <si>
    <t>somme p balayage et p ambiance</t>
  </si>
  <si>
    <t>Rendement de distribution</t>
  </si>
  <si>
    <t>voir données autres</t>
  </si>
  <si>
    <t>Rendement de régulation</t>
  </si>
  <si>
    <t>Rendement d'émission</t>
  </si>
  <si>
    <t>Rendement saisonnier</t>
  </si>
  <si>
    <t>Si rendement de production encodé, on estime avec n/(1+p). p = pertes à l'arrêt (voir données autres). Sinon estimé avec données autres</t>
  </si>
  <si>
    <t>Rendement global de l'installation de chauffage</t>
  </si>
  <si>
    <t>produit des 4 précédent</t>
  </si>
  <si>
    <t>Besoins nets en chauffage</t>
  </si>
  <si>
    <t>Pertes exploitation de chauffage</t>
  </si>
  <si>
    <t>CHIFFRES ET BILAN</t>
  </si>
  <si>
    <t>Surface de l'enveloppe prévue pour rénovation</t>
  </si>
  <si>
    <t>Pourcentage de l'enveloppe rénovée</t>
  </si>
  <si>
    <t>Superficie des parois opaques</t>
  </si>
  <si>
    <t>Superficie des parois opaques isolées (U &lt; 0,24 W/m²K)</t>
  </si>
  <si>
    <t>Pourcentage des parois opaques isolées (U &lt; 0,24 W/m²K)</t>
  </si>
  <si>
    <t>Superficie des portes et fenêtres</t>
  </si>
  <si>
    <t>Superficie des portes et fenêtres performantes (U&lt;1 W/m²K)</t>
  </si>
  <si>
    <t>Pourcentage des portes et fenêtres performantes (U&lt;1 W/m²K)</t>
  </si>
  <si>
    <t>Superficie totale de l'enveloppe</t>
  </si>
  <si>
    <t>Superficie de l'enveloppe performante</t>
  </si>
  <si>
    <t>Pourcentage de parois performantes de l'enveloppe</t>
  </si>
  <si>
    <t>Estimation des consommations</t>
  </si>
  <si>
    <t>Consommation spécifique</t>
  </si>
  <si>
    <t>kWh/m².an</t>
  </si>
  <si>
    <t>Economie d'énergie réalisée</t>
  </si>
  <si>
    <t>Pourcentage d'économie d'énergie réalisée</t>
  </si>
  <si>
    <t>Réduction de CO2</t>
  </si>
  <si>
    <t xml:space="preserve">kg/an </t>
  </si>
  <si>
    <t>Montant total des subventions</t>
  </si>
  <si>
    <t>TOTAL SUBSIDES</t>
  </si>
  <si>
    <t>SUBSIDES ENVELOPPE</t>
  </si>
  <si>
    <t>Subsides Toiture</t>
  </si>
  <si>
    <t>Subsides Façades</t>
  </si>
  <si>
    <t>Subsides Sol et Planchers</t>
  </si>
  <si>
    <t>Subsides Portes et Fenêtres</t>
  </si>
  <si>
    <t>SUBSIDES VENTILATION</t>
  </si>
  <si>
    <t>ECONOMIE D'ENERGIE</t>
  </si>
  <si>
    <t>% ENVELOPPE RENOVEE</t>
  </si>
  <si>
    <t>Rénovation</t>
  </si>
  <si>
    <t>U après travaux</t>
  </si>
  <si>
    <t>Isolant/châssis  biosourcé</t>
  </si>
  <si>
    <t>Prime €/m²</t>
  </si>
  <si>
    <t>Prime par paroi</t>
  </si>
  <si>
    <t>Déperditions</t>
  </si>
  <si>
    <t>Apports solaires</t>
  </si>
  <si>
    <t>Isolation actuelle</t>
  </si>
  <si>
    <t>Si U connu de la paroi</t>
  </si>
  <si>
    <t>Rénovation prévue ?</t>
  </si>
  <si>
    <t>Isolant biosourcé ou châssis bois</t>
  </si>
  <si>
    <t>Uactuel (W/m²K)</t>
  </si>
  <si>
    <t>Urénové (W/m²K)</t>
  </si>
  <si>
    <r>
      <t>a</t>
    </r>
    <r>
      <rPr>
        <b/>
        <vertAlign val="subscript"/>
        <sz val="8"/>
        <rFont val="Arial"/>
        <family val="2"/>
      </rPr>
      <t>j</t>
    </r>
  </si>
  <si>
    <r>
      <t>a</t>
    </r>
    <r>
      <rPr>
        <b/>
        <vertAlign val="subscript"/>
        <sz val="8"/>
        <rFont val="Arial"/>
        <family val="2"/>
      </rPr>
      <t xml:space="preserve">j </t>
    </r>
    <r>
      <rPr>
        <b/>
        <sz val="8"/>
        <rFont val="Arial"/>
        <family val="2"/>
      </rPr>
      <t>. U</t>
    </r>
    <r>
      <rPr>
        <b/>
        <vertAlign val="subscript"/>
        <sz val="8"/>
        <rFont val="Arial"/>
        <family val="2"/>
      </rPr>
      <t>j</t>
    </r>
    <r>
      <rPr>
        <b/>
        <sz val="8"/>
        <rFont val="Arial"/>
        <family val="2"/>
      </rPr>
      <t xml:space="preserve"> .A</t>
    </r>
    <r>
      <rPr>
        <b/>
        <vertAlign val="subscript"/>
        <sz val="8"/>
        <rFont val="Arial"/>
        <family val="2"/>
      </rPr>
      <t>j</t>
    </r>
    <r>
      <rPr>
        <b/>
        <sz val="8"/>
        <rFont val="Arial"/>
        <family val="2"/>
      </rPr>
      <t xml:space="preserve">  actuel       [W/K]</t>
    </r>
  </si>
  <si>
    <r>
      <t>a</t>
    </r>
    <r>
      <rPr>
        <b/>
        <vertAlign val="subscript"/>
        <sz val="8"/>
        <rFont val="Arial"/>
        <family val="2"/>
      </rPr>
      <t xml:space="preserve">j </t>
    </r>
    <r>
      <rPr>
        <b/>
        <sz val="8"/>
        <rFont val="Arial"/>
        <family val="2"/>
      </rPr>
      <t>. U</t>
    </r>
    <r>
      <rPr>
        <b/>
        <vertAlign val="subscript"/>
        <sz val="8"/>
        <rFont val="Arial"/>
        <family val="2"/>
      </rPr>
      <t>j</t>
    </r>
    <r>
      <rPr>
        <b/>
        <sz val="8"/>
        <rFont val="Arial"/>
        <family val="2"/>
      </rPr>
      <t xml:space="preserve"> .A</t>
    </r>
    <r>
      <rPr>
        <b/>
        <vertAlign val="subscript"/>
        <sz val="8"/>
        <rFont val="Arial"/>
        <family val="2"/>
      </rPr>
      <t>j</t>
    </r>
    <r>
      <rPr>
        <b/>
        <sz val="8"/>
        <rFont val="Arial"/>
        <family val="2"/>
      </rPr>
      <t xml:space="preserve"> réno       [W/K]</t>
    </r>
  </si>
  <si>
    <t>Facteur solaire actuel</t>
  </si>
  <si>
    <t>Facteur Solaire rénové</t>
  </si>
  <si>
    <t>Apports solaires actuels (kWh/hiver)</t>
  </si>
  <si>
    <t>Apports solaires réno (kWh/hiver)</t>
  </si>
  <si>
    <t>U exigence base</t>
  </si>
  <si>
    <t>U exigence renforcée</t>
  </si>
  <si>
    <t>Prime base non bio</t>
  </si>
  <si>
    <t>Prime base bio</t>
  </si>
  <si>
    <t>Prime renf non bio</t>
  </si>
  <si>
    <t>Prime renf bio</t>
  </si>
  <si>
    <t>Nom</t>
  </si>
  <si>
    <t>Système</t>
  </si>
  <si>
    <t>Prime</t>
  </si>
  <si>
    <t>CHECK SI TOUTES LES DONNEES SONT REMPLIES</t>
  </si>
  <si>
    <t>CHECK ENCODAGE</t>
  </si>
  <si>
    <t>SITUATION ET OCCUPATION DU BATIMENT</t>
  </si>
  <si>
    <t>INSTALLATION DE CHAUFFAGE</t>
  </si>
  <si>
    <t>SOMME</t>
  </si>
  <si>
    <t>ENVELOPPE</t>
  </si>
  <si>
    <t xml:space="preserve"> si U est connu si est encodé</t>
  </si>
  <si>
    <t>si surface encodée</t>
  </si>
  <si>
    <t>si Etat actuel encodé</t>
  </si>
  <si>
    <t>Si cat encodée</t>
  </si>
  <si>
    <t>si rénov encodée</t>
  </si>
  <si>
    <t>si u visé encodé</t>
  </si>
  <si>
    <t>si isolant biosourcé encodé</t>
  </si>
  <si>
    <t>si U&lt;Umax</t>
  </si>
  <si>
    <t>compatibilité paroi avec cat</t>
  </si>
  <si>
    <t>compatibité travaux avec cat</t>
  </si>
  <si>
    <t>AFFECTATION</t>
  </si>
  <si>
    <t>T occup</t>
  </si>
  <si>
    <t>Réduc t° nuit si pas d'occupation (K)</t>
  </si>
  <si>
    <t>Apports internes par personne (W/pers)</t>
  </si>
  <si>
    <t>Apports internes par équipement (W/m²)</t>
  </si>
  <si>
    <t>Home/hôpital</t>
  </si>
  <si>
    <t>Bureaux</t>
  </si>
  <si>
    <t>Résidentiel</t>
  </si>
  <si>
    <t>Ecole</t>
  </si>
  <si>
    <t>Hall sportif</t>
  </si>
  <si>
    <t>OCCUPATION</t>
  </si>
  <si>
    <t>h/semaine</t>
  </si>
  <si>
    <t>j/semaine</t>
  </si>
  <si>
    <t>h/j</t>
  </si>
  <si>
    <t>Lundi-vendredi 8-18h</t>
  </si>
  <si>
    <t>Lundi-vendredi 24h/24</t>
  </si>
  <si>
    <t>Lundi-dimanche 8h-18h</t>
  </si>
  <si>
    <t>Permanent (7J/7 24h/24)</t>
  </si>
  <si>
    <t>Autre (… h/semaine)</t>
  </si>
  <si>
    <t>CHAUFFAGE NUIT</t>
  </si>
  <si>
    <t>Oui</t>
  </si>
  <si>
    <t>Non</t>
  </si>
  <si>
    <t>RENDEMENT SAISONNIER DE PRODUCTION</t>
  </si>
  <si>
    <t>Avant 1985</t>
  </si>
  <si>
    <t>Après 1985</t>
  </si>
  <si>
    <t>Chaudière gaz atmosphérique Non condensation</t>
  </si>
  <si>
    <t>Chaudière gaz autres Non condensation</t>
  </si>
  <si>
    <t>Chaudière mazout Non condensation</t>
  </si>
  <si>
    <t>Chaudière bois/biomasse</t>
  </si>
  <si>
    <t>Chaudière à condensation (t° eau de retour &gt; 55°C)</t>
  </si>
  <si>
    <t>Chaudière à condensation (t° eau de retour entre 45 et 55°C)</t>
  </si>
  <si>
    <t>Chaudière à condensation (t° eau de retour &lt; 45°C)</t>
  </si>
  <si>
    <t>PAC air-air</t>
  </si>
  <si>
    <t>PAC air-eau</t>
  </si>
  <si>
    <t>PAC sol-eau</t>
  </si>
  <si>
    <t>PAC eau-eau</t>
  </si>
  <si>
    <t>Chauffage électrique</t>
  </si>
  <si>
    <t>PERTES VERS L'AMBIANCE</t>
  </si>
  <si>
    <t>PERTES PAR BALAYAGE</t>
  </si>
  <si>
    <t>Chaudière atmosphérique gaz</t>
  </si>
  <si>
    <t>Autres</t>
  </si>
  <si>
    <t>ISOLATION TUYAUX</t>
  </si>
  <si>
    <t>Distribution dans le Volume chauffé</t>
  </si>
  <si>
    <t>Isolation récente (après 1990)</t>
  </si>
  <si>
    <t>Isolation ancienne (avant 1990)</t>
  </si>
  <si>
    <t>Pas d'isolation</t>
  </si>
  <si>
    <t>REGULATION</t>
  </si>
  <si>
    <t>vannes TS</t>
  </si>
  <si>
    <t>sans vannes TS</t>
  </si>
  <si>
    <t>Absente</t>
  </si>
  <si>
    <t>Régulation de base</t>
  </si>
  <si>
    <t>Régulation performante</t>
  </si>
  <si>
    <t>EMISSION</t>
  </si>
  <si>
    <t>Souvent devant les vitrages</t>
  </si>
  <si>
    <t>Souvent devant des murs non isolés</t>
  </si>
  <si>
    <t>Devant des murs isolés ou des murs intérieurs</t>
  </si>
  <si>
    <t>ai</t>
  </si>
  <si>
    <t>extérieur</t>
  </si>
  <si>
    <t>EANC</t>
  </si>
  <si>
    <t>cave</t>
  </si>
  <si>
    <t>sol</t>
  </si>
  <si>
    <t>Catégories de parois</t>
  </si>
  <si>
    <t>Colonne1</t>
  </si>
  <si>
    <t>cat</t>
  </si>
  <si>
    <t>Toiture plate</t>
  </si>
  <si>
    <t>Toit_plat</t>
  </si>
  <si>
    <t>toit p</t>
  </si>
  <si>
    <t>Toiture inclinée</t>
  </si>
  <si>
    <t>Toit_incliné</t>
  </si>
  <si>
    <t>toit i</t>
  </si>
  <si>
    <t>Plancher de grenier non chauffé</t>
  </si>
  <si>
    <t>Plancher_grenier</t>
  </si>
  <si>
    <t>toit c</t>
  </si>
  <si>
    <t>Mur extérieur</t>
  </si>
  <si>
    <t>Murs</t>
  </si>
  <si>
    <t>mur</t>
  </si>
  <si>
    <t>Mur contre un espace non chauffé</t>
  </si>
  <si>
    <t>Mur contre le sol</t>
  </si>
  <si>
    <t>Sol sur terre-plein</t>
  </si>
  <si>
    <t>Sol_et_cave</t>
  </si>
  <si>
    <t>Sol sur cave</t>
  </si>
  <si>
    <t>Sol sur vide ventilé ou espace non chauffé</t>
  </si>
  <si>
    <t>Sol sur espace extérieur</t>
  </si>
  <si>
    <t>Fenêtre, porte ou paroi translucide</t>
  </si>
  <si>
    <t>Fenêtres_portes</t>
  </si>
  <si>
    <t>fen</t>
  </si>
  <si>
    <t xml:space="preserve">Ventilation </t>
  </si>
  <si>
    <t>Système C : grilles dans les façades et extraction mécanique</t>
  </si>
  <si>
    <t>Système D : pulsion et extraction mécanique avec récupération de chaleur</t>
  </si>
  <si>
    <t xml:space="preserve">débit </t>
  </si>
  <si>
    <t>0-3000 m³/h</t>
  </si>
  <si>
    <t>3000-5000 m³/h</t>
  </si>
  <si>
    <t>5000-10000 m³/h</t>
  </si>
  <si>
    <t>10000-15000 m³/h</t>
  </si>
  <si>
    <t>15000-20000 m³/h</t>
  </si>
  <si>
    <t>20000-25000 m³/h</t>
  </si>
  <si>
    <t>25000-30000 m³/h</t>
  </si>
  <si>
    <t>Consommation</t>
  </si>
  <si>
    <t>CO2 (kg/kWh)</t>
  </si>
  <si>
    <t>mazout</t>
  </si>
  <si>
    <t>Mazout</t>
  </si>
  <si>
    <t>gaz naturel</t>
  </si>
  <si>
    <t>Gaz naturel</t>
  </si>
  <si>
    <t>électricité</t>
  </si>
  <si>
    <t>Biomasse</t>
  </si>
  <si>
    <t>butane</t>
  </si>
  <si>
    <t>Electricité</t>
  </si>
  <si>
    <t>propane</t>
  </si>
  <si>
    <t>Electicité verte</t>
  </si>
  <si>
    <t>pellets</t>
  </si>
  <si>
    <t>bois</t>
  </si>
  <si>
    <t xml:space="preserve">charbon </t>
  </si>
  <si>
    <t>autre</t>
  </si>
  <si>
    <t>l</t>
  </si>
  <si>
    <t>kWh</t>
  </si>
  <si>
    <t>kg</t>
  </si>
  <si>
    <t>Type de paroi</t>
  </si>
  <si>
    <t>U (W/m²K)</t>
  </si>
  <si>
    <t>Facteur solaire ou g</t>
  </si>
  <si>
    <t>Châssis métallique avec simple vitrage</t>
  </si>
  <si>
    <t>Châssis bois avec simple vitrage</t>
  </si>
  <si>
    <t>Fenêtre avec double vitrage traditionnel (ou d'avant 2010)</t>
  </si>
  <si>
    <t>Fenêtre avec double vitrage super isolant (ou d'après 2010)</t>
  </si>
  <si>
    <t>Fenêtre avec triple vitrage</t>
  </si>
  <si>
    <t>Porte en bois</t>
  </si>
  <si>
    <t>Porte en aluminium isolé</t>
  </si>
  <si>
    <t>Mur-rideaux</t>
  </si>
  <si>
    <t>U connu (porte et fenêtres)</t>
  </si>
  <si>
    <t>Mur plein de 29 cm</t>
  </si>
  <si>
    <t>Mur plein de 39 cm</t>
  </si>
  <si>
    <t>Mur creux non isolé</t>
  </si>
  <si>
    <t>Mur creux isolé existant</t>
  </si>
  <si>
    <t>Mur plein bardé non isolé</t>
  </si>
  <si>
    <t>Mur plein bardé isolé existant</t>
  </si>
  <si>
    <t>Mur de pierre non isolé de 30 cm</t>
  </si>
  <si>
    <t>Mur de pierre non isolé de 40 cm</t>
  </si>
  <si>
    <t>Mur de pierre non isolé de 50 cm</t>
  </si>
  <si>
    <t>Mur de pierre non isolé de 60 cm</t>
  </si>
  <si>
    <t>Mur de béton cellulaire de 25 cm (collé)</t>
  </si>
  <si>
    <t>Mur de béton cellulaire de 30 cm (collé)</t>
  </si>
  <si>
    <t>Mur de béton cellulaire de 35 cm (collé)</t>
  </si>
  <si>
    <t>Mur aux normes PEB 2015</t>
  </si>
  <si>
    <t>U connu</t>
  </si>
  <si>
    <t>Toiture plate en béton non isolée</t>
  </si>
  <si>
    <t>Toiture plate en béton isolée existante</t>
  </si>
  <si>
    <t>Toiture plate PEB 2015</t>
  </si>
  <si>
    <t>Toiture inclinée isolée (6 cm de laine)</t>
  </si>
  <si>
    <t>Toiture inclinée isolée (8 cm de laine)</t>
  </si>
  <si>
    <t>Toiture inclinée isolée (10 cm de laine)</t>
  </si>
  <si>
    <t>Toiture inclinée isolée (12 cm de laine)</t>
  </si>
  <si>
    <t>Toiture inclinée isolée (16 cm de laine)</t>
  </si>
  <si>
    <t>Toiture inclinée aux normes PEB 2015</t>
  </si>
  <si>
    <t>Plancher en bois de combles inoccupés non isolé</t>
  </si>
  <si>
    <t>Plancher en bois de combles inoccupés isolé existant</t>
  </si>
  <si>
    <t>Plancher en béton de combles inoccupés non isolé</t>
  </si>
  <si>
    <t>Plancher en béton de combles inoccupés isolé existant</t>
  </si>
  <si>
    <t>Plancher sur cave en béton non isolé</t>
  </si>
  <si>
    <t>Plancher sur sol en béton non isolé</t>
  </si>
  <si>
    <t>Plancher sur cave en béton isolé existant</t>
  </si>
  <si>
    <t>Plancher sur sol en béton isolé existant</t>
  </si>
  <si>
    <t>Plancher sur cave aux normes PEB 2015</t>
  </si>
  <si>
    <t>Plancher sur sol aux normes PEB 2015</t>
  </si>
  <si>
    <t>Exigences U</t>
  </si>
  <si>
    <t>parois opaques</t>
  </si>
  <si>
    <t>Fenêtre remplacée ?</t>
  </si>
  <si>
    <t>Paroi rénovée ?</t>
  </si>
  <si>
    <t>Biosourcé/châssis bois</t>
  </si>
  <si>
    <t>Toiture</t>
  </si>
  <si>
    <t>Isolation base (U=0,24)</t>
  </si>
  <si>
    <t>Fenêtre standard (Uw=1,5)</t>
  </si>
  <si>
    <t>oui</t>
  </si>
  <si>
    <t>oui, par plafond/Plancher comble</t>
  </si>
  <si>
    <t>Isolation renforcée (U=0,16)</t>
  </si>
  <si>
    <t>Uw connu</t>
  </si>
  <si>
    <t>A encoder</t>
  </si>
  <si>
    <t>non</t>
  </si>
  <si>
    <t>Oui, dans la structure en pente</t>
  </si>
  <si>
    <t>à encoder</t>
  </si>
  <si>
    <t>oui, toiture Sarking (au-dessus de la structure)</t>
  </si>
  <si>
    <t>AMBITIONS ENERGETIQUES</t>
  </si>
  <si>
    <t>facteur solaire</t>
  </si>
  <si>
    <t>Umax rénov</t>
  </si>
  <si>
    <t>U renforcé</t>
  </si>
  <si>
    <t>Prime U base pas biosourcé</t>
  </si>
  <si>
    <t>Prime U base biosourcé</t>
  </si>
  <si>
    <t>Prime U renforcé et pas biosourcé</t>
  </si>
  <si>
    <t>Prime U renforcé et biosourcé</t>
  </si>
  <si>
    <t>Remplacement Châssis + vitrage (verre)</t>
  </si>
  <si>
    <t>Remplacement Vitrage seul (verre)</t>
  </si>
  <si>
    <t>Remplacement Châssis + Paroi translucide</t>
  </si>
  <si>
    <t>Remplacement Paroi translucide seule</t>
  </si>
  <si>
    <t>Remplacement Mur-Rideaux (vitrage seul)</t>
  </si>
  <si>
    <t>Remplacement Mur-Rideaux (vitrage et châssis)</t>
  </si>
  <si>
    <t>Remplacement Porte</t>
  </si>
  <si>
    <t>Isolation mur</t>
  </si>
  <si>
    <t>Isolation Sol</t>
  </si>
  <si>
    <t>Isolation Plancher des combles</t>
  </si>
  <si>
    <t>Isolation Toiture plate</t>
  </si>
  <si>
    <t>Pas de modification</t>
  </si>
  <si>
    <t>oui, toiture plate</t>
  </si>
  <si>
    <t>Montant de subvention (€/m²)</t>
  </si>
  <si>
    <t xml:space="preserve">Type de travaux </t>
  </si>
  <si>
    <t>Montant forfaitaire de travaux  (€/m²)</t>
  </si>
  <si>
    <r>
      <t xml:space="preserve"> Isolant</t>
    </r>
    <r>
      <rPr>
        <u/>
        <sz val="11"/>
        <color rgb="FF008080"/>
        <rFont val="Calibri"/>
        <family val="2"/>
      </rPr>
      <t>/châssis</t>
    </r>
    <r>
      <rPr>
        <sz val="11"/>
        <color rgb="FF000000"/>
        <rFont val="Calibri"/>
        <family val="2"/>
      </rPr>
      <t xml:space="preserve"> non biosourcé et Exigences U de base   </t>
    </r>
  </si>
  <si>
    <r>
      <t>isolant</t>
    </r>
    <r>
      <rPr>
        <u/>
        <sz val="11"/>
        <color rgb="FF008080"/>
        <rFont val="Calibri"/>
        <family val="2"/>
      </rPr>
      <t>/châssis</t>
    </r>
    <r>
      <rPr>
        <sz val="11"/>
        <color rgb="FF000000"/>
        <rFont val="Calibri"/>
        <family val="2"/>
      </rPr>
      <t xml:space="preserve"> biosourcé et Exigences U de base  </t>
    </r>
  </si>
  <si>
    <r>
      <t>isolant</t>
    </r>
    <r>
      <rPr>
        <u/>
        <sz val="11"/>
        <color rgb="FF008080"/>
        <rFont val="Calibri"/>
        <family val="2"/>
      </rPr>
      <t xml:space="preserve">/châssis </t>
    </r>
    <r>
      <rPr>
        <sz val="11"/>
        <color rgb="FF000000"/>
        <rFont val="Calibri"/>
        <family val="2"/>
      </rPr>
      <t xml:space="preserve">t non biosourcé et Exigences U renforcées  </t>
    </r>
  </si>
  <si>
    <r>
      <t>isolant</t>
    </r>
    <r>
      <rPr>
        <u/>
        <sz val="11"/>
        <color rgb="FF008080"/>
        <rFont val="Calibri"/>
        <family val="2"/>
      </rPr>
      <t>/châssis</t>
    </r>
    <r>
      <rPr>
        <sz val="11"/>
        <color rgb="FF000000"/>
        <rFont val="Calibri"/>
        <family val="2"/>
      </rPr>
      <t xml:space="preserve">  biosourcé et Exigences U renforcées  </t>
    </r>
  </si>
  <si>
    <t>Pas de Rénovation</t>
  </si>
  <si>
    <t>Plafond/Plancher comble</t>
  </si>
  <si>
    <t>Toiture en pente dans la structure</t>
  </si>
  <si>
    <t>Toiture Sarking</t>
  </si>
  <si>
    <t>Isolation Mur</t>
  </si>
  <si>
    <t>Isolation du sol</t>
  </si>
  <si>
    <t xml:space="preserve">Remplacement de fenêtres/portes </t>
  </si>
  <si>
    <r>
      <t>437</t>
    </r>
    <r>
      <rPr>
        <sz val="8"/>
        <rFont val="Calibri"/>
        <family val="2"/>
      </rPr>
      <t>  </t>
    </r>
  </si>
  <si>
    <r>
      <t> </t>
    </r>
    <r>
      <rPr>
        <sz val="10"/>
        <rFont val="Calibri"/>
        <family val="2"/>
      </rPr>
      <t>C’est le châssis qui est biosourcé, qui n’est pas un isolant.  Peut-être faut-il une note en bas de tableau pour le préciser.</t>
    </r>
  </si>
  <si>
    <r>
      <t> </t>
    </r>
    <r>
      <rPr>
        <sz val="10"/>
        <rFont val="Calibri"/>
        <family val="2"/>
      </rPr>
      <t>Oui c’est bien le châssis qui est biosourcé</t>
    </r>
  </si>
  <si>
    <t>Groupe de ventilation système C</t>
  </si>
  <si>
    <t>montant forfaitaire du groupe (€/pce)</t>
  </si>
  <si>
    <t>Montant de subvention (70%)</t>
  </si>
  <si>
    <t>Groupe de ventilation système D</t>
  </si>
  <si>
    <t>- Temp de base</t>
  </si>
  <si>
    <t>Cellule :</t>
  </si>
  <si>
    <t>Aaigem</t>
  </si>
  <si>
    <t>Aalbeke</t>
  </si>
  <si>
    <t>Aalst</t>
  </si>
  <si>
    <t>Aalter</t>
  </si>
  <si>
    <t>Aarschot</t>
  </si>
  <si>
    <t>Aarsele</t>
  </si>
  <si>
    <t>Aartrijke</t>
  </si>
  <si>
    <t>Aartselaar</t>
  </si>
  <si>
    <t>Abee</t>
  </si>
  <si>
    <t>Abolens</t>
  </si>
  <si>
    <t>Achel</t>
  </si>
  <si>
    <t>Achene</t>
  </si>
  <si>
    <t>Achet</t>
  </si>
  <si>
    <t>Acosse</t>
  </si>
  <si>
    <t>Acoz</t>
  </si>
  <si>
    <t>Adegem</t>
  </si>
  <si>
    <t>Adinkerke</t>
  </si>
  <si>
    <t>Affligem</t>
  </si>
  <si>
    <t>Afsnee</t>
  </si>
  <si>
    <t>Agimont</t>
  </si>
  <si>
    <t>Aineffe</t>
  </si>
  <si>
    <t>Aische-en-Refail</t>
  </si>
  <si>
    <t>Aiseau</t>
  </si>
  <si>
    <t>Aiseau-Presles</t>
  </si>
  <si>
    <t>Aisemont</t>
  </si>
  <si>
    <t>Alken</t>
  </si>
  <si>
    <t>Alle</t>
  </si>
  <si>
    <t>Alleur</t>
  </si>
  <si>
    <t>Alsemberg</t>
  </si>
  <si>
    <t>Alveringem</t>
  </si>
  <si>
    <t>Amay</t>
  </si>
  <si>
    <t>Amberloup</t>
  </si>
  <si>
    <t>Ambly</t>
  </si>
  <si>
    <t>Ambresin</t>
  </si>
  <si>
    <t>Amel</t>
  </si>
  <si>
    <t>Amonines</t>
  </si>
  <si>
    <t>Amougies</t>
  </si>
  <si>
    <t>Ampsin</t>
  </si>
  <si>
    <t>Andenne</t>
  </si>
  <si>
    <t>Anderlecht</t>
  </si>
  <si>
    <t>Anderlues</t>
  </si>
  <si>
    <t>Andrimont</t>
  </si>
  <si>
    <t>Angleur</t>
  </si>
  <si>
    <t>Angre</t>
  </si>
  <si>
    <t>Angreau</t>
  </si>
  <si>
    <t>Anhee</t>
  </si>
  <si>
    <t>Anlier</t>
  </si>
  <si>
    <t>Anloy</t>
  </si>
  <si>
    <t>Annevoie-Rouillon</t>
  </si>
  <si>
    <t>Ans</t>
  </si>
  <si>
    <t>Anseremme</t>
  </si>
  <si>
    <t>Anseroeul</t>
  </si>
  <si>
    <t>Anthee</t>
  </si>
  <si>
    <t>Antheit</t>
  </si>
  <si>
    <t>Anthisnes</t>
  </si>
  <si>
    <t>Antoing</t>
  </si>
  <si>
    <t>Antwerpen</t>
  </si>
  <si>
    <t>Anvaing</t>
  </si>
  <si>
    <t>Anzegem</t>
  </si>
  <si>
    <t>Appels</t>
  </si>
  <si>
    <t>Appelterre-Eichem</t>
  </si>
  <si>
    <t>Arbre</t>
  </si>
  <si>
    <t>Arbrefontaine</t>
  </si>
  <si>
    <t>Arc-Ainieres</t>
  </si>
  <si>
    <t>Arc-Wattripont</t>
  </si>
  <si>
    <t>Archennes</t>
  </si>
  <si>
    <t>Ardooie</t>
  </si>
  <si>
    <t>Arendonk</t>
  </si>
  <si>
    <t>Argenteau</t>
  </si>
  <si>
    <t>Arlon</t>
  </si>
  <si>
    <t>Arquennes</t>
  </si>
  <si>
    <t>Arsimont</t>
  </si>
  <si>
    <t>Arville</t>
  </si>
  <si>
    <t>As</t>
  </si>
  <si>
    <t>Aspelare</t>
  </si>
  <si>
    <t>Asper</t>
  </si>
  <si>
    <t>Asquillies</t>
  </si>
  <si>
    <t>Asse</t>
  </si>
  <si>
    <t>Assebroek</t>
  </si>
  <si>
    <t>Assenede</t>
  </si>
  <si>
    <t>Assenois</t>
  </si>
  <si>
    <t>Assent</t>
  </si>
  <si>
    <t>Assesse</t>
  </si>
  <si>
    <t>Astene</t>
  </si>
  <si>
    <t>Ath</t>
  </si>
  <si>
    <t>Athis</t>
  </si>
  <si>
    <t>Athus</t>
  </si>
  <si>
    <t>Attenhoven</t>
  </si>
  <si>
    <t>Attenrode</t>
  </si>
  <si>
    <t>Attert</t>
  </si>
  <si>
    <t>Attre</t>
  </si>
  <si>
    <t>Aubange</t>
  </si>
  <si>
    <t>Aubechies</t>
  </si>
  <si>
    <t>Aubel</t>
  </si>
  <si>
    <t>Aublain</t>
  </si>
  <si>
    <t>Auby-sur-Semois</t>
  </si>
  <si>
    <t>Auderghem</t>
  </si>
  <si>
    <t>Audregnies</t>
  </si>
  <si>
    <t>Aulnois</t>
  </si>
  <si>
    <t>Autelbas</t>
  </si>
  <si>
    <t>Autre-Eglise</t>
  </si>
  <si>
    <t>Autreppe</t>
  </si>
  <si>
    <t>Auvelais</t>
  </si>
  <si>
    <t>Ave-et-Auffe</t>
  </si>
  <si>
    <t>Avekapelle</t>
  </si>
  <si>
    <t>Avelgem</t>
  </si>
  <si>
    <t>Avennes</t>
  </si>
  <si>
    <t>Averbode</t>
  </si>
  <si>
    <t>Avernas-le-Bauduin</t>
  </si>
  <si>
    <t>Avin</t>
  </si>
  <si>
    <t>Awans</t>
  </si>
  <si>
    <t>Awenne</t>
  </si>
  <si>
    <t>Awirs</t>
  </si>
  <si>
    <t>Aye</t>
  </si>
  <si>
    <t>Ayeneux</t>
  </si>
  <si>
    <t>Aywaille</t>
  </si>
  <si>
    <t>Baaigem</t>
  </si>
  <si>
    <t>Baal</t>
  </si>
  <si>
    <t>Baardegem</t>
  </si>
  <si>
    <t>Baarle-Hertog</t>
  </si>
  <si>
    <t>Baasrode</t>
  </si>
  <si>
    <t>Bachte-Maria-Leerne</t>
  </si>
  <si>
    <t>Baelen</t>
  </si>
  <si>
    <t>Bagimont</t>
  </si>
  <si>
    <t>Baileux</t>
  </si>
  <si>
    <t>Bailievre</t>
  </si>
  <si>
    <t>Baillamont</t>
  </si>
  <si>
    <t>Bailleul</t>
  </si>
  <si>
    <t>Baillonville</t>
  </si>
  <si>
    <t>Baisieux</t>
  </si>
  <si>
    <t>Baisy-Thy</t>
  </si>
  <si>
    <t>Balatre</t>
  </si>
  <si>
    <t>Balegem</t>
  </si>
  <si>
    <t>Balen</t>
  </si>
  <si>
    <t>Bambrugge</t>
  </si>
  <si>
    <t>Bande</t>
  </si>
  <si>
    <t>Barben‡on</t>
  </si>
  <si>
    <t>Barchon</t>
  </si>
  <si>
    <t>Baronville</t>
  </si>
  <si>
    <t>Barry</t>
  </si>
  <si>
    <t>Barvaux</t>
  </si>
  <si>
    <t>Barvaux-Condroz</t>
  </si>
  <si>
    <t>Bas-Warneton</t>
  </si>
  <si>
    <t>Bas-Oha</t>
  </si>
  <si>
    <t>Basecles</t>
  </si>
  <si>
    <t>Basse-Bodeux</t>
  </si>
  <si>
    <t>Bassenge</t>
  </si>
  <si>
    <t>Bassevelde</t>
  </si>
  <si>
    <t>Bassilly</t>
  </si>
  <si>
    <t>Bastogne</t>
  </si>
  <si>
    <t>Batsheers</t>
  </si>
  <si>
    <t>Battice</t>
  </si>
  <si>
    <t>Battignies</t>
  </si>
  <si>
    <t>Baudour</t>
  </si>
  <si>
    <t>Bauffe</t>
  </si>
  <si>
    <t>Baugnies</t>
  </si>
  <si>
    <t>Baulers</t>
  </si>
  <si>
    <t>Bavegem</t>
  </si>
  <si>
    <t>Bavikhove</t>
  </si>
  <si>
    <t>Bazel</t>
  </si>
  <si>
    <t>Beaufays</t>
  </si>
  <si>
    <t>Beaumont</t>
  </si>
  <si>
    <t>Beauraing</t>
  </si>
  <si>
    <t>Beausaint</t>
  </si>
  <si>
    <t>Beauvechain</t>
  </si>
  <si>
    <t>Beauvoorde</t>
  </si>
  <si>
    <t>Beauwelz</t>
  </si>
  <si>
    <t>Beclers</t>
  </si>
  <si>
    <t>Beek</t>
  </si>
  <si>
    <t>Beerlegem</t>
  </si>
  <si>
    <t>Beernem</t>
  </si>
  <si>
    <t>Beerse</t>
  </si>
  <si>
    <t>Beersel</t>
  </si>
  <si>
    <t>Beerst</t>
  </si>
  <si>
    <t>Beert</t>
  </si>
  <si>
    <t>Beervelde</t>
  </si>
  <si>
    <t>Beerzel</t>
  </si>
  <si>
    <t>Beez</t>
  </si>
  <si>
    <t>Beffe</t>
  </si>
  <si>
    <t>Begijnendijk</t>
  </si>
  <si>
    <t>Beho</t>
  </si>
  <si>
    <t>Beigem</t>
  </si>
  <si>
    <t>Bekegem</t>
  </si>
  <si>
    <t>Bekkerzeel</t>
  </si>
  <si>
    <t>Bekkevoort</t>
  </si>
  <si>
    <t>Belgrade</t>
  </si>
  <si>
    <t>Bellaire</t>
  </si>
  <si>
    <t>Bellecourt</t>
  </si>
  <si>
    <t>Bellefontaine</t>
  </si>
  <si>
    <t>Bellegem</t>
  </si>
  <si>
    <t>Bellem</t>
  </si>
  <si>
    <t>Bellevaux</t>
  </si>
  <si>
    <t>Bellevaux-Ligneuville</t>
  </si>
  <si>
    <t>Bellingen</t>
  </si>
  <si>
    <t>Beloeil</t>
  </si>
  <si>
    <t>Belsele</t>
  </si>
  <si>
    <t>Ben-Ahin</t>
  </si>
  <si>
    <t>Bende</t>
  </si>
  <si>
    <t>Berbroek</t>
  </si>
  <si>
    <t>Berchem-Sainte-Agathe</t>
  </si>
  <si>
    <t>Berchem</t>
  </si>
  <si>
    <t>Berendrecht</t>
  </si>
  <si>
    <t>Berg</t>
  </si>
  <si>
    <t>Bergilers</t>
  </si>
  <si>
    <t>Beringen</t>
  </si>
  <si>
    <t>Berlaar</t>
  </si>
  <si>
    <t>Berlare</t>
  </si>
  <si>
    <t>Berlingen</t>
  </si>
  <si>
    <t>Berloz</t>
  </si>
  <si>
    <t>Berneau</t>
  </si>
  <si>
    <t>Bernissart</t>
  </si>
  <si>
    <t>Bersillies-l'Abbaye</t>
  </si>
  <si>
    <t>Bertem</t>
  </si>
  <si>
    <t>Bertogne</t>
  </si>
  <si>
    <t>Bertree</t>
  </si>
  <si>
    <t>Bertrix</t>
  </si>
  <si>
    <t>Berzee</t>
  </si>
  <si>
    <t>Beselare</t>
  </si>
  <si>
    <t>Betekom</t>
  </si>
  <si>
    <t>Bettincourt</t>
  </si>
  <si>
    <t>Beuzet</t>
  </si>
  <si>
    <t>Bevel</t>
  </si>
  <si>
    <t>Bever</t>
  </si>
  <si>
    <t>Beverce</t>
  </si>
  <si>
    <t>Bevere</t>
  </si>
  <si>
    <t>Beveren</t>
  </si>
  <si>
    <t>Beverlo</t>
  </si>
  <si>
    <t>Beverst</t>
  </si>
  <si>
    <t>Beyne-Heusay</t>
  </si>
  <si>
    <t>Bienne-lez-Happart</t>
  </si>
  <si>
    <t>Bierbeek</t>
  </si>
  <si>
    <t>Biercee</t>
  </si>
  <si>
    <t>Bierges</t>
  </si>
  <si>
    <t>Bierghes</t>
  </si>
  <si>
    <t>Bierset</t>
  </si>
  <si>
    <t>Bierwart</t>
  </si>
  <si>
    <t>Biesme</t>
  </si>
  <si>
    <t>Biesme-sous-Thuin</t>
  </si>
  <si>
    <t>Biesmeree</t>
  </si>
  <si>
    <t>Bievre</t>
  </si>
  <si>
    <t>Biez</t>
  </si>
  <si>
    <t>Bihain</t>
  </si>
  <si>
    <t>Bikschote</t>
  </si>
  <si>
    <t>Bilstain</t>
  </si>
  <si>
    <t>Bilzen</t>
  </si>
  <si>
    <t>Binche</t>
  </si>
  <si>
    <t>Binderveld</t>
  </si>
  <si>
    <t>Binkom</t>
  </si>
  <si>
    <t>Bioul</t>
  </si>
  <si>
    <t>Bissegem</t>
  </si>
  <si>
    <t>Blaasveld</t>
  </si>
  <si>
    <t>Blaimont</t>
  </si>
  <si>
    <t>Blandain</t>
  </si>
  <si>
    <t>Blanden</t>
  </si>
  <si>
    <t>Blankenberge</t>
  </si>
  <si>
    <t>Blaregnies</t>
  </si>
  <si>
    <t>Blaton</t>
  </si>
  <si>
    <t>Blaugies</t>
  </si>
  <si>
    <t>Blegny</t>
  </si>
  <si>
    <t>Bleharies</t>
  </si>
  <si>
    <t>Blehen</t>
  </si>
  <si>
    <t>Bleid</t>
  </si>
  <si>
    <t>Bleret</t>
  </si>
  <si>
    <t>Blicquy</t>
  </si>
  <si>
    <t>Bocholt</t>
  </si>
  <si>
    <t>Boechout</t>
  </si>
  <si>
    <t>Boekhout</t>
  </si>
  <si>
    <t>Boekhoute</t>
  </si>
  <si>
    <t>Boelhe</t>
  </si>
  <si>
    <t>Boezinge</t>
  </si>
  <si>
    <t>Bogaarden</t>
  </si>
  <si>
    <t>Bohan</t>
  </si>
  <si>
    <t>Boignee</t>
  </si>
  <si>
    <t>Boirs</t>
  </si>
  <si>
    <t>Bois-et-Borsu</t>
  </si>
  <si>
    <t>Bois-de-Lessines</t>
  </si>
  <si>
    <t>Bois-d'Haine</t>
  </si>
  <si>
    <t>Bois-de-Villers</t>
  </si>
  <si>
    <t>Bolinne</t>
  </si>
  <si>
    <t>Bolland</t>
  </si>
  <si>
    <t>Bomal</t>
  </si>
  <si>
    <t>Bombaye</t>
  </si>
  <si>
    <t>Bommershoven</t>
  </si>
  <si>
    <t>Bon-Secours</t>
  </si>
  <si>
    <t>Boncelles</t>
  </si>
  <si>
    <t>Boneffe</t>
  </si>
  <si>
    <t>Bonheiden</t>
  </si>
  <si>
    <t>Boninne</t>
  </si>
  <si>
    <t>Bonlez</t>
  </si>
  <si>
    <t>Bonnert</t>
  </si>
  <si>
    <t>Bonneville</t>
  </si>
  <si>
    <t>Bonsin</t>
  </si>
  <si>
    <t>Booischot</t>
  </si>
  <si>
    <t>Booitshoeke</t>
  </si>
  <si>
    <t>Boom</t>
  </si>
  <si>
    <t>Boorsem</t>
  </si>
  <si>
    <t>Boortmeerbeek</t>
  </si>
  <si>
    <t>Borchtlombeek</t>
  </si>
  <si>
    <t>Borgerhout</t>
  </si>
  <si>
    <t>Borgloon</t>
  </si>
  <si>
    <t>Borlez</t>
  </si>
  <si>
    <t>Borlo</t>
  </si>
  <si>
    <t>Borlon</t>
  </si>
  <si>
    <t>Bornem</t>
  </si>
  <si>
    <t>Bornival</t>
  </si>
  <si>
    <t>Borsbeek</t>
  </si>
  <si>
    <t>Borsbeke</t>
  </si>
  <si>
    <t>Bossiere</t>
  </si>
  <si>
    <t>Bossuit</t>
  </si>
  <si>
    <t>Bossut-Gottechain</t>
  </si>
  <si>
    <t>Bost</t>
  </si>
  <si>
    <t>Bothey</t>
  </si>
  <si>
    <t>Bottelare</t>
  </si>
  <si>
    <t>Bouffioulx</t>
  </si>
  <si>
    <t>Bouge</t>
  </si>
  <si>
    <t>Bougnies</t>
  </si>
  <si>
    <t>Bouillon</t>
  </si>
  <si>
    <t>Bourlers</t>
  </si>
  <si>
    <t>Bourseigne-Neuve</t>
  </si>
  <si>
    <t>Bourseigne-Vieille</t>
  </si>
  <si>
    <t>Boussoit</t>
  </si>
  <si>
    <t>Boussu</t>
  </si>
  <si>
    <t>Boussu-en-Fagne</t>
  </si>
  <si>
    <t>Boussu-lez-Walcourt</t>
  </si>
  <si>
    <t>Bousval</t>
  </si>
  <si>
    <t>Boutersem</t>
  </si>
  <si>
    <t>Bouvignes-sur-Meuse</t>
  </si>
  <si>
    <t>Bouvignies</t>
  </si>
  <si>
    <t>Bouwel</t>
  </si>
  <si>
    <t>Bovekerke</t>
  </si>
  <si>
    <t>Bovelingen</t>
  </si>
  <si>
    <t>Bovenistier</t>
  </si>
  <si>
    <t>Bovesse</t>
  </si>
  <si>
    <t>Bovigny</t>
  </si>
  <si>
    <t>Bra</t>
  </si>
  <si>
    <t>Braffe</t>
  </si>
  <si>
    <t>Braibant</t>
  </si>
  <si>
    <t>Braine-l'Alleud</t>
  </si>
  <si>
    <t>Braine-le-Comte</t>
  </si>
  <si>
    <t>Braine-le-Chateau</t>
  </si>
  <si>
    <t>Braives</t>
  </si>
  <si>
    <t>Brakel</t>
  </si>
  <si>
    <t>Branchon</t>
  </si>
  <si>
    <t>Bras</t>
  </si>
  <si>
    <t>Brasmenil</t>
  </si>
  <si>
    <t>Brasschaat</t>
  </si>
  <si>
    <t>Bray</t>
  </si>
  <si>
    <t>Brecht</t>
  </si>
  <si>
    <t>Bredene</t>
  </si>
  <si>
    <t>Bree</t>
  </si>
  <si>
    <t>Breendonk</t>
  </si>
  <si>
    <t>Bressoux</t>
  </si>
  <si>
    <t>Brielen</t>
  </si>
  <si>
    <t>Broechem</t>
  </si>
  <si>
    <t>Broekom</t>
  </si>
  <si>
    <t>Brugelette</t>
  </si>
  <si>
    <t>Brugge</t>
  </si>
  <si>
    <t>Bruly-de-Pesche</t>
  </si>
  <si>
    <t>Bruly</t>
  </si>
  <si>
    <t>Brunehaut</t>
  </si>
  <si>
    <t>Brussegem</t>
  </si>
  <si>
    <t>Brussel</t>
  </si>
  <si>
    <t>Brustem</t>
  </si>
  <si>
    <t>Bruxelles</t>
  </si>
  <si>
    <t>Bruyelle</t>
  </si>
  <si>
    <t>Brye</t>
  </si>
  <si>
    <t>Budingen</t>
  </si>
  <si>
    <t>Buggenhout</t>
  </si>
  <si>
    <t>Buissenal</t>
  </si>
  <si>
    <t>Buissonville</t>
  </si>
  <si>
    <t>Buizingen</t>
  </si>
  <si>
    <t>Buken</t>
  </si>
  <si>
    <t>Bullingen</t>
  </si>
  <si>
    <t>Bulskamp</t>
  </si>
  <si>
    <t>Bunsbeek</t>
  </si>
  <si>
    <t>Burcht</t>
  </si>
  <si>
    <t>Burdinne</t>
  </si>
  <si>
    <t>Bure</t>
  </si>
  <si>
    <t>Burg-Reuland</t>
  </si>
  <si>
    <t>Burst</t>
  </si>
  <si>
    <t>Bury</t>
  </si>
  <si>
    <t>Butgenbach</t>
  </si>
  <si>
    <t>Buvingen</t>
  </si>
  <si>
    <t>Buvrinnes</t>
  </si>
  <si>
    <t>Buzenol</t>
  </si>
  <si>
    <t>Buzet</t>
  </si>
  <si>
    <t>Callenelle</t>
  </si>
  <si>
    <t>Calonne</t>
  </si>
  <si>
    <t>Cambron-Casteau</t>
  </si>
  <si>
    <t>Cambron-Saint-Vincent</t>
  </si>
  <si>
    <t>Carlsbourg</t>
  </si>
  <si>
    <t>Carnieres</t>
  </si>
  <si>
    <t>Casteau</t>
  </si>
  <si>
    <t>Castillon</t>
  </si>
  <si>
    <t>Celles</t>
  </si>
  <si>
    <t>Cerexhe-Heuseux</t>
  </si>
  <si>
    <t>Cerfontaine</t>
  </si>
  <si>
    <t>Ceroux-Mousty</t>
  </si>
  <si>
    <t>Chaineux</t>
  </si>
  <si>
    <t>Chairiere</t>
  </si>
  <si>
    <t>Champion</t>
  </si>
  <si>
    <t>Champlon</t>
  </si>
  <si>
    <t>Chanly</t>
  </si>
  <si>
    <t>Chantemelle</t>
  </si>
  <si>
    <t>Chapelle-lez-Herlaimont</t>
  </si>
  <si>
    <t>Chapelle-a-Oie</t>
  </si>
  <si>
    <t>Chapelle-a-Wattines</t>
  </si>
  <si>
    <t>Chapon-Seraing</t>
  </si>
  <si>
    <t>Charleroi</t>
  </si>
  <si>
    <t>Charneux</t>
  </si>
  <si>
    <t>Chassepierre</t>
  </si>
  <si>
    <t>Chastre-Villeroux-Blanmont</t>
  </si>
  <si>
    <t>Chastre</t>
  </si>
  <si>
    <t>Chastres</t>
  </si>
  <si>
    <t>Chatelet</t>
  </si>
  <si>
    <t>Chatelineau</t>
  </si>
  <si>
    <t>Chatillon</t>
  </si>
  <si>
    <t>Chaudfontaine</t>
  </si>
  <si>
    <t>Chaumont-Gistoux</t>
  </si>
  <si>
    <t>Chaussee-Notre-Dame-Louvignies</t>
  </si>
  <si>
    <t>Chenee</t>
  </si>
  <si>
    <t>Cherain</t>
  </si>
  <si>
    <t>Cheratte</t>
  </si>
  <si>
    <t>Chercq</t>
  </si>
  <si>
    <t>Chevetogne</t>
  </si>
  <si>
    <t>Chevron</t>
  </si>
  <si>
    <t>Chievres</t>
  </si>
  <si>
    <t>Chimay</t>
  </si>
  <si>
    <t>Chiny</t>
  </si>
  <si>
    <t>Chokier</t>
  </si>
  <si>
    <t>Ciergnon</t>
  </si>
  <si>
    <t>Ciney</t>
  </si>
  <si>
    <t>Ciplet</t>
  </si>
  <si>
    <t>Ciply</t>
  </si>
  <si>
    <t>Clabecq</t>
  </si>
  <si>
    <t>Clavier</t>
  </si>
  <si>
    <t>Clermont-sous-Huy</t>
  </si>
  <si>
    <t>Clermont</t>
  </si>
  <si>
    <t>Cognelee</t>
  </si>
  <si>
    <t>Colfontaine</t>
  </si>
  <si>
    <t>Comblain-au-Pont</t>
  </si>
  <si>
    <t>Comblain-Fairon</t>
  </si>
  <si>
    <t>Comines-Warneton</t>
  </si>
  <si>
    <t>Conneux</t>
  </si>
  <si>
    <t>Corbais</t>
  </si>
  <si>
    <t>Corbion</t>
  </si>
  <si>
    <t>Cordes</t>
  </si>
  <si>
    <t>Corenne</t>
  </si>
  <si>
    <t>Cornesse</t>
  </si>
  <si>
    <t>Cornimont</t>
  </si>
  <si>
    <t>Corroy-le-Grand</t>
  </si>
  <si>
    <t>Corroy-le-Chateau</t>
  </si>
  <si>
    <t>Corswarem</t>
  </si>
  <si>
    <t>Cortil-Noirmont</t>
  </si>
  <si>
    <t>Cortil-Wodon</t>
  </si>
  <si>
    <t>Couillet</t>
  </si>
  <si>
    <t>Cour-sur-Heure</t>
  </si>
  <si>
    <t>Courcelles</t>
  </si>
  <si>
    <t>Courriere</t>
  </si>
  <si>
    <t>Court-Saint-Etienne</t>
  </si>
  <si>
    <t>Couthuin</t>
  </si>
  <si>
    <t>Coutisse</t>
  </si>
  <si>
    <t>Couture-Saint-Germain</t>
  </si>
  <si>
    <t>Couvin</t>
  </si>
  <si>
    <t>Cras-Avernas</t>
  </si>
  <si>
    <t>Crehen</t>
  </si>
  <si>
    <t>Crisnee</t>
  </si>
  <si>
    <t>Croix-lez-Rouveroy</t>
  </si>
  <si>
    <t>Crombach</t>
  </si>
  <si>
    <t>Crupet</t>
  </si>
  <si>
    <t>Cuesmes</t>
  </si>
  <si>
    <t>Cugnon</t>
  </si>
  <si>
    <t>Cul-des-Sarts</t>
  </si>
  <si>
    <t>Custinne</t>
  </si>
  <si>
    <t>Dadizele</t>
  </si>
  <si>
    <t>Dailly</t>
  </si>
  <si>
    <t>Daknam</t>
  </si>
  <si>
    <t>Dalhem</t>
  </si>
  <si>
    <t>Damme</t>
  </si>
  <si>
    <t>Dampicourt</t>
  </si>
  <si>
    <t>Dampremy</t>
  </si>
  <si>
    <t>Darion</t>
  </si>
  <si>
    <t>Daussois</t>
  </si>
  <si>
    <t>Daussoulx</t>
  </si>
  <si>
    <t>Dave</t>
  </si>
  <si>
    <t>Daverdisse</t>
  </si>
  <si>
    <t>De Haan</t>
  </si>
  <si>
    <t>De Panne</t>
  </si>
  <si>
    <t>De Pinte</t>
  </si>
  <si>
    <t>De Moeren</t>
  </si>
  <si>
    <t>De Klinge</t>
  </si>
  <si>
    <t>Deerlijk</t>
  </si>
  <si>
    <t>Deftinge</t>
  </si>
  <si>
    <t>Deinze</t>
  </si>
  <si>
    <t>Denderbelle</t>
  </si>
  <si>
    <t>Denderhoutem</t>
  </si>
  <si>
    <t>Denderleeuw</t>
  </si>
  <si>
    <t>Dendermonde</t>
  </si>
  <si>
    <t>Denderwindeke</t>
  </si>
  <si>
    <t>Denee</t>
  </si>
  <si>
    <t>Dentergem</t>
  </si>
  <si>
    <t>Dergneau</t>
  </si>
  <si>
    <t>Dessel</t>
  </si>
  <si>
    <t>Desselgem</t>
  </si>
  <si>
    <t>Destelbergen</t>
  </si>
  <si>
    <t>Desteldonk</t>
  </si>
  <si>
    <t>Deurle</t>
  </si>
  <si>
    <t>Deurne</t>
  </si>
  <si>
    <t>Deux-Acren</t>
  </si>
  <si>
    <t>Dhuy</t>
  </si>
  <si>
    <t>Diegem</t>
  </si>
  <si>
    <t>Diepenbeek</t>
  </si>
  <si>
    <t>Diest</t>
  </si>
  <si>
    <t>Diets-Heur</t>
  </si>
  <si>
    <t>Dikkebus</t>
  </si>
  <si>
    <t>Dikkele</t>
  </si>
  <si>
    <t>Dikkelvenne</t>
  </si>
  <si>
    <t>Diksmuide</t>
  </si>
  <si>
    <t>Dilbeek</t>
  </si>
  <si>
    <t>Dilsen</t>
  </si>
  <si>
    <t>Dinant</t>
  </si>
  <si>
    <t>Dion-le-Mont</t>
  </si>
  <si>
    <t>Dion</t>
  </si>
  <si>
    <t>Dion-le-Val</t>
  </si>
  <si>
    <t>Dion-Valmont</t>
  </si>
  <si>
    <t>Dison</t>
  </si>
  <si>
    <t>Dochamps</t>
  </si>
  <si>
    <t>Doel</t>
  </si>
  <si>
    <t>Dohan</t>
  </si>
  <si>
    <t>Doische</t>
  </si>
  <si>
    <t>Dolembreux</t>
  </si>
  <si>
    <t>Donceel</t>
  </si>
  <si>
    <t>Dongelberg</t>
  </si>
  <si>
    <t>Donk</t>
  </si>
  <si>
    <t>Donstiennes</t>
  </si>
  <si>
    <t>Dorinne</t>
  </si>
  <si>
    <t>Dormaal</t>
  </si>
  <si>
    <t>Dottignies</t>
  </si>
  <si>
    <t>Dour</t>
  </si>
  <si>
    <t>Dourbes</t>
  </si>
  <si>
    <t>Dranouter</t>
  </si>
  <si>
    <t>Drehance</t>
  </si>
  <si>
    <t>Driekapellen</t>
  </si>
  <si>
    <t>Drieslinter</t>
  </si>
  <si>
    <t>Drogenbos</t>
  </si>
  <si>
    <t>Drongen</t>
  </si>
  <si>
    <t>Dudzele</t>
  </si>
  <si>
    <t>Duffel</t>
  </si>
  <si>
    <t>Duisburg</t>
  </si>
  <si>
    <t>Duras</t>
  </si>
  <si>
    <t>Durbuy</t>
  </si>
  <si>
    <t>Durnal</t>
  </si>
  <si>
    <t>Dworp</t>
  </si>
  <si>
    <t>Eben-Emael</t>
  </si>
  <si>
    <t>Ebly</t>
  </si>
  <si>
    <t>Ecaussinnes</t>
  </si>
  <si>
    <t>Ecaussinnes-d'Enghien</t>
  </si>
  <si>
    <t>Ecaussinnes-Lalaing</t>
  </si>
  <si>
    <t>Edegem</t>
  </si>
  <si>
    <t>Edelare</t>
  </si>
  <si>
    <t>Eeklo</t>
  </si>
  <si>
    <t>Eernegem</t>
  </si>
  <si>
    <t>Egem</t>
  </si>
  <si>
    <t>Eggewaartskapelle</t>
  </si>
  <si>
    <t>Eghezee</t>
  </si>
  <si>
    <t>Ehein</t>
  </si>
  <si>
    <t>Eigenbilzen</t>
  </si>
  <si>
    <t>Eindhout</t>
  </si>
  <si>
    <t>Eine</t>
  </si>
  <si>
    <t>Eisden</t>
  </si>
  <si>
    <t>Eke</t>
  </si>
  <si>
    <t>Ekeren</t>
  </si>
  <si>
    <t>Eksaarde</t>
  </si>
  <si>
    <t>Eksel</t>
  </si>
  <si>
    <t>Elderen</t>
  </si>
  <si>
    <t>Elen</t>
  </si>
  <si>
    <t>Elene</t>
  </si>
  <si>
    <t>Elewijt</t>
  </si>
  <si>
    <t>Eliksem</t>
  </si>
  <si>
    <t>Elingen</t>
  </si>
  <si>
    <t>Ellemelle</t>
  </si>
  <si>
    <t>Ellezelles</t>
  </si>
  <si>
    <t>Ellignies-Sainte-Anne</t>
  </si>
  <si>
    <t>Ellignies-lez-Frasnes</t>
  </si>
  <si>
    <t>Ellikom</t>
  </si>
  <si>
    <t>Elouges</t>
  </si>
  <si>
    <t>Elsegem</t>
  </si>
  <si>
    <t>Elsenborn</t>
  </si>
  <si>
    <t>Elsene</t>
  </si>
  <si>
    <t>Elst</t>
  </si>
  <si>
    <t>Elverdinge</t>
  </si>
  <si>
    <t>Elversele</t>
  </si>
  <si>
    <t>Emblem</t>
  </si>
  <si>
    <t>Embourg</t>
  </si>
  <si>
    <t>Emelgem</t>
  </si>
  <si>
    <t>Emines</t>
  </si>
  <si>
    <t>Emptinne</t>
  </si>
  <si>
    <t>Ename</t>
  </si>
  <si>
    <t>Engelmanshoven</t>
  </si>
  <si>
    <t>Enghien</t>
  </si>
  <si>
    <t>Engis</t>
  </si>
  <si>
    <t>Enines</t>
  </si>
  <si>
    <t>Ensival</t>
  </si>
  <si>
    <t>Epinois</t>
  </si>
  <si>
    <t>Eppegem</t>
  </si>
  <si>
    <t>Eprave</t>
  </si>
  <si>
    <t>Erbaut</t>
  </si>
  <si>
    <t>Erbisoeul</t>
  </si>
  <si>
    <t>Ere</t>
  </si>
  <si>
    <t>Erembodegem</t>
  </si>
  <si>
    <t>Erezee</t>
  </si>
  <si>
    <t>Ermeton-sur-Biert</t>
  </si>
  <si>
    <t>Ernage</t>
  </si>
  <si>
    <t>Erneuville</t>
  </si>
  <si>
    <t>Ernonheid</t>
  </si>
  <si>
    <t>Erondegem</t>
  </si>
  <si>
    <t>Erpe-Mere</t>
  </si>
  <si>
    <t>Erpe</t>
  </si>
  <si>
    <t>Erpent</t>
  </si>
  <si>
    <t>Erpion</t>
  </si>
  <si>
    <t>Erps-Kwerps</t>
  </si>
  <si>
    <t>Erquelinnes</t>
  </si>
  <si>
    <t>Erquennes</t>
  </si>
  <si>
    <t>Ertvelde</t>
  </si>
  <si>
    <t>Erwetegem</t>
  </si>
  <si>
    <t>Escanaffles</t>
  </si>
  <si>
    <t>Esen</t>
  </si>
  <si>
    <t>Esneux</t>
  </si>
  <si>
    <t>Esplechin</t>
  </si>
  <si>
    <t>Esquelmes</t>
  </si>
  <si>
    <t>Essen</t>
  </si>
  <si>
    <t>Essene</t>
  </si>
  <si>
    <t>Estaimbourg</t>
  </si>
  <si>
    <t>Estaimpuis</t>
  </si>
  <si>
    <t>Estinnes-au-Val</t>
  </si>
  <si>
    <t>Estinnes-au-Mont</t>
  </si>
  <si>
    <t>Estinnes</t>
  </si>
  <si>
    <t>Etalle</t>
  </si>
  <si>
    <t>Ethe</t>
  </si>
  <si>
    <t>Etikhove</t>
  </si>
  <si>
    <t>Ettelgem</t>
  </si>
  <si>
    <t>Etterbeek</t>
  </si>
  <si>
    <t>Eugies</t>
  </si>
  <si>
    <t>Eupen</t>
  </si>
  <si>
    <t>Evegnee-Tignee</t>
  </si>
  <si>
    <t>Evelette</t>
  </si>
  <si>
    <t>Everbeek</t>
  </si>
  <si>
    <t>Everberg</t>
  </si>
  <si>
    <t>Evere</t>
  </si>
  <si>
    <t>Evergem</t>
  </si>
  <si>
    <t>Evregnies</t>
  </si>
  <si>
    <t>Evrehailles</t>
  </si>
  <si>
    <t>Eynatten</t>
  </si>
  <si>
    <t>Ezemaal</t>
  </si>
  <si>
    <t>Fagnolle</t>
  </si>
  <si>
    <t>Faimes</t>
  </si>
  <si>
    <t>Fala‰n</t>
  </si>
  <si>
    <t>Falisolle</t>
  </si>
  <si>
    <t>Fallais</t>
  </si>
  <si>
    <t>Falmagne</t>
  </si>
  <si>
    <t>Falmignoul</t>
  </si>
  <si>
    <t>Familleureux</t>
  </si>
  <si>
    <t>Farciennes</t>
  </si>
  <si>
    <t>Faulx-les-Tombes</t>
  </si>
  <si>
    <t>Fauroeulx</t>
  </si>
  <si>
    <t>Fauvillers</t>
  </si>
  <si>
    <t>Faymonville</t>
  </si>
  <si>
    <t>Fays-les-Veneurs</t>
  </si>
  <si>
    <t>Fayt-le-Franc</t>
  </si>
  <si>
    <t>Fayt-lez-Manage</t>
  </si>
  <si>
    <t>Felenne</t>
  </si>
  <si>
    <t>Feluy</t>
  </si>
  <si>
    <t>Feneur</t>
  </si>
  <si>
    <t>Fernelmont</t>
  </si>
  <si>
    <t>Ferrieres</t>
  </si>
  <si>
    <t>Feschaux</t>
  </si>
  <si>
    <t>Fexhe-Slins</t>
  </si>
  <si>
    <t>Fexhe-le-Haut-Clocher</t>
  </si>
  <si>
    <t>Filot</t>
  </si>
  <si>
    <t>Finnevaux</t>
  </si>
  <si>
    <t>Fize-le-Marsal</t>
  </si>
  <si>
    <t>Fize-Fontaine</t>
  </si>
  <si>
    <t>Flamierge</t>
  </si>
  <si>
    <t>Flavion</t>
  </si>
  <si>
    <t>Flawinne</t>
  </si>
  <si>
    <t>Flemalle-Grande</t>
  </si>
  <si>
    <t>Flemalle-Haute</t>
  </si>
  <si>
    <t>Flemalle</t>
  </si>
  <si>
    <t>Flenu</t>
  </si>
  <si>
    <t>Fleron</t>
  </si>
  <si>
    <t>Fleurus</t>
  </si>
  <si>
    <t>Flobecq</t>
  </si>
  <si>
    <t>Fl“ne</t>
  </si>
  <si>
    <t>Floree</t>
  </si>
  <si>
    <t>Floreffe</t>
  </si>
  <si>
    <t>Florennes</t>
  </si>
  <si>
    <t>Florenville</t>
  </si>
  <si>
    <t>Floriffoux</t>
  </si>
  <si>
    <t>Flostoy</t>
  </si>
  <si>
    <t>Focant</t>
  </si>
  <si>
    <t>Folx-les-Caves</t>
  </si>
  <si>
    <t>Fontaine-l'Eveque</t>
  </si>
  <si>
    <t>Fontaine-Valmont</t>
  </si>
  <si>
    <t>Fontenelle</t>
  </si>
  <si>
    <t>Fontenoille</t>
  </si>
  <si>
    <t>Fontenoy</t>
  </si>
  <si>
    <t>Fooz</t>
  </si>
  <si>
    <t>Forchies-la-Marche</t>
  </si>
  <si>
    <t>Forest</t>
  </si>
  <si>
    <t>Foret</t>
  </si>
  <si>
    <t>Forge-Philippe</t>
  </si>
  <si>
    <t>Forges</t>
  </si>
  <si>
    <t>Forrieres</t>
  </si>
  <si>
    <t>Forville</t>
  </si>
  <si>
    <t>Fosse</t>
  </si>
  <si>
    <t>Fosses-la-Ville</t>
  </si>
  <si>
    <t>Fouleng</t>
  </si>
  <si>
    <t>Fourbechies</t>
  </si>
  <si>
    <t>Foy-Notre-Dame</t>
  </si>
  <si>
    <t>Fraipont</t>
  </si>
  <si>
    <t>Fraire</t>
  </si>
  <si>
    <t>Fraiture</t>
  </si>
  <si>
    <t>Frameries</t>
  </si>
  <si>
    <t>Framont</t>
  </si>
  <si>
    <t>Franc-Waret</t>
  </si>
  <si>
    <t>Franchimont</t>
  </si>
  <si>
    <t>Francorchamps</t>
  </si>
  <si>
    <t>Franiere</t>
  </si>
  <si>
    <t>Frasnes</t>
  </si>
  <si>
    <t>Frasnes-lez-Anvaing</t>
  </si>
  <si>
    <t>Frasnes-lez-Buissenal</t>
  </si>
  <si>
    <t>Frasnes-lez-Gosselies</t>
  </si>
  <si>
    <t>Freloux</t>
  </si>
  <si>
    <t>Freux</t>
  </si>
  <si>
    <t>Froidchapelle</t>
  </si>
  <si>
    <t>Froidfontaine</t>
  </si>
  <si>
    <t>Froidmont</t>
  </si>
  <si>
    <t>Fronville</t>
  </si>
  <si>
    <t>Froyennes</t>
  </si>
  <si>
    <t>Fumal</t>
  </si>
  <si>
    <t>Furfooz</t>
  </si>
  <si>
    <t>Furnaux</t>
  </si>
  <si>
    <t>Gaasbeek</t>
  </si>
  <si>
    <t>Gages</t>
  </si>
  <si>
    <t>Gallaix</t>
  </si>
  <si>
    <t>Galmaarden</t>
  </si>
  <si>
    <t>Ganshoren</t>
  </si>
  <si>
    <t>Gaurain-Ramecroix</t>
  </si>
  <si>
    <t>Gavere</t>
  </si>
  <si>
    <t>Gedinne</t>
  </si>
  <si>
    <t>Geel</t>
  </si>
  <si>
    <t>Geer</t>
  </si>
  <si>
    <t>Geest-Gerompont-Petit-Rosiere</t>
  </si>
  <si>
    <t>Geetbets</t>
  </si>
  <si>
    <t>Gelbressee</t>
  </si>
  <si>
    <t>Gelinden</t>
  </si>
  <si>
    <t>Gellik</t>
  </si>
  <si>
    <t>Gelmen</t>
  </si>
  <si>
    <t>Gelrode</t>
  </si>
  <si>
    <t>Geluveld</t>
  </si>
  <si>
    <t>Geluwe</t>
  </si>
  <si>
    <t>Gembes</t>
  </si>
  <si>
    <t>Gembloux</t>
  </si>
  <si>
    <t>Gemmenich</t>
  </si>
  <si>
    <t>Genappe</t>
  </si>
  <si>
    <t>Genk</t>
  </si>
  <si>
    <t>Genly</t>
  </si>
  <si>
    <t>Genoelselderen</t>
  </si>
  <si>
    <t>Gent</t>
  </si>
  <si>
    <t>Gentbrugge</t>
  </si>
  <si>
    <t>Gentinnes</t>
  </si>
  <si>
    <t>Genval</t>
  </si>
  <si>
    <t>Geraardsbergen</t>
  </si>
  <si>
    <t>Gerdingen</t>
  </si>
  <si>
    <t>Gerin</t>
  </si>
  <si>
    <t>Gerompont</t>
  </si>
  <si>
    <t>Gerouville</t>
  </si>
  <si>
    <t>Gerpinnes</t>
  </si>
  <si>
    <t>Gestel</t>
  </si>
  <si>
    <t>Gesves</t>
  </si>
  <si>
    <t>Ghislenghien</t>
  </si>
  <si>
    <t>Ghlin</t>
  </si>
  <si>
    <t>Ghoy</t>
  </si>
  <si>
    <t>Gibecq</t>
  </si>
  <si>
    <t>Gierle</t>
  </si>
  <si>
    <t>Gijverinkhove</t>
  </si>
  <si>
    <t>Gijzegem</t>
  </si>
  <si>
    <t>Gijzelbrechtegem</t>
  </si>
  <si>
    <t>Gijzenzele</t>
  </si>
  <si>
    <t>Gilly</t>
  </si>
  <si>
    <t>Gimnee</t>
  </si>
  <si>
    <t>Gingelom</t>
  </si>
  <si>
    <t>Gistel</t>
  </si>
  <si>
    <t>Gits</t>
  </si>
  <si>
    <t>Givry</t>
  </si>
  <si>
    <t>Glabais</t>
  </si>
  <si>
    <t>Glabbeek-Zuurbemde</t>
  </si>
  <si>
    <t>Glabbeek</t>
  </si>
  <si>
    <t>Glain</t>
  </si>
  <si>
    <t>Gleixhe</t>
  </si>
  <si>
    <t>Glimes</t>
  </si>
  <si>
    <t>Glons</t>
  </si>
  <si>
    <t>Gochenee</t>
  </si>
  <si>
    <t>Godarville</t>
  </si>
  <si>
    <t>Godinne</t>
  </si>
  <si>
    <t>Godveerdegem</t>
  </si>
  <si>
    <t>Goe</t>
  </si>
  <si>
    <t>Goeferdinge</t>
  </si>
  <si>
    <t>Goegnies-Chaussee</t>
  </si>
  <si>
    <t>Goesnes</t>
  </si>
  <si>
    <t>Goetsenhoven</t>
  </si>
  <si>
    <t>Gomze-Andoumont</t>
  </si>
  <si>
    <t>Gondregnies</t>
  </si>
  <si>
    <t>Gonrieux</t>
  </si>
  <si>
    <t>Gontrode</t>
  </si>
  <si>
    <t>Gooik</t>
  </si>
  <si>
    <t>Gors-Opleeuw</t>
  </si>
  <si>
    <t>Gorsem</t>
  </si>
  <si>
    <t>Gosselies</t>
  </si>
  <si>
    <t>Gotem</t>
  </si>
  <si>
    <t>Gottem</t>
  </si>
  <si>
    <t>Gougnies</t>
  </si>
  <si>
    <t>Gourdinne</t>
  </si>
  <si>
    <t>Goutroux</t>
  </si>
  <si>
    <t>Gouvy</t>
  </si>
  <si>
    <t>Gouy-lez-Pieton</t>
  </si>
  <si>
    <t>Gozee</t>
  </si>
  <si>
    <t>Grace-Hollogne</t>
  </si>
  <si>
    <t>Grace-Berleur</t>
  </si>
  <si>
    <t>Graide</t>
  </si>
  <si>
    <t>Grammene</t>
  </si>
  <si>
    <t>Grand-Reng</t>
  </si>
  <si>
    <t>Grand-Rechain</t>
  </si>
  <si>
    <t>Grand-Manil</t>
  </si>
  <si>
    <t>Grand-Leez</t>
  </si>
  <si>
    <t>Grand-Hallet</t>
  </si>
  <si>
    <t>Grand-Rosiere-Hottomont</t>
  </si>
  <si>
    <t>Grand-Halleux</t>
  </si>
  <si>
    <t>Grand-Axhe</t>
  </si>
  <si>
    <t>Grandglise</t>
  </si>
  <si>
    <t>Grandhan</t>
  </si>
  <si>
    <t>Grandmenil</t>
  </si>
  <si>
    <t>Grandmetz</t>
  </si>
  <si>
    <t>Grandrieu</t>
  </si>
  <si>
    <t>Grandville</t>
  </si>
  <si>
    <t>Grandvoir</t>
  </si>
  <si>
    <t>Grapfontaine</t>
  </si>
  <si>
    <t>Graty</t>
  </si>
  <si>
    <t>Graux</t>
  </si>
  <si>
    <t>Grazen</t>
  </si>
  <si>
    <t>Grembergen</t>
  </si>
  <si>
    <t>Grez-Doiceau</t>
  </si>
  <si>
    <t>Grimbergen</t>
  </si>
  <si>
    <t>Grimminge</t>
  </si>
  <si>
    <t>Grivegnee</t>
  </si>
  <si>
    <t>Grobbendonk</t>
  </si>
  <si>
    <t>Groot-Bijgaarden</t>
  </si>
  <si>
    <t>Groot-Loon</t>
  </si>
  <si>
    <t>Groot-Gelmen</t>
  </si>
  <si>
    <t>Gros-Fays</t>
  </si>
  <si>
    <t>Grosage</t>
  </si>
  <si>
    <t>Grote-Spouwen</t>
  </si>
  <si>
    <t>Grote-Brogel</t>
  </si>
  <si>
    <t>Grotenberge</t>
  </si>
  <si>
    <t>Gruitrode</t>
  </si>
  <si>
    <t>Grune</t>
  </si>
  <si>
    <t>Grupont</t>
  </si>
  <si>
    <t>Guignies</t>
  </si>
  <si>
    <t>Guigoven</t>
  </si>
  <si>
    <t>Guirsch</t>
  </si>
  <si>
    <t>Gullegem</t>
  </si>
  <si>
    <t>Gutschoven</t>
  </si>
  <si>
    <t>Haacht</t>
  </si>
  <si>
    <t>Haaltert</t>
  </si>
  <si>
    <t>Haasdonk</t>
  </si>
  <si>
    <t>Haasrode</t>
  </si>
  <si>
    <t>Habay</t>
  </si>
  <si>
    <t>Habay-la-Vieille</t>
  </si>
  <si>
    <t>Habay-la-Neuve</t>
  </si>
  <si>
    <t>Habergy</t>
  </si>
  <si>
    <t>Haccourt</t>
  </si>
  <si>
    <t>Hachy</t>
  </si>
  <si>
    <t>Hacquegnies</t>
  </si>
  <si>
    <t>Haillot</t>
  </si>
  <si>
    <t>Haine-Saint-Paul</t>
  </si>
  <si>
    <t>Haine-Saint-Pierre</t>
  </si>
  <si>
    <t>Hainin</t>
  </si>
  <si>
    <t>Hakendover</t>
  </si>
  <si>
    <t>Halanzy</t>
  </si>
  <si>
    <t>Halen</t>
  </si>
  <si>
    <t>Hallaar</t>
  </si>
  <si>
    <t>Halle</t>
  </si>
  <si>
    <t>Halle-Booienhoven</t>
  </si>
  <si>
    <t>Halleux</t>
  </si>
  <si>
    <t>Halma</t>
  </si>
  <si>
    <t>Halmaal</t>
  </si>
  <si>
    <t>Haltinne</t>
  </si>
  <si>
    <t>Ham-sur-Heure</t>
  </si>
  <si>
    <t>Ham</t>
  </si>
  <si>
    <t>Ham-sur-Heure-Nalinnes</t>
  </si>
  <si>
    <t>Ham-sur-Sambre</t>
  </si>
  <si>
    <t>Hamipre</t>
  </si>
  <si>
    <t>Hamme-Mille</t>
  </si>
  <si>
    <t>Hamme</t>
  </si>
  <si>
    <t>Hamoir</t>
  </si>
  <si>
    <t>Hamois</t>
  </si>
  <si>
    <t>Hamont-Achel</t>
  </si>
  <si>
    <t>Hamont</t>
  </si>
  <si>
    <t>Hampteau</t>
  </si>
  <si>
    <t>Han-sur-Lesse</t>
  </si>
  <si>
    <t>Handzame</t>
  </si>
  <si>
    <t>Haneffe</t>
  </si>
  <si>
    <t>Hanneche</t>
  </si>
  <si>
    <t>Hannut</t>
  </si>
  <si>
    <t>Hanret</t>
  </si>
  <si>
    <t>Hansbeke</t>
  </si>
  <si>
    <t>Hantes-Wiheries</t>
  </si>
  <si>
    <t>Hanzinelle</t>
  </si>
  <si>
    <t>Hanzinne</t>
  </si>
  <si>
    <t>Harchies</t>
  </si>
  <si>
    <t>Harelbeke</t>
  </si>
  <si>
    <t>Haren</t>
  </si>
  <si>
    <t>Hargimont</t>
  </si>
  <si>
    <t>Harmignies</t>
  </si>
  <si>
    <t>Harnoncourt</t>
  </si>
  <si>
    <t>Harre</t>
  </si>
  <si>
    <t>Harsin</t>
  </si>
  <si>
    <t>Harveng</t>
  </si>
  <si>
    <t>Harze</t>
  </si>
  <si>
    <t>Hasselt</t>
  </si>
  <si>
    <t>Hastiere-Lavaux</t>
  </si>
  <si>
    <t>Hastiere</t>
  </si>
  <si>
    <t>Hastiere-par-dela</t>
  </si>
  <si>
    <t>Hatrival</t>
  </si>
  <si>
    <t>Haulchin</t>
  </si>
  <si>
    <t>Hauset</t>
  </si>
  <si>
    <t>Haut-Fays</t>
  </si>
  <si>
    <t>Haut-le-Wastia</t>
  </si>
  <si>
    <t>Haut-Ittre</t>
  </si>
  <si>
    <t>Hautrage</t>
  </si>
  <si>
    <t>Havay</t>
  </si>
  <si>
    <t>Havelange</t>
  </si>
  <si>
    <t>Havinnes</t>
  </si>
  <si>
    <t>Havre</t>
  </si>
  <si>
    <t>Hechtel</t>
  </si>
  <si>
    <t>Hechtel-Eksel</t>
  </si>
  <si>
    <t>Heer</t>
  </si>
  <si>
    <t>Heers</t>
  </si>
  <si>
    <t>Hees</t>
  </si>
  <si>
    <t>Heestert</t>
  </si>
  <si>
    <t>Heffen</t>
  </si>
  <si>
    <t>Heikruis</t>
  </si>
  <si>
    <t>Heindonk</t>
  </si>
  <si>
    <t>Heinsch</t>
  </si>
  <si>
    <t>Heist-op-den-Berg</t>
  </si>
  <si>
    <t>Heist</t>
  </si>
  <si>
    <t>Hekelgem</t>
  </si>
  <si>
    <t>Heks</t>
  </si>
  <si>
    <t>Helchteren</t>
  </si>
  <si>
    <t>Heldergem</t>
  </si>
  <si>
    <t>Helecine</t>
  </si>
  <si>
    <t>Helen-Bos</t>
  </si>
  <si>
    <t>Helkijn</t>
  </si>
  <si>
    <t>Hellebecq</t>
  </si>
  <si>
    <t>Hemelveerdegem</t>
  </si>
  <si>
    <t>Hemiksem</t>
  </si>
  <si>
    <t>Hemptinne</t>
  </si>
  <si>
    <t>Hendrieken</t>
  </si>
  <si>
    <t>Henis</t>
  </si>
  <si>
    <t>Hennuyeres</t>
  </si>
  <si>
    <t>Henri-Chapelle</t>
  </si>
  <si>
    <t>Henripont</t>
  </si>
  <si>
    <t>Hensies</t>
  </si>
  <si>
    <t>Heppen</t>
  </si>
  <si>
    <t>Heppenbach</t>
  </si>
  <si>
    <t>Heppignies</t>
  </si>
  <si>
    <t>Herbeumont</t>
  </si>
  <si>
    <t>Herchies</t>
  </si>
  <si>
    <t>Herderen</t>
  </si>
  <si>
    <t>Herdersem</t>
  </si>
  <si>
    <t>Herent</t>
  </si>
  <si>
    <t>Herentals</t>
  </si>
  <si>
    <t>Herenthout</t>
  </si>
  <si>
    <t>Herfelingen</t>
  </si>
  <si>
    <t>Hergenrath</t>
  </si>
  <si>
    <t>Herinnes</t>
  </si>
  <si>
    <t>Herk-de-Stad</t>
  </si>
  <si>
    <t>Hermalle-sous-Huy</t>
  </si>
  <si>
    <t>Hermalle-sous-Argenteau</t>
  </si>
  <si>
    <t>Hermee</t>
  </si>
  <si>
    <t>Hermelgem</t>
  </si>
  <si>
    <t>Hermeton-sur-Meuse</t>
  </si>
  <si>
    <t>Herne</t>
  </si>
  <si>
    <t>Heron</t>
  </si>
  <si>
    <t>Herquegies</t>
  </si>
  <si>
    <t>Herseaux</t>
  </si>
  <si>
    <t>Herselt</t>
  </si>
  <si>
    <t>Herstal</t>
  </si>
  <si>
    <t>Herstappe</t>
  </si>
  <si>
    <t>Hertain</t>
  </si>
  <si>
    <t>Herten</t>
  </si>
  <si>
    <t>Hertsberge</t>
  </si>
  <si>
    <t>Herve</t>
  </si>
  <si>
    <t>Herzele</t>
  </si>
  <si>
    <t>Heule</t>
  </si>
  <si>
    <t>Heure-le-Romain</t>
  </si>
  <si>
    <t>Heure</t>
  </si>
  <si>
    <t>Heurne</t>
  </si>
  <si>
    <t>Heusden</t>
  </si>
  <si>
    <t>Heusden-Zolder</t>
  </si>
  <si>
    <t>Heusy</t>
  </si>
  <si>
    <t>Heuvelland</t>
  </si>
  <si>
    <t>Hever</t>
  </si>
  <si>
    <t>Heverlee</t>
  </si>
  <si>
    <t>Hevillers</t>
  </si>
  <si>
    <t>Heyd</t>
  </si>
  <si>
    <t>Hillegem</t>
  </si>
  <si>
    <t>Hingene</t>
  </si>
  <si>
    <t>Hingeon</t>
  </si>
  <si>
    <t>Hives</t>
  </si>
  <si>
    <t>Hoboken</t>
  </si>
  <si>
    <t>Hodeige</t>
  </si>
  <si>
    <t>Hodimont</t>
  </si>
  <si>
    <t>Hodister</t>
  </si>
  <si>
    <t>Hody</t>
  </si>
  <si>
    <t>Hoegaarden</t>
  </si>
  <si>
    <t>Hoeilaart</t>
  </si>
  <si>
    <t>Hoeke</t>
  </si>
  <si>
    <t>Hoelbeek</t>
  </si>
  <si>
    <t>Hoeleden</t>
  </si>
  <si>
    <t>Hoepertingen</t>
  </si>
  <si>
    <t>Hoeselt</t>
  </si>
  <si>
    <t>Hoevenen</t>
  </si>
  <si>
    <t>Hofstade</t>
  </si>
  <si>
    <t>Hogne</t>
  </si>
  <si>
    <t>Hognoul</t>
  </si>
  <si>
    <t>Hollain</t>
  </si>
  <si>
    <t>Hollange</t>
  </si>
  <si>
    <t>Hollebeke</t>
  </si>
  <si>
    <t>Hollogne-aux-Pierres</t>
  </si>
  <si>
    <t>Hollogne-sur-Geer</t>
  </si>
  <si>
    <t>Holsbeek</t>
  </si>
  <si>
    <t>Hombeek</t>
  </si>
  <si>
    <t>Hombourg</t>
  </si>
  <si>
    <t>Hompre</t>
  </si>
  <si>
    <t>Hondelange</t>
  </si>
  <si>
    <t>Honnay</t>
  </si>
  <si>
    <t>Honnelles</t>
  </si>
  <si>
    <t>Honsem</t>
  </si>
  <si>
    <t>Hooglede</t>
  </si>
  <si>
    <t>Hoogstade</t>
  </si>
  <si>
    <t>Hoogstraten</t>
  </si>
  <si>
    <t>Horebeke</t>
  </si>
  <si>
    <t>Horion-Hozemont</t>
  </si>
  <si>
    <t>Hornu</t>
  </si>
  <si>
    <t>Horpmaal</t>
  </si>
  <si>
    <t>Horrues</t>
  </si>
  <si>
    <t>Hotton</t>
  </si>
  <si>
    <t>Houdemont</t>
  </si>
  <si>
    <t>Houdeng-Goegnies</t>
  </si>
  <si>
    <t>Houdeng-Aimeries</t>
  </si>
  <si>
    <t>Houdremont</t>
  </si>
  <si>
    <t>Houffalize</t>
  </si>
  <si>
    <t>Hour</t>
  </si>
  <si>
    <t>Housse</t>
  </si>
  <si>
    <t>Houtain-le-Val</t>
  </si>
  <si>
    <t>Houtain-Saint-Simeon</t>
  </si>
  <si>
    <t>Houtaing</t>
  </si>
  <si>
    <t>Houtave</t>
  </si>
  <si>
    <t>Houtem</t>
  </si>
  <si>
    <t>Houthalen</t>
  </si>
  <si>
    <t>Houthalen-Helchteren</t>
  </si>
  <si>
    <t>Houthem</t>
  </si>
  <si>
    <t>Houthulst</t>
  </si>
  <si>
    <t>Houtvenne</t>
  </si>
  <si>
    <t>Houwaart</t>
  </si>
  <si>
    <t>Houx</t>
  </si>
  <si>
    <t>Houyet</t>
  </si>
  <si>
    <t>Hove</t>
  </si>
  <si>
    <t>Hoves</t>
  </si>
  <si>
    <t>Howardries</t>
  </si>
  <si>
    <t>Huccorgne</t>
  </si>
  <si>
    <t>Huise</t>
  </si>
  <si>
    <t>Huissignies</t>
  </si>
  <si>
    <t>Huizingen</t>
  </si>
  <si>
    <t>Huldenberg</t>
  </si>
  <si>
    <t>Hulshout</t>
  </si>
  <si>
    <t>Hulsonniaux</t>
  </si>
  <si>
    <t>Hulste</t>
  </si>
  <si>
    <t>Humain</t>
  </si>
  <si>
    <t>Humbeek</t>
  </si>
  <si>
    <t>Hundelgem</t>
  </si>
  <si>
    <t>Huppaye</t>
  </si>
  <si>
    <t>Huy</t>
  </si>
  <si>
    <t>Hyon</t>
  </si>
  <si>
    <t>Ichtegem</t>
  </si>
  <si>
    <t>Iddergem</t>
  </si>
  <si>
    <t>Idegem</t>
  </si>
  <si>
    <t>Ieper</t>
  </si>
  <si>
    <t>Impe</t>
  </si>
  <si>
    <t>Incourt</t>
  </si>
  <si>
    <t>Ingelmunster</t>
  </si>
  <si>
    <t>Ingooigem</t>
  </si>
  <si>
    <t>Irchonwelz</t>
  </si>
  <si>
    <t>Isieres</t>
  </si>
  <si>
    <t>Isnes</t>
  </si>
  <si>
    <t>Itegem</t>
  </si>
  <si>
    <t>Itterbeek</t>
  </si>
  <si>
    <t>Ittre</t>
  </si>
  <si>
    <t>Ivoz-Ramet</t>
  </si>
  <si>
    <t>Ixelles</t>
  </si>
  <si>
    <t>Izegem</t>
  </si>
  <si>
    <t>Izel</t>
  </si>
  <si>
    <t>Izenberge</t>
  </si>
  <si>
    <t>Izier</t>
  </si>
  <si>
    <t>Jabbeke</t>
  </si>
  <si>
    <t>Jalhay</t>
  </si>
  <si>
    <t>Jallet</t>
  </si>
  <si>
    <t>Jamagne</t>
  </si>
  <si>
    <t>Jambes</t>
  </si>
  <si>
    <t>Jamiolle</t>
  </si>
  <si>
    <t>Jamioulx</t>
  </si>
  <si>
    <t>Jamoigne</t>
  </si>
  <si>
    <t>Jandrain-Jandrenouille</t>
  </si>
  <si>
    <t>Jauche</t>
  </si>
  <si>
    <t>Jauchelette</t>
  </si>
  <si>
    <t>Javingue</t>
  </si>
  <si>
    <t>Jehay-Bodegnee</t>
  </si>
  <si>
    <t>Jehonville</t>
  </si>
  <si>
    <t>Jemappes</t>
  </si>
  <si>
    <t>Jemelle</t>
  </si>
  <si>
    <t>Jemeppe-sur-Sambre</t>
  </si>
  <si>
    <t>Jemeppe</t>
  </si>
  <si>
    <t>Jeneffe</t>
  </si>
  <si>
    <t>Jesseren</t>
  </si>
  <si>
    <t>Jette</t>
  </si>
  <si>
    <t>Jeuk</t>
  </si>
  <si>
    <t>Jodoigne-Souveraine</t>
  </si>
  <si>
    <t>Jodoigne</t>
  </si>
  <si>
    <t>Jollain-Merlin</t>
  </si>
  <si>
    <t>Joncret</t>
  </si>
  <si>
    <t>Julemont</t>
  </si>
  <si>
    <t>Jumet</t>
  </si>
  <si>
    <t>Jupille-sur-Meuse</t>
  </si>
  <si>
    <t>Juprelle</t>
  </si>
  <si>
    <t>Jurbise</t>
  </si>
  <si>
    <t>Juseret</t>
  </si>
  <si>
    <t>Kaaskerke</t>
  </si>
  <si>
    <t>Kachtem</t>
  </si>
  <si>
    <t>Kaggevinne</t>
  </si>
  <si>
    <t>Kain</t>
  </si>
  <si>
    <t>Kalken</t>
  </si>
  <si>
    <t>Kallo</t>
  </si>
  <si>
    <t>Kalmthout</t>
  </si>
  <si>
    <t>Kampenhout</t>
  </si>
  <si>
    <t>Kanegem</t>
  </si>
  <si>
    <t>Kanne</t>
  </si>
  <si>
    <t>Kapelle-op-den-Bos</t>
  </si>
  <si>
    <t>Kapellen</t>
  </si>
  <si>
    <t>Kaprijke</t>
  </si>
  <si>
    <t>Kaster</t>
  </si>
  <si>
    <t>Kasterlee</t>
  </si>
  <si>
    <t>Kaulille</t>
  </si>
  <si>
    <t>Keerbergen</t>
  </si>
  <si>
    <t>Keiem</t>
  </si>
  <si>
    <t>Kelmis</t>
  </si>
  <si>
    <t>Kemexhe</t>
  </si>
  <si>
    <t>Kemmel</t>
  </si>
  <si>
    <t>Kemzeke</t>
  </si>
  <si>
    <t>Kerkhove</t>
  </si>
  <si>
    <t>Kerkom</t>
  </si>
  <si>
    <t>Kerkom-bij-Sint-Truiden</t>
  </si>
  <si>
    <t>Kerksken</t>
  </si>
  <si>
    <t>Kermt</t>
  </si>
  <si>
    <t>Kerniel</t>
  </si>
  <si>
    <t>Kersbeek-Miskom</t>
  </si>
  <si>
    <t>Kessel-Lo</t>
  </si>
  <si>
    <t>Kessel</t>
  </si>
  <si>
    <t>Kessenich</t>
  </si>
  <si>
    <t>Kester</t>
  </si>
  <si>
    <t>Kettenis</t>
  </si>
  <si>
    <t>Keumiee</t>
  </si>
  <si>
    <t>Kieldrecht</t>
  </si>
  <si>
    <t>Kinrooi</t>
  </si>
  <si>
    <t>Klein-Gelmen</t>
  </si>
  <si>
    <t>Kleine-Spouwen</t>
  </si>
  <si>
    <t>Kleine-Brogel</t>
  </si>
  <si>
    <t>Klemskerke</t>
  </si>
  <si>
    <t>Klerken</t>
  </si>
  <si>
    <t>Kluisbergen</t>
  </si>
  <si>
    <t>Kluizen</t>
  </si>
  <si>
    <t>Knesselare</t>
  </si>
  <si>
    <t>Knokke-Heist</t>
  </si>
  <si>
    <t>Knokke</t>
  </si>
  <si>
    <t>Kobbegem</t>
  </si>
  <si>
    <t>Koekelare</t>
  </si>
  <si>
    <t>Koekelberg</t>
  </si>
  <si>
    <t>Koersel</t>
  </si>
  <si>
    <t>Koksijde</t>
  </si>
  <si>
    <t>Kolmont</t>
  </si>
  <si>
    <t>Koningshooikt</t>
  </si>
  <si>
    <t>Koninksem</t>
  </si>
  <si>
    <t>Kontich</t>
  </si>
  <si>
    <t>Kooigem</t>
  </si>
  <si>
    <t>Koolkerke</t>
  </si>
  <si>
    <t>Koolskamp</t>
  </si>
  <si>
    <t>Korbeek-Dijle</t>
  </si>
  <si>
    <t>Korbeek-Lo</t>
  </si>
  <si>
    <t>Kortemark</t>
  </si>
  <si>
    <t>Kortenaken</t>
  </si>
  <si>
    <t>Kortenberg</t>
  </si>
  <si>
    <t>Kortessem</t>
  </si>
  <si>
    <t>Kortijs</t>
  </si>
  <si>
    <t>Kortrijk-Dutsel</t>
  </si>
  <si>
    <t>Kortrijk</t>
  </si>
  <si>
    <t>Kozen</t>
  </si>
  <si>
    <t>Kraainem</t>
  </si>
  <si>
    <t>Krombeke</t>
  </si>
  <si>
    <t>Kruibeke</t>
  </si>
  <si>
    <t>Kruishoutem</t>
  </si>
  <si>
    <t>Kumtich</t>
  </si>
  <si>
    <t>Kuringen</t>
  </si>
  <si>
    <t>Kuttekoven</t>
  </si>
  <si>
    <t>Kuurne</t>
  </si>
  <si>
    <t>Kwaadmechelen</t>
  </si>
  <si>
    <t>Kwaremont</t>
  </si>
  <si>
    <t>L'Ecluse</t>
  </si>
  <si>
    <t>L'Escaillere</t>
  </si>
  <si>
    <t>La Bruyere</t>
  </si>
  <si>
    <t>La Louviere</t>
  </si>
  <si>
    <t>La Hulpe</t>
  </si>
  <si>
    <t>La Bouverie</t>
  </si>
  <si>
    <t>La Hestre</t>
  </si>
  <si>
    <t>La Roche-en-Ardenne</t>
  </si>
  <si>
    <t>La Glanerie</t>
  </si>
  <si>
    <t>La Reid</t>
  </si>
  <si>
    <t>La Gleize</t>
  </si>
  <si>
    <t>Laakdal</t>
  </si>
  <si>
    <t>Laar</t>
  </si>
  <si>
    <t>Laarne</t>
  </si>
  <si>
    <t>Labuissiere</t>
  </si>
  <si>
    <t>Lacuisine</t>
  </si>
  <si>
    <t>Ladeuze</t>
  </si>
  <si>
    <t>Laeken</t>
  </si>
  <si>
    <t>Laforet</t>
  </si>
  <si>
    <t>Lahamaide</t>
  </si>
  <si>
    <t>Laken</t>
  </si>
  <si>
    <t>Lamain</t>
  </si>
  <si>
    <t>Lambermont</t>
  </si>
  <si>
    <t>Lambusart</t>
  </si>
  <si>
    <t>Lamine</t>
  </si>
  <si>
    <t>Lamontzee</t>
  </si>
  <si>
    <t>Lamorteau</t>
  </si>
  <si>
    <t>Lampernisse</t>
  </si>
  <si>
    <t>Lanaken</t>
  </si>
  <si>
    <t>Lanaye</t>
  </si>
  <si>
    <t>Landegem</t>
  </si>
  <si>
    <t>Landelies</t>
  </si>
  <si>
    <t>Landen</t>
  </si>
  <si>
    <t>Landenne</t>
  </si>
  <si>
    <t>Landskouter</t>
  </si>
  <si>
    <t>Laneffe</t>
  </si>
  <si>
    <t>Langdorp</t>
  </si>
  <si>
    <t>Langemark-Poelkapelle</t>
  </si>
  <si>
    <t>Langemark</t>
  </si>
  <si>
    <t>Lanklaar</t>
  </si>
  <si>
    <t>Lanquesaint</t>
  </si>
  <si>
    <t>Lantin</t>
  </si>
  <si>
    <t>Lantremange</t>
  </si>
  <si>
    <t>Laplaigne</t>
  </si>
  <si>
    <t>Lapscheure</t>
  </si>
  <si>
    <t>Lasne-Chapelle-Saint-Lambert</t>
  </si>
  <si>
    <t>Lasne</t>
  </si>
  <si>
    <t>Lathuy</t>
  </si>
  <si>
    <t>Latinne</t>
  </si>
  <si>
    <t>Latour</t>
  </si>
  <si>
    <t>Lauw</t>
  </si>
  <si>
    <t>Lauwe</t>
  </si>
  <si>
    <t>Lavacherie</t>
  </si>
  <si>
    <t>Lavaux-Sainte-Anne</t>
  </si>
  <si>
    <t>Lavoir</t>
  </si>
  <si>
    <t>Le Roux</t>
  </si>
  <si>
    <t>Le Roeulx</t>
  </si>
  <si>
    <t>Le Mesnil</t>
  </si>
  <si>
    <t>Lebbeke</t>
  </si>
  <si>
    <t>Lede</t>
  </si>
  <si>
    <t>Ledeberg</t>
  </si>
  <si>
    <t>Ledegem</t>
  </si>
  <si>
    <t>Leefdaal</t>
  </si>
  <si>
    <t>Leerbeek</t>
  </si>
  <si>
    <t>Leernes</t>
  </si>
  <si>
    <t>Leers-Nord</t>
  </si>
  <si>
    <t>Leers-et-Fosteau</t>
  </si>
  <si>
    <t>Leest</t>
  </si>
  <si>
    <t>Leeuwergem</t>
  </si>
  <si>
    <t>Leffinge</t>
  </si>
  <si>
    <t>Leglise</t>
  </si>
  <si>
    <t>Leignon</t>
  </si>
  <si>
    <t>Leisele</t>
  </si>
  <si>
    <t>Leke</t>
  </si>
  <si>
    <t>Lembeek</t>
  </si>
  <si>
    <t>Lembeke</t>
  </si>
  <si>
    <t>Lemberge</t>
  </si>
  <si>
    <t>Lendelede</t>
  </si>
  <si>
    <t>Lennik</t>
  </si>
  <si>
    <t>Lens-Saint-Servais</t>
  </si>
  <si>
    <t>Lens-Saint-Remy</t>
  </si>
  <si>
    <t>Lens-sur-Geer</t>
  </si>
  <si>
    <t>Lens</t>
  </si>
  <si>
    <t>Leopoldsburg</t>
  </si>
  <si>
    <t>Les Avins</t>
  </si>
  <si>
    <t>Les Hayons</t>
  </si>
  <si>
    <t>Les Bulles</t>
  </si>
  <si>
    <t>Les Waleffes</t>
  </si>
  <si>
    <t>Les Bons Villers</t>
  </si>
  <si>
    <t>Lesdain</t>
  </si>
  <si>
    <t>Lessines</t>
  </si>
  <si>
    <t>Lessive</t>
  </si>
  <si>
    <t>Lesterny</t>
  </si>
  <si>
    <t>Lesve</t>
  </si>
  <si>
    <t>Letterhoutem</t>
  </si>
  <si>
    <t>Leugnies</t>
  </si>
  <si>
    <t>Leupegem</t>
  </si>
  <si>
    <t>Leut</t>
  </si>
  <si>
    <t>Leuven</t>
  </si>
  <si>
    <t>Leuze</t>
  </si>
  <si>
    <t>Leuze-en-Hainaut</t>
  </si>
  <si>
    <t>Leval-Trahegnies</t>
  </si>
  <si>
    <t>Leval-Chaudeville</t>
  </si>
  <si>
    <t>Liberchies</t>
  </si>
  <si>
    <t>Libin</t>
  </si>
  <si>
    <t>Libramont</t>
  </si>
  <si>
    <t>Libramont-Chevigny</t>
  </si>
  <si>
    <t>Lichtaart</t>
  </si>
  <si>
    <t>Lichtervelde</t>
  </si>
  <si>
    <t>Liedekerke</t>
  </si>
  <si>
    <t>Lieferinge</t>
  </si>
  <si>
    <t>Liege</t>
  </si>
  <si>
    <t>Lier</t>
  </si>
  <si>
    <t>Lierde</t>
  </si>
  <si>
    <t>Lierneux</t>
  </si>
  <si>
    <t>Liernu</t>
  </si>
  <si>
    <t>Liers</t>
  </si>
  <si>
    <t>Liezele</t>
  </si>
  <si>
    <t>Ligne</t>
  </si>
  <si>
    <t>Ligney</t>
  </si>
  <si>
    <t>Ligny</t>
  </si>
  <si>
    <t>Lille</t>
  </si>
  <si>
    <t>Lillo</t>
  </si>
  <si>
    <t>Lillois-Witterzee</t>
  </si>
  <si>
    <t>Limal</t>
  </si>
  <si>
    <t>Limbourg</t>
  </si>
  <si>
    <t>Limelette</t>
  </si>
  <si>
    <t>Limerle</t>
  </si>
  <si>
    <t>Limont</t>
  </si>
  <si>
    <t>Lincent</t>
  </si>
  <si>
    <t>Linchet</t>
  </si>
  <si>
    <t>Linden</t>
  </si>
  <si>
    <t>Linkebeek</t>
  </si>
  <si>
    <t>Linkhout</t>
  </si>
  <si>
    <t>Linsmeau</t>
  </si>
  <si>
    <t>Lint</t>
  </si>
  <si>
    <t>Linter</t>
  </si>
  <si>
    <t>Lippelo</t>
  </si>
  <si>
    <t>Lisogne</t>
  </si>
  <si>
    <t>Lissewege</t>
  </si>
  <si>
    <t>Lives-sur-Meuse</t>
  </si>
  <si>
    <t>Lixhe</t>
  </si>
  <si>
    <t>Lo-Reninge</t>
  </si>
  <si>
    <t>Lo</t>
  </si>
  <si>
    <t>Lobbes</t>
  </si>
  <si>
    <t>Lochristi</t>
  </si>
  <si>
    <t>Lodelinsart</t>
  </si>
  <si>
    <t>Loenhout</t>
  </si>
  <si>
    <t>Loker</t>
  </si>
  <si>
    <t>Lokeren</t>
  </si>
  <si>
    <t>Loksbergen</t>
  </si>
  <si>
    <t>Lombardsijde</t>
  </si>
  <si>
    <t>Lombise</t>
  </si>
  <si>
    <t>Lommel</t>
  </si>
  <si>
    <t>Lommersweiler</t>
  </si>
  <si>
    <t>Lompret</t>
  </si>
  <si>
    <t>Lomprez</t>
  </si>
  <si>
    <t>Loncin</t>
  </si>
  <si>
    <t>Londerzeel</t>
  </si>
  <si>
    <t>Longchamps</t>
  </si>
  <si>
    <t>Longlier</t>
  </si>
  <si>
    <t>Longueville</t>
  </si>
  <si>
    <t>Longvilly</t>
  </si>
  <si>
    <t>Lontzen</t>
  </si>
  <si>
    <t>Lonzee</t>
  </si>
  <si>
    <t>Loonbeek</t>
  </si>
  <si>
    <t>Loppem</t>
  </si>
  <si>
    <t>Lorce</t>
  </si>
  <si>
    <t>Lot</t>
  </si>
  <si>
    <t>Lotenhulle</t>
  </si>
  <si>
    <t>Louette-Saint-Denis</t>
  </si>
  <si>
    <t>Louette-Saint-Pierre</t>
  </si>
  <si>
    <t>Loupoigne</t>
  </si>
  <si>
    <t>Louveigne</t>
  </si>
  <si>
    <t>Lovendegem</t>
  </si>
  <si>
    <t>Lovenjoel</t>
  </si>
  <si>
    <t>Loverval</t>
  </si>
  <si>
    <t>Loyers</t>
  </si>
  <si>
    <t>Lubbeek</t>
  </si>
  <si>
    <t>Luingne</t>
  </si>
  <si>
    <t>Lummen</t>
  </si>
  <si>
    <t>Lustin</t>
  </si>
  <si>
    <t>Luttre</t>
  </si>
  <si>
    <t>Maarke-Kerkem</t>
  </si>
  <si>
    <t>Maarkedal</t>
  </si>
  <si>
    <t>Maaseik</t>
  </si>
  <si>
    <t>Maasmechelen</t>
  </si>
  <si>
    <t>Mabompre</t>
  </si>
  <si>
    <t>Machelen</t>
  </si>
  <si>
    <t>Macon</t>
  </si>
  <si>
    <t>Macquenoise</t>
  </si>
  <si>
    <t>Maffe</t>
  </si>
  <si>
    <t>Maffle</t>
  </si>
  <si>
    <t>Magnee</t>
  </si>
  <si>
    <t>Maillen</t>
  </si>
  <si>
    <t>Mainvault</t>
  </si>
  <si>
    <t>Maisieres</t>
  </si>
  <si>
    <t>Maissin</t>
  </si>
  <si>
    <t>Maizeret</t>
  </si>
  <si>
    <t>Mal</t>
  </si>
  <si>
    <t>Maldegem</t>
  </si>
  <si>
    <t>Malderen</t>
  </si>
  <si>
    <t>Malempre</t>
  </si>
  <si>
    <t>Maleves-Sainte-Marie-Wastines</t>
  </si>
  <si>
    <t>Malle</t>
  </si>
  <si>
    <t>Malmedy</t>
  </si>
  <si>
    <t>Malonne</t>
  </si>
  <si>
    <t>Malvoisin</t>
  </si>
  <si>
    <t>Manage</t>
  </si>
  <si>
    <t>Manderfeld</t>
  </si>
  <si>
    <t>Manhay</t>
  </si>
  <si>
    <t>Mannekensvere</t>
  </si>
  <si>
    <t>Maransart</t>
  </si>
  <si>
    <t>Marbais</t>
  </si>
  <si>
    <t>Marbaix</t>
  </si>
  <si>
    <t>Marche-lez-Ecaussinnes</t>
  </si>
  <si>
    <t>Marche-les-Dames</t>
  </si>
  <si>
    <t>Marche-en-Famenne</t>
  </si>
  <si>
    <t>Marchienne-au-Pont</t>
  </si>
  <si>
    <t>Marchin</t>
  </si>
  <si>
    <t>Marchipont</t>
  </si>
  <si>
    <t>Marchovelette</t>
  </si>
  <si>
    <t>Marcinelle</t>
  </si>
  <si>
    <t>Marcourt</t>
  </si>
  <si>
    <t>Marcq</t>
  </si>
  <si>
    <t>Marenne</t>
  </si>
  <si>
    <t>Mariakerke</t>
  </si>
  <si>
    <t>Mariekerke</t>
  </si>
  <si>
    <t>Mariembourg</t>
  </si>
  <si>
    <t>Marilles</t>
  </si>
  <si>
    <t>Marke</t>
  </si>
  <si>
    <t>Markegem</t>
  </si>
  <si>
    <t>Marneffe</t>
  </si>
  <si>
    <t>Marquain</t>
  </si>
  <si>
    <t>Martelange</t>
  </si>
  <si>
    <t>Martenslinde</t>
  </si>
  <si>
    <t>Martouzin-Neuville</t>
  </si>
  <si>
    <t>Masbourg</t>
  </si>
  <si>
    <t>Masnuy-Saint-Jean</t>
  </si>
  <si>
    <t>Masnuy-Saint-Pierre</t>
  </si>
  <si>
    <t>Massemen</t>
  </si>
  <si>
    <t>Massenhoven</t>
  </si>
  <si>
    <t>Matagne-la-Grande</t>
  </si>
  <si>
    <t>Matagne-la-Petite</t>
  </si>
  <si>
    <t>Mater</t>
  </si>
  <si>
    <t>Maubray</t>
  </si>
  <si>
    <t>Maulde</t>
  </si>
  <si>
    <t>Maurage</t>
  </si>
  <si>
    <t>Mazee</t>
  </si>
  <si>
    <t>Mazenzele</t>
  </si>
  <si>
    <t>Mazy</t>
  </si>
  <si>
    <t>Mean</t>
  </si>
  <si>
    <t>Mechelen-Bovelingen</t>
  </si>
  <si>
    <t>Mechelen-aan-de-Maas</t>
  </si>
  <si>
    <t>Mechelen</t>
  </si>
  <si>
    <t>Meeffe</t>
  </si>
  <si>
    <t>Meensel-Kiezegem</t>
  </si>
  <si>
    <t>Meer</t>
  </si>
  <si>
    <t>Meerbeek</t>
  </si>
  <si>
    <t>Meerbeke</t>
  </si>
  <si>
    <t>Meerdonk</t>
  </si>
  <si>
    <t>Meerhout</t>
  </si>
  <si>
    <t>Meerle</t>
  </si>
  <si>
    <t>Meeswijk</t>
  </si>
  <si>
    <t>Meetkerke</t>
  </si>
  <si>
    <t>Meeuwen</t>
  </si>
  <si>
    <t>Meeuwen-Gruitrode</t>
  </si>
  <si>
    <t>Mehaigne</t>
  </si>
  <si>
    <t>Meigem</t>
  </si>
  <si>
    <t>Meilegem</t>
  </si>
  <si>
    <t>Meise</t>
  </si>
  <si>
    <t>Meix-devant-Virton</t>
  </si>
  <si>
    <t>Meix-le-Tige</t>
  </si>
  <si>
    <t>Melden</t>
  </si>
  <si>
    <t>Meldert</t>
  </si>
  <si>
    <t>Melen</t>
  </si>
  <si>
    <t>Melin</t>
  </si>
  <si>
    <t>Melkwezer</t>
  </si>
  <si>
    <t>Melle</t>
  </si>
  <si>
    <t>Mellery</t>
  </si>
  <si>
    <t>Melles</t>
  </si>
  <si>
    <t>Mellet</t>
  </si>
  <si>
    <t>Mellier</t>
  </si>
  <si>
    <t>Melsbroek</t>
  </si>
  <si>
    <t>Melsele</t>
  </si>
  <si>
    <t>Melsen</t>
  </si>
  <si>
    <t>Membach</t>
  </si>
  <si>
    <t>Membre</t>
  </si>
  <si>
    <t>Membruggen</t>
  </si>
  <si>
    <t>Mendonk</t>
  </si>
  <si>
    <t>Menen</t>
  </si>
  <si>
    <t>Merbes-Sainte-Marie</t>
  </si>
  <si>
    <t>Merbes-le-Chateau</t>
  </si>
  <si>
    <t>Merchtem</t>
  </si>
  <si>
    <t>Merdorp</t>
  </si>
  <si>
    <t>Mere</t>
  </si>
  <si>
    <t>Merelbeke</t>
  </si>
  <si>
    <t>Merendree</t>
  </si>
  <si>
    <t>Merkem</t>
  </si>
  <si>
    <t>Merksem</t>
  </si>
  <si>
    <t>Merksplas</t>
  </si>
  <si>
    <t>Merlemont</t>
  </si>
  <si>
    <t>Mesen</t>
  </si>
  <si>
    <t>Meslin-l'Eveque</t>
  </si>
  <si>
    <t>Mesnil-Eglise</t>
  </si>
  <si>
    <t>Mesnil-Saint-Blaise</t>
  </si>
  <si>
    <t>Mespelare</t>
  </si>
  <si>
    <t>Messancy</t>
  </si>
  <si>
    <t>Messelbroek</t>
  </si>
  <si>
    <t>Mesvin</t>
  </si>
  <si>
    <t>Mettekoven</t>
  </si>
  <si>
    <t>Mettet</t>
  </si>
  <si>
    <t>Meulebeke</t>
  </si>
  <si>
    <t>Meux</t>
  </si>
  <si>
    <t>Mevergnies-lez-Lens</t>
  </si>
  <si>
    <t>Meyerode</t>
  </si>
  <si>
    <t>Michelbeke</t>
  </si>
  <si>
    <t>Micheroux</t>
  </si>
  <si>
    <t>Middelburg</t>
  </si>
  <si>
    <t>Middelkerke</t>
  </si>
  <si>
    <t>Miecret</t>
  </si>
  <si>
    <t>Mielen-boven-Aalst</t>
  </si>
  <si>
    <t>Mignault</t>
  </si>
  <si>
    <t>Millen</t>
  </si>
  <si>
    <t>Milmort</t>
  </si>
  <si>
    <t>Minderhout</t>
  </si>
  <si>
    <t>Mirwart</t>
  </si>
  <si>
    <t>Modave</t>
  </si>
  <si>
    <t>Moelingen</t>
  </si>
  <si>
    <t>Moen</t>
  </si>
  <si>
    <t>Moerbeke</t>
  </si>
  <si>
    <t>Moere</t>
  </si>
  <si>
    <t>Moerkerke</t>
  </si>
  <si>
    <t>Moerzeke</t>
  </si>
  <si>
    <t>Moha</t>
  </si>
  <si>
    <t>Mohiville</t>
  </si>
  <si>
    <t>Moignelee</t>
  </si>
  <si>
    <t>Moircy</t>
  </si>
  <si>
    <t>Mol</t>
  </si>
  <si>
    <t>Molenbaix</t>
  </si>
  <si>
    <t>Molenbeek-Wersbeek</t>
  </si>
  <si>
    <t>Molenbeek-Saint-Jean</t>
  </si>
  <si>
    <t>Molenbeersel</t>
  </si>
  <si>
    <t>Molenstede</t>
  </si>
  <si>
    <t>Mollem</t>
  </si>
  <si>
    <t>Momalle</t>
  </si>
  <si>
    <t>Momignies</t>
  </si>
  <si>
    <t>Monceau-sur-Sambre</t>
  </si>
  <si>
    <t>Monceau-en-Ardenne</t>
  </si>
  <si>
    <t>Monceau-Imbrechies</t>
  </si>
  <si>
    <t>Mons-lez-Liege</t>
  </si>
  <si>
    <t>Mons</t>
  </si>
  <si>
    <t>Monstreux</t>
  </si>
  <si>
    <t>Mont-sur-Marchienne</t>
  </si>
  <si>
    <t>Mont</t>
  </si>
  <si>
    <t>Mont-Saint-Andre</t>
  </si>
  <si>
    <t>Mont-Saint-Guibert</t>
  </si>
  <si>
    <t>Mont-Sainte-Aldegonde</t>
  </si>
  <si>
    <t>Mont-Sainte-Genevieve</t>
  </si>
  <si>
    <t>Mont-Gauthier</t>
  </si>
  <si>
    <t>Mont-de-l'Enclus</t>
  </si>
  <si>
    <t>Mont-Saint-Aubert</t>
  </si>
  <si>
    <t>Montbliart</t>
  </si>
  <si>
    <t>Montegnee</t>
  </si>
  <si>
    <t>Montenaken</t>
  </si>
  <si>
    <t>Montignies-sur-Sambre</t>
  </si>
  <si>
    <t>Montignies-sur-Roc</t>
  </si>
  <si>
    <t>Montignies-Saint-Christophe</t>
  </si>
  <si>
    <t>Montignies-lez-Lens</t>
  </si>
  <si>
    <t>Montigny-le-Tilleul</t>
  </si>
  <si>
    <t>Montleban</t>
  </si>
  <si>
    <t>Montroeul-au-Bois</t>
  </si>
  <si>
    <t>Montroeul-sur-Haine</t>
  </si>
  <si>
    <t>Montzen</t>
  </si>
  <si>
    <t>Moorsel</t>
  </si>
  <si>
    <t>Moorsele</t>
  </si>
  <si>
    <t>Moorslede</t>
  </si>
  <si>
    <t>Moortsele</t>
  </si>
  <si>
    <t>Mopertingen</t>
  </si>
  <si>
    <t>Moregem</t>
  </si>
  <si>
    <t>Moresnet</t>
  </si>
  <si>
    <t>Morhet</t>
  </si>
  <si>
    <t>Morialme</t>
  </si>
  <si>
    <t>Morkhoven</t>
  </si>
  <si>
    <t>Morlanwelz</t>
  </si>
  <si>
    <t>Morlanwelz-Mariemont</t>
  </si>
  <si>
    <t>Mormont</t>
  </si>
  <si>
    <t>Mornimont</t>
  </si>
  <si>
    <t>Mortier</t>
  </si>
  <si>
    <t>Mortroux</t>
  </si>
  <si>
    <t>Mortsel</t>
  </si>
  <si>
    <t>Morville</t>
  </si>
  <si>
    <t>Moulbaix</t>
  </si>
  <si>
    <t>Mourcourt</t>
  </si>
  <si>
    <t>Mouscron</t>
  </si>
  <si>
    <t>Moustier</t>
  </si>
  <si>
    <t>Mouzaive</t>
  </si>
  <si>
    <t>Moxhe</t>
  </si>
  <si>
    <t>Mozet</t>
  </si>
  <si>
    <t>Muizen</t>
  </si>
  <si>
    <t>Mullem</t>
  </si>
  <si>
    <t>Munkzwalm</t>
  </si>
  <si>
    <t>Muno</t>
  </si>
  <si>
    <t>Munsterbilzen</t>
  </si>
  <si>
    <t>Munte</t>
  </si>
  <si>
    <t>Musson</t>
  </si>
  <si>
    <t>Mussy-la-Ville</t>
  </si>
  <si>
    <t>My</t>
  </si>
  <si>
    <t>Naast</t>
  </si>
  <si>
    <t>Nadrin</t>
  </si>
  <si>
    <t>Nafraiture</t>
  </si>
  <si>
    <t>Nalinnes</t>
  </si>
  <si>
    <t>Nameche</t>
  </si>
  <si>
    <t>Namur</t>
  </si>
  <si>
    <t>Nandrin</t>
  </si>
  <si>
    <t>Naninne</t>
  </si>
  <si>
    <t>Naome</t>
  </si>
  <si>
    <t>Nassogne</t>
  </si>
  <si>
    <t>Natoye</t>
  </si>
  <si>
    <t>Nazareth</t>
  </si>
  <si>
    <t>Nechin</t>
  </si>
  <si>
    <t>Neder-over-Heembeek</t>
  </si>
  <si>
    <t>Nederboelare</t>
  </si>
  <si>
    <t>Nederbrakel</t>
  </si>
  <si>
    <t>Nederename</t>
  </si>
  <si>
    <t>Nederhasselt</t>
  </si>
  <si>
    <t>Nederokkerzeel</t>
  </si>
  <si>
    <t>Nederzwalm</t>
  </si>
  <si>
    <t>Nederzwalm-Hermelgem</t>
  </si>
  <si>
    <t>Neerglabbeek</t>
  </si>
  <si>
    <t>Neerharen</t>
  </si>
  <si>
    <t>Neerhespen</t>
  </si>
  <si>
    <t>Neerheylissem</t>
  </si>
  <si>
    <t>Neerijse</t>
  </si>
  <si>
    <t>Neerlanden</t>
  </si>
  <si>
    <t>Neerlinter</t>
  </si>
  <si>
    <t>Neeroeteren</t>
  </si>
  <si>
    <t>Neerpelt</t>
  </si>
  <si>
    <t>Neerrepen</t>
  </si>
  <si>
    <t>Neervelp</t>
  </si>
  <si>
    <t>Neerwinden</t>
  </si>
  <si>
    <t>Neigem</t>
  </si>
  <si>
    <t>Nerem</t>
  </si>
  <si>
    <t>Nessonvaux</t>
  </si>
  <si>
    <t>Nethen</t>
  </si>
  <si>
    <t>Nettinne</t>
  </si>
  <si>
    <t>Neu-Moresnet</t>
  </si>
  <si>
    <t>Neufchateau</t>
  </si>
  <si>
    <t>Neufmaison</t>
  </si>
  <si>
    <t>Neufvilles</t>
  </si>
  <si>
    <t>Neupre</t>
  </si>
  <si>
    <t>Neuville-sous-Huy</t>
  </si>
  <si>
    <t>Neuville-en-Condroz</t>
  </si>
  <si>
    <t>Neuville</t>
  </si>
  <si>
    <t>Nevele</t>
  </si>
  <si>
    <t>Niel-bij-As</t>
  </si>
  <si>
    <t>Niel-bij-Sint-Truiden</t>
  </si>
  <si>
    <t>Niel</t>
  </si>
  <si>
    <t>Nieuwenhove</t>
  </si>
  <si>
    <t>Nieuwenrode</t>
  </si>
  <si>
    <t>Nieuwerkerken</t>
  </si>
  <si>
    <t>Nieuwkapelle</t>
  </si>
  <si>
    <t>Nieuwkerke</t>
  </si>
  <si>
    <t>Nieuwkerken-Waas</t>
  </si>
  <si>
    <t>Nieuwmunster</t>
  </si>
  <si>
    <t>Nieuwpoort</t>
  </si>
  <si>
    <t>Nieuwrode</t>
  </si>
  <si>
    <t>Nijlen</t>
  </si>
  <si>
    <t>Nil-Saint-Vincent-Saint-Martin</t>
  </si>
  <si>
    <t>Nimy</t>
  </si>
  <si>
    <t>Ninove</t>
  </si>
  <si>
    <t>Nismes</t>
  </si>
  <si>
    <t>Nivelles</t>
  </si>
  <si>
    <t>Niverlee</t>
  </si>
  <si>
    <t>Nives</t>
  </si>
  <si>
    <t>Nobressart</t>
  </si>
  <si>
    <t>Nodebais</t>
  </si>
  <si>
    <t>Noduwez</t>
  </si>
  <si>
    <t>Noirchain</t>
  </si>
  <si>
    <t>Noirefontaine</t>
  </si>
  <si>
    <t>Noiseux</t>
  </si>
  <si>
    <t>Nokere</t>
  </si>
  <si>
    <t>Nollevaux</t>
  </si>
  <si>
    <t>Noorderwijk</t>
  </si>
  <si>
    <t>Noordschote</t>
  </si>
  <si>
    <t>Nossegem</t>
  </si>
  <si>
    <t>Nothomb</t>
  </si>
  <si>
    <t>Nouvelles</t>
  </si>
  <si>
    <t>Noville</t>
  </si>
  <si>
    <t>Noville-sur-Mehaigne</t>
  </si>
  <si>
    <t>Noville-les-Bois</t>
  </si>
  <si>
    <t>Nukerke</t>
  </si>
  <si>
    <t>Obaix</t>
  </si>
  <si>
    <t>Obigies</t>
  </si>
  <si>
    <t>Obourg</t>
  </si>
  <si>
    <t>Ochamps</t>
  </si>
  <si>
    <t>Ocquier</t>
  </si>
  <si>
    <t>Odeigne</t>
  </si>
  <si>
    <t>Odeur</t>
  </si>
  <si>
    <t>Oedelem</t>
  </si>
  <si>
    <t>Oekene</t>
  </si>
  <si>
    <t>Oelegem</t>
  </si>
  <si>
    <t>Oeren</t>
  </si>
  <si>
    <t>Oeselgem</t>
  </si>
  <si>
    <t>Oetingen</t>
  </si>
  <si>
    <t>Oeudeghien</t>
  </si>
  <si>
    <t>Oevel</t>
  </si>
  <si>
    <t>Offagne</t>
  </si>
  <si>
    <t>Ogy</t>
  </si>
  <si>
    <t>Ohain</t>
  </si>
  <si>
    <t>Ohey</t>
  </si>
  <si>
    <t>Oignies-en-Thierache</t>
  </si>
  <si>
    <t>Oisquercq</t>
  </si>
  <si>
    <t>Oizy</t>
  </si>
  <si>
    <t>Okegem</t>
  </si>
  <si>
    <t>Olen</t>
  </si>
  <si>
    <t>Oleye</t>
  </si>
  <si>
    <t>Ollignies</t>
  </si>
  <si>
    <t>Olloy-sur-Viroin</t>
  </si>
  <si>
    <t>Olmen</t>
  </si>
  <si>
    <t>Olne</t>
  </si>
  <si>
    <t>Olsene</t>
  </si>
  <si>
    <t>Omal</t>
  </si>
  <si>
    <t>Ombret-Rawsa</t>
  </si>
  <si>
    <t>Omezee</t>
  </si>
  <si>
    <t>On</t>
  </si>
  <si>
    <t>Onhaye</t>
  </si>
  <si>
    <t>Onkerzele</t>
  </si>
  <si>
    <t>Onnezies</t>
  </si>
  <si>
    <t>Onoz</t>
  </si>
  <si>
    <t>Onze-Lieve-Vrouw-Lombeek</t>
  </si>
  <si>
    <t>Onze-Lieve-Vrouw-Waver</t>
  </si>
  <si>
    <t>Ooigem</t>
  </si>
  <si>
    <t>Ooike</t>
  </si>
  <si>
    <t>Oombergen</t>
  </si>
  <si>
    <t>Oorbeek</t>
  </si>
  <si>
    <t>Oordegem</t>
  </si>
  <si>
    <t>Oostakker</t>
  </si>
  <si>
    <t>Oostduinkerke</t>
  </si>
  <si>
    <t>Oosteeklo</t>
  </si>
  <si>
    <t>Oostende</t>
  </si>
  <si>
    <t>Oosterzele</t>
  </si>
  <si>
    <t>Oostham</t>
  </si>
  <si>
    <t>Oostkamp</t>
  </si>
  <si>
    <t>Oostkerke</t>
  </si>
  <si>
    <t>Oostmalle</t>
  </si>
  <si>
    <t>Oostnieuwkerke</t>
  </si>
  <si>
    <t>Oostrozebeke</t>
  </si>
  <si>
    <t>Oostvleteren</t>
  </si>
  <si>
    <t>Oostwinkel</t>
  </si>
  <si>
    <t>Opbrakel</t>
  </si>
  <si>
    <t>Opdorp</t>
  </si>
  <si>
    <t>Opglabbeek</t>
  </si>
  <si>
    <t>Opgrimbie</t>
  </si>
  <si>
    <t>Ophain-Bois-Seigneur-Isaac</t>
  </si>
  <si>
    <t>Ophasselt</t>
  </si>
  <si>
    <t>Opheers</t>
  </si>
  <si>
    <t>Opheylissem</t>
  </si>
  <si>
    <t>Ophoven</t>
  </si>
  <si>
    <t>Opitter</t>
  </si>
  <si>
    <t>Oplinter</t>
  </si>
  <si>
    <t>Opoeteren</t>
  </si>
  <si>
    <t>Opont</t>
  </si>
  <si>
    <t>Opprebais</t>
  </si>
  <si>
    <t>Oppuurs</t>
  </si>
  <si>
    <t>Opvelp</t>
  </si>
  <si>
    <t>Opwijk</t>
  </si>
  <si>
    <t>Orbais</t>
  </si>
  <si>
    <t>Orchimont</t>
  </si>
  <si>
    <t>Orcq</t>
  </si>
  <si>
    <t>Ordingen</t>
  </si>
  <si>
    <t>Oret</t>
  </si>
  <si>
    <t>Oreye</t>
  </si>
  <si>
    <t>Orgeo</t>
  </si>
  <si>
    <t>Ormeignies</t>
  </si>
  <si>
    <t>Orp-le-Grand</t>
  </si>
  <si>
    <t>Orp-Jauche</t>
  </si>
  <si>
    <t>Orroir</t>
  </si>
  <si>
    <t>Orsmaal</t>
  </si>
  <si>
    <t>Orsmaal-Gussenhoven</t>
  </si>
  <si>
    <t>Ortho</t>
  </si>
  <si>
    <t>Ostiches</t>
  </si>
  <si>
    <t>Otegem</t>
  </si>
  <si>
    <t>Oteppe</t>
  </si>
  <si>
    <t>Othee</t>
  </si>
  <si>
    <t>Otrange</t>
  </si>
  <si>
    <t>Ottenburg</t>
  </si>
  <si>
    <t>Ottergem</t>
  </si>
  <si>
    <t>Ottignies-Louvain-la-Neuve</t>
  </si>
  <si>
    <t>Ottignies</t>
  </si>
  <si>
    <t>Oud-Heverlee</t>
  </si>
  <si>
    <t>Oud-Turnhout</t>
  </si>
  <si>
    <t>Oudegem</t>
  </si>
  <si>
    <t>Oudekapelle</t>
  </si>
  <si>
    <t>Oudenaarde</t>
  </si>
  <si>
    <t>Oudenaken</t>
  </si>
  <si>
    <t>Oudenburg</t>
  </si>
  <si>
    <t>Oudergem</t>
  </si>
  <si>
    <t>Ouffet</t>
  </si>
  <si>
    <t>Ougree</t>
  </si>
  <si>
    <t>Oupeye</t>
  </si>
  <si>
    <t>Outer</t>
  </si>
  <si>
    <t>Outgaarden</t>
  </si>
  <si>
    <t>Outrelouxhe</t>
  </si>
  <si>
    <t>Outrijve</t>
  </si>
  <si>
    <t>Ouwegem</t>
  </si>
  <si>
    <t>Overboelare</t>
  </si>
  <si>
    <t>Overhespen</t>
  </si>
  <si>
    <t>Overijse</t>
  </si>
  <si>
    <t>Overmere</t>
  </si>
  <si>
    <t>Overpelt</t>
  </si>
  <si>
    <t>Overrepen</t>
  </si>
  <si>
    <t>Overwinden</t>
  </si>
  <si>
    <t>Paal</t>
  </si>
  <si>
    <t>Paifve</t>
  </si>
  <si>
    <t>Pailhe</t>
  </si>
  <si>
    <t>Paliseul</t>
  </si>
  <si>
    <t>Pamel</t>
  </si>
  <si>
    <t>Papignies</t>
  </si>
  <si>
    <t>Parike</t>
  </si>
  <si>
    <t>Passendale</t>
  </si>
  <si>
    <t>Patignies</t>
  </si>
  <si>
    <t>Paturages</t>
  </si>
  <si>
    <t>Paulatem</t>
  </si>
  <si>
    <t>Pecq</t>
  </si>
  <si>
    <t>Peer</t>
  </si>
  <si>
    <t>Peissant</t>
  </si>
  <si>
    <t>Pellaines</t>
  </si>
  <si>
    <t>Pellenberg</t>
  </si>
  <si>
    <t>Pepingen</t>
  </si>
  <si>
    <t>Pepinster</t>
  </si>
  <si>
    <t>Perk</t>
  </si>
  <si>
    <t>Peronnes</t>
  </si>
  <si>
    <t>Peruwelz</t>
  </si>
  <si>
    <t>Pervijze</t>
  </si>
  <si>
    <t>Perwez</t>
  </si>
  <si>
    <t>Pesche</t>
  </si>
  <si>
    <t>Pessoux</t>
  </si>
  <si>
    <t>Petegem-aan-de-Leie</t>
  </si>
  <si>
    <t>Petegem-aan-de-Schelde</t>
  </si>
  <si>
    <t>Petigny</t>
  </si>
  <si>
    <t>Petit-Roeulx-lez-Braine</t>
  </si>
  <si>
    <t>Petit-Fays</t>
  </si>
  <si>
    <t>Petit-Enghien</t>
  </si>
  <si>
    <t>Petit-Hallet</t>
  </si>
  <si>
    <t>Petit-Thier</t>
  </si>
  <si>
    <t>Petit-Rechain</t>
  </si>
  <si>
    <t>Petit-Roeulx-lez-Nivelles</t>
  </si>
  <si>
    <t>Petite-Chapelle</t>
  </si>
  <si>
    <t>Peutie</t>
  </si>
  <si>
    <t>Philippeville</t>
  </si>
  <si>
    <t>Pieton</t>
  </si>
  <si>
    <t>Pietrain</t>
  </si>
  <si>
    <t>Pietrebais</t>
  </si>
  <si>
    <t>Pipaix</t>
  </si>
  <si>
    <t>Piringen</t>
  </si>
  <si>
    <t>Pironchamps</t>
  </si>
  <si>
    <t>Pittem</t>
  </si>
  <si>
    <t>Plainevaux</t>
  </si>
  <si>
    <t>Plancenoit</t>
  </si>
  <si>
    <t>Ploegsteert</t>
  </si>
  <si>
    <t>Plombieres</t>
  </si>
  <si>
    <t>Poederlee</t>
  </si>
  <si>
    <t>Poeke</t>
  </si>
  <si>
    <t>Poelkapelle</t>
  </si>
  <si>
    <t>Poesele</t>
  </si>
  <si>
    <t>Pollare</t>
  </si>
  <si>
    <t>Polleur</t>
  </si>
  <si>
    <t>Pollinkhove</t>
  </si>
  <si>
    <t>Pommeroeul</t>
  </si>
  <si>
    <t>Pondr“me</t>
  </si>
  <si>
    <t>Pont-de-Loup</t>
  </si>
  <si>
    <t>Pont-a-Celles</t>
  </si>
  <si>
    <t>Pontillas</t>
  </si>
  <si>
    <t>Poperinge</t>
  </si>
  <si>
    <t>Poppel</t>
  </si>
  <si>
    <t>Popuelles</t>
  </si>
  <si>
    <t>Porcheresse</t>
  </si>
  <si>
    <t>Pottes</t>
  </si>
  <si>
    <t>Poucet</t>
  </si>
  <si>
    <t>Poulseur</t>
  </si>
  <si>
    <t>Poupehan</t>
  </si>
  <si>
    <t>Pousset</t>
  </si>
  <si>
    <t>Presgaux</t>
  </si>
  <si>
    <t>Presles</t>
  </si>
  <si>
    <t>Profondeville</t>
  </si>
  <si>
    <t>Proven</t>
  </si>
  <si>
    <t>Pry</t>
  </si>
  <si>
    <t>Pulderbos</t>
  </si>
  <si>
    <t>Pulle</t>
  </si>
  <si>
    <t>Purnode</t>
  </si>
  <si>
    <t>Pussemange</t>
  </si>
  <si>
    <t>Putte</t>
  </si>
  <si>
    <t>Puurs</t>
  </si>
  <si>
    <t>Quaregnon</t>
  </si>
  <si>
    <t>Quartes</t>
  </si>
  <si>
    <t>Quenast</t>
  </si>
  <si>
    <t>Queue-du-Bois</t>
  </si>
  <si>
    <t>Quevaucamps</t>
  </si>
  <si>
    <t>Quevy-le-Petit</t>
  </si>
  <si>
    <t>Quevy</t>
  </si>
  <si>
    <t>Quevy-le-Grand</t>
  </si>
  <si>
    <t>Quievrain</t>
  </si>
  <si>
    <t>Rachecourt</t>
  </si>
  <si>
    <t>Racour</t>
  </si>
  <si>
    <t>Raeren</t>
  </si>
  <si>
    <t>Ragnies</t>
  </si>
  <si>
    <t>Rahier</t>
  </si>
  <si>
    <t>Ramegnies</t>
  </si>
  <si>
    <t>Ramegnies-Chin</t>
  </si>
  <si>
    <t>Ramelot</t>
  </si>
  <si>
    <t>Ramillies-Offus</t>
  </si>
  <si>
    <t>Ramillies</t>
  </si>
  <si>
    <t>Ramsdonk</t>
  </si>
  <si>
    <t>Ramsel</t>
  </si>
  <si>
    <t>Ramskapelle</t>
  </si>
  <si>
    <t>Rance</t>
  </si>
  <si>
    <t>Ransart</t>
  </si>
  <si>
    <t>Ransberg</t>
  </si>
  <si>
    <t>Ranst</t>
  </si>
  <si>
    <t>Ravels</t>
  </si>
  <si>
    <t>Rebaix</t>
  </si>
  <si>
    <t>Rebecq-Rognon</t>
  </si>
  <si>
    <t>Rebecq</t>
  </si>
  <si>
    <t>Recht</t>
  </si>
  <si>
    <t>Recogne</t>
  </si>
  <si>
    <t>Redu</t>
  </si>
  <si>
    <t>Reet</t>
  </si>
  <si>
    <t>Rekem</t>
  </si>
  <si>
    <t>Rekkem</t>
  </si>
  <si>
    <t>Relegem</t>
  </si>
  <si>
    <t>Remagne</t>
  </si>
  <si>
    <t>Remersdaal</t>
  </si>
  <si>
    <t>Remicourt</t>
  </si>
  <si>
    <t>Rendeux</t>
  </si>
  <si>
    <t>Reninge</t>
  </si>
  <si>
    <t>Reningelst</t>
  </si>
  <si>
    <t>Renlies</t>
  </si>
  <si>
    <t>Reppel</t>
  </si>
  <si>
    <t>Ressaix</t>
  </si>
  <si>
    <t>Ressegem</t>
  </si>
  <si>
    <t>Resteigne</t>
  </si>
  <si>
    <t>Retie</t>
  </si>
  <si>
    <t>Retinne</t>
  </si>
  <si>
    <t>Reuland</t>
  </si>
  <si>
    <t>Reves</t>
  </si>
  <si>
    <t>Rhisnes</t>
  </si>
  <si>
    <t>Richelle</t>
  </si>
  <si>
    <t>Riemst</t>
  </si>
  <si>
    <t>Rienne</t>
  </si>
  <si>
    <t>Riezes</t>
  </si>
  <si>
    <t>Rijkel</t>
  </si>
  <si>
    <t>Rijkevorsel</t>
  </si>
  <si>
    <t>Rijkhoven</t>
  </si>
  <si>
    <t>Rijmenam</t>
  </si>
  <si>
    <t>Riksingen</t>
  </si>
  <si>
    <t>Rillaar</t>
  </si>
  <si>
    <t>Riviere</t>
  </si>
  <si>
    <t>Rixensart</t>
  </si>
  <si>
    <t>Robechies</t>
  </si>
  <si>
    <t>Robelmont</t>
  </si>
  <si>
    <t>Robertville</t>
  </si>
  <si>
    <t>Roborst</t>
  </si>
  <si>
    <t>Rochefort</t>
  </si>
  <si>
    <t>Rochehaut</t>
  </si>
  <si>
    <t>Rocherath</t>
  </si>
  <si>
    <t>Roclenge-sur-Geer</t>
  </si>
  <si>
    <t>Rocourt</t>
  </si>
  <si>
    <t>Roesbrugge-Haringe</t>
  </si>
  <si>
    <t>Roeselare</t>
  </si>
  <si>
    <t>Rognee</t>
  </si>
  <si>
    <t>Roisin</t>
  </si>
  <si>
    <t>Roksem</t>
  </si>
  <si>
    <t>Rollegem</t>
  </si>
  <si>
    <t>Rollegem-Kapelle</t>
  </si>
  <si>
    <t>Roloux</t>
  </si>
  <si>
    <t>Roly</t>
  </si>
  <si>
    <t>Romedenne</t>
  </si>
  <si>
    <t>Romeree</t>
  </si>
  <si>
    <t>Romershoven</t>
  </si>
  <si>
    <t>Romsee</t>
  </si>
  <si>
    <t>Rongy</t>
  </si>
  <si>
    <t>Ronquieres</t>
  </si>
  <si>
    <t>Ronse</t>
  </si>
  <si>
    <t>Ronsele</t>
  </si>
  <si>
    <t>Roosbeek</t>
  </si>
  <si>
    <t>Roosdaal</t>
  </si>
  <si>
    <t>Rosee</t>
  </si>
  <si>
    <t>Roselies</t>
  </si>
  <si>
    <t>Rosieres</t>
  </si>
  <si>
    <t>Rosmeer</t>
  </si>
  <si>
    <t>Rosoux-Crenwick</t>
  </si>
  <si>
    <t>Rossignol</t>
  </si>
  <si>
    <t>Rotem</t>
  </si>
  <si>
    <t>Rotheux-Rimiere</t>
  </si>
  <si>
    <t>Rotselaar</t>
  </si>
  <si>
    <t>Roucourt</t>
  </si>
  <si>
    <t>Rouveroy</t>
  </si>
  <si>
    <t>Rouvreux</t>
  </si>
  <si>
    <t>Rouvroy</t>
  </si>
  <si>
    <t>Roux</t>
  </si>
  <si>
    <t>Roux-Miroir</t>
  </si>
  <si>
    <t>Roy</t>
  </si>
  <si>
    <t>Rozebeke</t>
  </si>
  <si>
    <t>Ruddervoorde</t>
  </si>
  <si>
    <t>Ruette</t>
  </si>
  <si>
    <t>Ruien</t>
  </si>
  <si>
    <t>Ruisbroek</t>
  </si>
  <si>
    <t>Ruiselede</t>
  </si>
  <si>
    <t>Rukkelingen-Loon</t>
  </si>
  <si>
    <t>Rulles</t>
  </si>
  <si>
    <t>Rumbeke</t>
  </si>
  <si>
    <t>Rumes</t>
  </si>
  <si>
    <t>Rumillies</t>
  </si>
  <si>
    <t>Rummen</t>
  </si>
  <si>
    <t>Rumsdorp</t>
  </si>
  <si>
    <t>Rumst</t>
  </si>
  <si>
    <t>Runkelen</t>
  </si>
  <si>
    <t>Rupelmonde</t>
  </si>
  <si>
    <t>Russeignies</t>
  </si>
  <si>
    <t>Rutten</t>
  </si>
  <si>
    <t>Saint-Remy</t>
  </si>
  <si>
    <t>Saint-Andre</t>
  </si>
  <si>
    <t>Saint-Gery</t>
  </si>
  <si>
    <t>Saint-Germain</t>
  </si>
  <si>
    <t>Saint-Remy-Geest</t>
  </si>
  <si>
    <t>Saint-Martin</t>
  </si>
  <si>
    <t>Saint-Sauveur</t>
  </si>
  <si>
    <t>Saint-Denis</t>
  </si>
  <si>
    <t>Saint-Amand</t>
  </si>
  <si>
    <t>Saint-Medard</t>
  </si>
  <si>
    <t>Saint-Leger</t>
  </si>
  <si>
    <t>Saint-Vaast</t>
  </si>
  <si>
    <t>Saint-Jean-Geest</t>
  </si>
  <si>
    <t>Saint-Aubin</t>
  </si>
  <si>
    <t>Saint-Nicolas</t>
  </si>
  <si>
    <t>Saint-Josse-ten-Noode</t>
  </si>
  <si>
    <t>Saint-Ghislain</t>
  </si>
  <si>
    <t>Saint-Symphorien</t>
  </si>
  <si>
    <t>Saint-Servais</t>
  </si>
  <si>
    <t>Saint-Marc</t>
  </si>
  <si>
    <t>Saint-Severin</t>
  </si>
  <si>
    <t>Saint-Georges-sur-Meuse</t>
  </si>
  <si>
    <t>Saint-Hubert</t>
  </si>
  <si>
    <t>Saint-Gerard</t>
  </si>
  <si>
    <t>Saint-Pierre</t>
  </si>
  <si>
    <t>Saint-Gilles</t>
  </si>
  <si>
    <t>Saint-Vincent</t>
  </si>
  <si>
    <t>Saint-Mard</t>
  </si>
  <si>
    <t>Saint-Maur</t>
  </si>
  <si>
    <t>Sainte-Cecile</t>
  </si>
  <si>
    <t>Sainte-Marie</t>
  </si>
  <si>
    <t>Sainte-Marie-Chevigny</t>
  </si>
  <si>
    <t>Sainte-Ode</t>
  </si>
  <si>
    <t>Saintes</t>
  </si>
  <si>
    <t>Saive</t>
  </si>
  <si>
    <t>Salles</t>
  </si>
  <si>
    <t>Samart</t>
  </si>
  <si>
    <t>Sambreville</t>
  </si>
  <si>
    <t>Samree</t>
  </si>
  <si>
    <t>Sankt Vith</t>
  </si>
  <si>
    <t>Sars-la-Bruyere</t>
  </si>
  <si>
    <t>Sars-la-Buissiere</t>
  </si>
  <si>
    <t>Sart-Bernard</t>
  </si>
  <si>
    <t>Sart-Saint-Laurent</t>
  </si>
  <si>
    <t>Sart-Custinne</t>
  </si>
  <si>
    <t>Sart</t>
  </si>
  <si>
    <t>Sart-Eustache</t>
  </si>
  <si>
    <t>Sart-en-Fagne</t>
  </si>
  <si>
    <t>Sart-Dames-Avelines</t>
  </si>
  <si>
    <t>Sautin</t>
  </si>
  <si>
    <t>Sautour</t>
  </si>
  <si>
    <t>Sauveniere</t>
  </si>
  <si>
    <t>Schaarbeek</t>
  </si>
  <si>
    <t>Schaerbeek</t>
  </si>
  <si>
    <t>Schaffen</t>
  </si>
  <si>
    <t>Schalkhoven</t>
  </si>
  <si>
    <t>Schaltin</t>
  </si>
  <si>
    <t>Schelderode</t>
  </si>
  <si>
    <t>Scheldewindeke</t>
  </si>
  <si>
    <t>Schelle</t>
  </si>
  <si>
    <t>Schellebelle</t>
  </si>
  <si>
    <t>Schendelbeke</t>
  </si>
  <si>
    <t>Schepdaal</t>
  </si>
  <si>
    <t>Scherpenheuvel</t>
  </si>
  <si>
    <t>Scherpenheuvel-Zichem</t>
  </si>
  <si>
    <t>Schilde</t>
  </si>
  <si>
    <t>Schoenberg</t>
  </si>
  <si>
    <t>Schoonaarde</t>
  </si>
  <si>
    <t>Schore</t>
  </si>
  <si>
    <t>Schorisse</t>
  </si>
  <si>
    <t>Schoten</t>
  </si>
  <si>
    <t>Schriek</t>
  </si>
  <si>
    <t>Schuiferskapelle</t>
  </si>
  <si>
    <t>Schulen</t>
  </si>
  <si>
    <t>Sclayn</t>
  </si>
  <si>
    <t>Scy</t>
  </si>
  <si>
    <t>Seilles</t>
  </si>
  <si>
    <t>Selange</t>
  </si>
  <si>
    <t>Seloignes</t>
  </si>
  <si>
    <t>Semmerzake</t>
  </si>
  <si>
    <t>Seneffe</t>
  </si>
  <si>
    <t>Sensenruth</t>
  </si>
  <si>
    <t>Seny</t>
  </si>
  <si>
    <t>Senzeille</t>
  </si>
  <si>
    <t>Septon</t>
  </si>
  <si>
    <t>Seraing-le-Chateau</t>
  </si>
  <si>
    <t>Seraing</t>
  </si>
  <si>
    <t>Serinchamps</t>
  </si>
  <si>
    <t>Serskamp</t>
  </si>
  <si>
    <t>Serville</t>
  </si>
  <si>
    <t>Sibret</t>
  </si>
  <si>
    <t>Sijsele</t>
  </si>
  <si>
    <t>Silenrieux</t>
  </si>
  <si>
    <t>Silly</t>
  </si>
  <si>
    <t>Sinaai</t>
  </si>
  <si>
    <t>Sinsin</t>
  </si>
  <si>
    <t>Sint-Joris</t>
  </si>
  <si>
    <t>Sint-Martens-Leerne</t>
  </si>
  <si>
    <t>Sint-Andries</t>
  </si>
  <si>
    <t>Sint-Kruis</t>
  </si>
  <si>
    <t>Sint-Michiels</t>
  </si>
  <si>
    <t>Sint-Pieters-op-de-Dijk</t>
  </si>
  <si>
    <t>Sint-Lenaarts</t>
  </si>
  <si>
    <t>Sint-Gillis-bij-Dendermonde</t>
  </si>
  <si>
    <t>Sint-Ulriks-Kapelle</t>
  </si>
  <si>
    <t>Sint-Rijkers</t>
  </si>
  <si>
    <t>Sint-Jacobs-Kapelle</t>
  </si>
  <si>
    <t>Sint-Martens-Bodegem</t>
  </si>
  <si>
    <t>Sint-Job-in-'t Goor</t>
  </si>
  <si>
    <t>Sint-Kornelis-Horebeke</t>
  </si>
  <si>
    <t>Sint-Amandsberg</t>
  </si>
  <si>
    <t>Sint-Lambrechts-Herk</t>
  </si>
  <si>
    <t>Sint-Denijs-Westrem</t>
  </si>
  <si>
    <t>Sint-Kruis-Winkel</t>
  </si>
  <si>
    <t>Sint-Agatha-Rode</t>
  </si>
  <si>
    <t>Sint-Antelinks</t>
  </si>
  <si>
    <t>Sint-Lievens-Esse</t>
  </si>
  <si>
    <t>Sint-Pieters-Rode</t>
  </si>
  <si>
    <t>Sint-Jan</t>
  </si>
  <si>
    <t>Sint-Pieters-Kapelle</t>
  </si>
  <si>
    <t>Sint-Huibrechts-Hern</t>
  </si>
  <si>
    <t>Sint-Maria-Horebeke</t>
  </si>
  <si>
    <t>Sint-Martens-Lennik</t>
  </si>
  <si>
    <t>Sint-Eloois-Winkel</t>
  </si>
  <si>
    <t>Sint-Huibrechts-Lille</t>
  </si>
  <si>
    <t>Sint-Martens-Lierde</t>
  </si>
  <si>
    <t>Sint-Joris-Weert</t>
  </si>
  <si>
    <t>Sint-Maria-Lierde</t>
  </si>
  <si>
    <t>Sint-Kwintens-Lennik</t>
  </si>
  <si>
    <t>Sint-Margriete-Houtem</t>
  </si>
  <si>
    <t>Sint-Jans-Molenbeek</t>
  </si>
  <si>
    <t>Sint-Lambrechts-Woluwe</t>
  </si>
  <si>
    <t>Sint-Joost-ten-Node</t>
  </si>
  <si>
    <t>Sint-Katelijne-Waver</t>
  </si>
  <si>
    <t>Sint-Pieters-Leeuw</t>
  </si>
  <si>
    <t>Sint-Eloois-Vijve</t>
  </si>
  <si>
    <t>Sint-Lievens-Houtem</t>
  </si>
  <si>
    <t>Sint-Joris-Winge</t>
  </si>
  <si>
    <t>Sint-Denijs</t>
  </si>
  <si>
    <t>Sint-Margriete</t>
  </si>
  <si>
    <t>Sint-Martens-Latem</t>
  </si>
  <si>
    <t>Sint-Laureins</t>
  </si>
  <si>
    <t>Sint-Jan-in-Eremo</t>
  </si>
  <si>
    <t>Sint-Pauwels</t>
  </si>
  <si>
    <t>Sint-Martens-Voeren</t>
  </si>
  <si>
    <t>Sint-Stevens-Woluwe</t>
  </si>
  <si>
    <t>Sint-Pieters-Woluwe</t>
  </si>
  <si>
    <t>Sint-Goriks-Oudenhove</t>
  </si>
  <si>
    <t>Sint-Katherina-Lombeek</t>
  </si>
  <si>
    <t>Sint-Amands</t>
  </si>
  <si>
    <t>Sint-Denijs-Boekel</t>
  </si>
  <si>
    <t>Sint-Blasius-Boekel</t>
  </si>
  <si>
    <t>Sint-Truiden</t>
  </si>
  <si>
    <t>Sint-Maria-Oudenhove</t>
  </si>
  <si>
    <t>Sint-Genesius-Rode</t>
  </si>
  <si>
    <t>Sint-Agatha-Berchem</t>
  </si>
  <si>
    <t>Sint-Laureins-Berchem</t>
  </si>
  <si>
    <t>Sint-Baafs-Vijve</t>
  </si>
  <si>
    <t>Sint-Pieters-Voeren</t>
  </si>
  <si>
    <t>Sint-Maria-Latem</t>
  </si>
  <si>
    <t>Sint-Gillis-Waas</t>
  </si>
  <si>
    <t>Sint-Gillis</t>
  </si>
  <si>
    <t>Sint-Niklaas</t>
  </si>
  <si>
    <t>Sippenaeken</t>
  </si>
  <si>
    <t>Sirault</t>
  </si>
  <si>
    <t>Sivry</t>
  </si>
  <si>
    <t>Sivry-Rance</t>
  </si>
  <si>
    <t>Sleidinge</t>
  </si>
  <si>
    <t>Slijpe</t>
  </si>
  <si>
    <t>Slins</t>
  </si>
  <si>
    <t>Sluizen</t>
  </si>
  <si>
    <t>Smeerebbe-Vloerzegem</t>
  </si>
  <si>
    <t>Smetlede</t>
  </si>
  <si>
    <t>Smuid</t>
  </si>
  <si>
    <t>Snaaskerke</t>
  </si>
  <si>
    <t>Snellegem</t>
  </si>
  <si>
    <t>Soheit-Tinlot</t>
  </si>
  <si>
    <t>Sohier</t>
  </si>
  <si>
    <t>Soignies</t>
  </si>
  <si>
    <t>Soiron</t>
  </si>
  <si>
    <t>Solre-Saint-Gery</t>
  </si>
  <si>
    <t>Solre-sur-Sambre</t>
  </si>
  <si>
    <t>Sombreffe</t>
  </si>
  <si>
    <t>Somme-Leuze</t>
  </si>
  <si>
    <t>Sommethonne</t>
  </si>
  <si>
    <t>Sommiere</t>
  </si>
  <si>
    <t>Somzee</t>
  </si>
  <si>
    <t>Soree</t>
  </si>
  <si>
    <t>Sorinne-la-Longue</t>
  </si>
  <si>
    <t>Sorinnes</t>
  </si>
  <si>
    <t>Sosoye</t>
  </si>
  <si>
    <t>Sougne-Remouchamps</t>
  </si>
  <si>
    <t>Soulme</t>
  </si>
  <si>
    <t>Soumagne</t>
  </si>
  <si>
    <t>Soumoy</t>
  </si>
  <si>
    <t>Souvret</t>
  </si>
  <si>
    <t>Sovet</t>
  </si>
  <si>
    <t>Soy</t>
  </si>
  <si>
    <t>Soye</t>
  </si>
  <si>
    <t>Spa</t>
  </si>
  <si>
    <t>Spalbeek</t>
  </si>
  <si>
    <t>Spermalie</t>
  </si>
  <si>
    <t>Spiennes</t>
  </si>
  <si>
    <t>Spiere-Helkijn</t>
  </si>
  <si>
    <t>Spiere</t>
  </si>
  <si>
    <t>Spontin</t>
  </si>
  <si>
    <t>Spouwen</t>
  </si>
  <si>
    <t>Sprimont</t>
  </si>
  <si>
    <t>Spy</t>
  </si>
  <si>
    <t>Stabroek</t>
  </si>
  <si>
    <t>Staden</t>
  </si>
  <si>
    <t>Stalhille</t>
  </si>
  <si>
    <t>Stambruges</t>
  </si>
  <si>
    <t>Stave</t>
  </si>
  <si>
    <t>Stavele</t>
  </si>
  <si>
    <t>Stavelot</t>
  </si>
  <si>
    <t>Steendorp</t>
  </si>
  <si>
    <t>Steenhuffel</t>
  </si>
  <si>
    <t>Steenhuize-Wijnhuize</t>
  </si>
  <si>
    <t>Steenkerke</t>
  </si>
  <si>
    <t>Steenkerque</t>
  </si>
  <si>
    <t>Steenokkerzeel</t>
  </si>
  <si>
    <t>Stekene</t>
  </si>
  <si>
    <t>Stembert</t>
  </si>
  <si>
    <t>Stene</t>
  </si>
  <si>
    <t>Sterrebeek</t>
  </si>
  <si>
    <t>Stevoort</t>
  </si>
  <si>
    <t>Stokkem</t>
  </si>
  <si>
    <t>Stokrooie</t>
  </si>
  <si>
    <t>Stoumont</t>
  </si>
  <si>
    <t>Straimont</t>
  </si>
  <si>
    <t>Stree</t>
  </si>
  <si>
    <t>Strepy-Bracquegnies</t>
  </si>
  <si>
    <t>Strijpen</t>
  </si>
  <si>
    <t>Strijtem</t>
  </si>
  <si>
    <t>Strombeek-Bever</t>
  </si>
  <si>
    <t>Stuivekenskerke</t>
  </si>
  <si>
    <t>Suarlee</t>
  </si>
  <si>
    <t>Sugny</t>
  </si>
  <si>
    <t>Surice</t>
  </si>
  <si>
    <t>Suxy</t>
  </si>
  <si>
    <t>Tailles</t>
  </si>
  <si>
    <t>Taintignies</t>
  </si>
  <si>
    <t>Tamines</t>
  </si>
  <si>
    <t>Tarcienne</t>
  </si>
  <si>
    <t>Tavier</t>
  </si>
  <si>
    <t>Taviers</t>
  </si>
  <si>
    <t>Tavigny</t>
  </si>
  <si>
    <t>Tellin</t>
  </si>
  <si>
    <t>Templeuve</t>
  </si>
  <si>
    <t>Temploux</t>
  </si>
  <si>
    <t>Temse</t>
  </si>
  <si>
    <t>Tenneville</t>
  </si>
  <si>
    <t>Teralfene</t>
  </si>
  <si>
    <t>Terhagen</t>
  </si>
  <si>
    <t>Termes</t>
  </si>
  <si>
    <t>Ternat</t>
  </si>
  <si>
    <t>Tertre</t>
  </si>
  <si>
    <t>Tervuren</t>
  </si>
  <si>
    <t>Terwagne</t>
  </si>
  <si>
    <t>Tessenderlo</t>
  </si>
  <si>
    <t>Testelt</t>
  </si>
  <si>
    <t>Teuven</t>
  </si>
  <si>
    <t>Theux</t>
  </si>
  <si>
    <t>Thiaumont</t>
  </si>
  <si>
    <t>Thieu</t>
  </si>
  <si>
    <t>Thieulain</t>
  </si>
  <si>
    <t>Thieusies</t>
  </si>
  <si>
    <t>Thimeon</t>
  </si>
  <si>
    <t>Thimister-Clermont</t>
  </si>
  <si>
    <t>Thimister</t>
  </si>
  <si>
    <t>Thimougies</t>
  </si>
  <si>
    <t>Thines</t>
  </si>
  <si>
    <t>Thirimont</t>
  </si>
  <si>
    <t>Thisnes</t>
  </si>
  <si>
    <t>Thommen</t>
  </si>
  <si>
    <t>Thon</t>
  </si>
  <si>
    <t>Thorembais-Saint-Trond</t>
  </si>
  <si>
    <t>Thorembais-les-Beguines</t>
  </si>
  <si>
    <t>Thoricourt</t>
  </si>
  <si>
    <t>Thuillies</t>
  </si>
  <si>
    <t>Thuin</t>
  </si>
  <si>
    <t>Thulin</t>
  </si>
  <si>
    <t>Thumaide</t>
  </si>
  <si>
    <t>Thy-le-Bauduin</t>
  </si>
  <si>
    <t>Thy-le-Chateau</t>
  </si>
  <si>
    <t>Thynes</t>
  </si>
  <si>
    <t>Thys</t>
  </si>
  <si>
    <t>Tiegem</t>
  </si>
  <si>
    <t>Tielen</t>
  </si>
  <si>
    <t>Tielrode</t>
  </si>
  <si>
    <t>Tielt</t>
  </si>
  <si>
    <t>Tielt-Winge</t>
  </si>
  <si>
    <t>Tienen</t>
  </si>
  <si>
    <t>Tignee</t>
  </si>
  <si>
    <t>Tihange</t>
  </si>
  <si>
    <t>Tildonk</t>
  </si>
  <si>
    <t>Tilff</t>
  </si>
  <si>
    <t>Tillet</t>
  </si>
  <si>
    <t>Tilleur</t>
  </si>
  <si>
    <t>Tillier</t>
  </si>
  <si>
    <t>Tilly</t>
  </si>
  <si>
    <t>Tinlot</t>
  </si>
  <si>
    <t>Tintange</t>
  </si>
  <si>
    <t>Tintigny</t>
  </si>
  <si>
    <t>Tisselt</t>
  </si>
  <si>
    <t>Toernich</t>
  </si>
  <si>
    <t>Tohogne</t>
  </si>
  <si>
    <t>Tollembeek</t>
  </si>
  <si>
    <t>Tongeren</t>
  </si>
  <si>
    <t>Tongerlo</t>
  </si>
  <si>
    <t>Tongre-Notre-Dame</t>
  </si>
  <si>
    <t>Tongre-Saint-Martin</t>
  </si>
  <si>
    <t>Tongrinne</t>
  </si>
  <si>
    <t>Tontelange</t>
  </si>
  <si>
    <t>Torgny</t>
  </si>
  <si>
    <t>Torhout</t>
  </si>
  <si>
    <t>Tourinne</t>
  </si>
  <si>
    <t>Tourinnes-la-Grosse</t>
  </si>
  <si>
    <t>Tourinnes-Saint-Lambert</t>
  </si>
  <si>
    <t>Tournai</t>
  </si>
  <si>
    <t>Tournay</t>
  </si>
  <si>
    <t>Tourpes</t>
  </si>
  <si>
    <t>Transinne</t>
  </si>
  <si>
    <t>Trazegnies</t>
  </si>
  <si>
    <t>Treignes</t>
  </si>
  <si>
    <t>Trembleur</t>
  </si>
  <si>
    <t>Tremelo</t>
  </si>
  <si>
    <t>Trivieres</t>
  </si>
  <si>
    <t>Trognee</t>
  </si>
  <si>
    <t>Trois-Ponts</t>
  </si>
  <si>
    <t>Trooz</t>
  </si>
  <si>
    <t>Tubize</t>
  </si>
  <si>
    <t>Turnhout</t>
  </si>
  <si>
    <t>Uccle</t>
  </si>
  <si>
    <t>Ucimont</t>
  </si>
  <si>
    <t>Uikhoven</t>
  </si>
  <si>
    <t>Uitbergen</t>
  </si>
  <si>
    <t>Uitkerke</t>
  </si>
  <si>
    <t>Ukkel</t>
  </si>
  <si>
    <t>Ulbeek</t>
  </si>
  <si>
    <t>Upigny</t>
  </si>
  <si>
    <t>Ursel</t>
  </si>
  <si>
    <t>Vaalbeek</t>
  </si>
  <si>
    <t>Val-Meer</t>
  </si>
  <si>
    <t>Vance</t>
  </si>
  <si>
    <t>Varendonk</t>
  </si>
  <si>
    <t>Varsenare</t>
  </si>
  <si>
    <t>Vaucelles</t>
  </si>
  <si>
    <t>Vaulx</t>
  </si>
  <si>
    <t>Vaux-sous-Chevremont</t>
  </si>
  <si>
    <t>Vaux-Chavanne</t>
  </si>
  <si>
    <t>Vaux-sur-Sure</t>
  </si>
  <si>
    <t>Vaux-et-Borset</t>
  </si>
  <si>
    <t>Vaux-les-Rosieres</t>
  </si>
  <si>
    <t>Vechmaal</t>
  </si>
  <si>
    <t>Vedrin</t>
  </si>
  <si>
    <t>Veerle</t>
  </si>
  <si>
    <t>Velaine</t>
  </si>
  <si>
    <t>Velaines</t>
  </si>
  <si>
    <t>Veldegem</t>
  </si>
  <si>
    <t>Veldwezelt</t>
  </si>
  <si>
    <t>Vellereille-les-Brayeux</t>
  </si>
  <si>
    <t>Vellereille-le-Sec</t>
  </si>
  <si>
    <t>Velm</t>
  </si>
  <si>
    <t>Velroux</t>
  </si>
  <si>
    <t>Veltem-Beisem</t>
  </si>
  <si>
    <t>Velzeke-Ruddershove</t>
  </si>
  <si>
    <t>Vencimont</t>
  </si>
  <si>
    <t>Vergnies</t>
  </si>
  <si>
    <t>Verlaine</t>
  </si>
  <si>
    <t>Verlee</t>
  </si>
  <si>
    <t>Verrebroek</t>
  </si>
  <si>
    <t>Vertrijk</t>
  </si>
  <si>
    <t>Verviers</t>
  </si>
  <si>
    <t>Vesqueville</t>
  </si>
  <si>
    <t>Veulen</t>
  </si>
  <si>
    <t>Veurne</t>
  </si>
  <si>
    <t>Vezin</t>
  </si>
  <si>
    <t>Vezon</t>
  </si>
  <si>
    <t>Viane</t>
  </si>
  <si>
    <t>Vichte</t>
  </si>
  <si>
    <t>Vielsalm</t>
  </si>
  <si>
    <t>Viemme</t>
  </si>
  <si>
    <t>Viersel</t>
  </si>
  <si>
    <t>Vierset-Barse</t>
  </si>
  <si>
    <t>Vierves-sur-Viroin</t>
  </si>
  <si>
    <t>Viesville</t>
  </si>
  <si>
    <t>Vieux-Genappe</t>
  </si>
  <si>
    <t>Vieux-Waleffe</t>
  </si>
  <si>
    <t>Vieuxville</t>
  </si>
  <si>
    <t>Villance</t>
  </si>
  <si>
    <t>Ville-en-Hesbaye</t>
  </si>
  <si>
    <t>Ville-Pommeroeul</t>
  </si>
  <si>
    <t>Ville-Sur-Haine</t>
  </si>
  <si>
    <t>Villerot</t>
  </si>
  <si>
    <t>Villers-Sainte-Gertrude</t>
  </si>
  <si>
    <t>Villers-aux-Tours</t>
  </si>
  <si>
    <t>Villers-deux-Eglises</t>
  </si>
  <si>
    <t>Villers-la-Bonne-Eau</t>
  </si>
  <si>
    <t>Villers-Notre-Dame</t>
  </si>
  <si>
    <t>Villers-la-Tour</t>
  </si>
  <si>
    <t>Villers-Saint-Amand</t>
  </si>
  <si>
    <t>Villers-l'Eveque</t>
  </si>
  <si>
    <t>Villers-Saint-Simeon</t>
  </si>
  <si>
    <t>Villers-devant-Orval</t>
  </si>
  <si>
    <t>Villers-sur-Semois</t>
  </si>
  <si>
    <t>Villers-Poterie</t>
  </si>
  <si>
    <t>Villers-lez-Heest</t>
  </si>
  <si>
    <t>Villers-le-Peuplier</t>
  </si>
  <si>
    <t>Villers-en-Fagne</t>
  </si>
  <si>
    <t>Villers-Perwin</t>
  </si>
  <si>
    <t>Villers-la-Loue</t>
  </si>
  <si>
    <t>Villers-sur-Lesse</t>
  </si>
  <si>
    <t>Villers-le-Temple</t>
  </si>
  <si>
    <t>Villers-Saint-Ghislain</t>
  </si>
  <si>
    <t>Villers-le-Gambon</t>
  </si>
  <si>
    <t>Villers-le-Bouillet</t>
  </si>
  <si>
    <t>Villers-la-Ville</t>
  </si>
  <si>
    <t>Vilvoorde</t>
  </si>
  <si>
    <t>Vinalmont</t>
  </si>
  <si>
    <t>Vinderhoute</t>
  </si>
  <si>
    <t>Vinkem</t>
  </si>
  <si>
    <t>Vinkt</t>
  </si>
  <si>
    <t>Virelles</t>
  </si>
  <si>
    <t>Virginal-Samme</t>
  </si>
  <si>
    <t>Viroinval</t>
  </si>
  <si>
    <t>Virton</t>
  </si>
  <si>
    <t>Vise</t>
  </si>
  <si>
    <t>Vissenaken</t>
  </si>
  <si>
    <t>Vissoul</t>
  </si>
  <si>
    <t>Vitrival</t>
  </si>
  <si>
    <t>Vivegnis</t>
  </si>
  <si>
    <t>Vivy</t>
  </si>
  <si>
    <t>Vladslo</t>
  </si>
  <si>
    <t>Vlamertinge</t>
  </si>
  <si>
    <t>Vlekkem</t>
  </si>
  <si>
    <t>Vleteren</t>
  </si>
  <si>
    <t>Vlezenbeek</t>
  </si>
  <si>
    <t>Vliermaal</t>
  </si>
  <si>
    <t>Vliermaalroot</t>
  </si>
  <si>
    <t>Vlierzele</t>
  </si>
  <si>
    <t>Vlijtingen</t>
  </si>
  <si>
    <t>Vlimmeren</t>
  </si>
  <si>
    <t>Vlissegem</t>
  </si>
  <si>
    <t>Vodecee</t>
  </si>
  <si>
    <t>Vodelee</t>
  </si>
  <si>
    <t>Voeren</t>
  </si>
  <si>
    <t>Vogenee</t>
  </si>
  <si>
    <t>Volkegem</t>
  </si>
  <si>
    <t>Vollezele</t>
  </si>
  <si>
    <t>Voneche</t>
  </si>
  <si>
    <t>Voorde</t>
  </si>
  <si>
    <t>Voormezele</t>
  </si>
  <si>
    <t>Voort</t>
  </si>
  <si>
    <t>Voroux-lez-Liers</t>
  </si>
  <si>
    <t>Voroux-Goreux</t>
  </si>
  <si>
    <t>Vorselaar</t>
  </si>
  <si>
    <t>Vorsen</t>
  </si>
  <si>
    <t>Vorst</t>
  </si>
  <si>
    <t>Vosselaar</t>
  </si>
  <si>
    <t>Vosselare</t>
  </si>
  <si>
    <t>Vossem</t>
  </si>
  <si>
    <t>Vottem</t>
  </si>
  <si>
    <t>Vrasene</t>
  </si>
  <si>
    <t>Vremde</t>
  </si>
  <si>
    <t>Vreren</t>
  </si>
  <si>
    <t>Vresse</t>
  </si>
  <si>
    <t>Vresse-sur-Semois</t>
  </si>
  <si>
    <t>Vroenhoven</t>
  </si>
  <si>
    <t>Vucht</t>
  </si>
  <si>
    <t>Vurste</t>
  </si>
  <si>
    <t>Vyle-et-Tharoul</t>
  </si>
  <si>
    <t>Waanrode</t>
  </si>
  <si>
    <t>Waarbeke</t>
  </si>
  <si>
    <t>Waardamme</t>
  </si>
  <si>
    <t>Waarloos</t>
  </si>
  <si>
    <t>Waarmaarde</t>
  </si>
  <si>
    <t>Waarschoot</t>
  </si>
  <si>
    <t>Waasmont</t>
  </si>
  <si>
    <t>Waasmunster</t>
  </si>
  <si>
    <t>Wachtebeke</t>
  </si>
  <si>
    <t>Wadelincourt</t>
  </si>
  <si>
    <t>Wagnelee</t>
  </si>
  <si>
    <t>Waha</t>
  </si>
  <si>
    <t>Waillet</t>
  </si>
  <si>
    <t>Waimes</t>
  </si>
  <si>
    <t>Wakken</t>
  </si>
  <si>
    <t>Walcourt</t>
  </si>
  <si>
    <t>Walem</t>
  </si>
  <si>
    <t>Walhain-Saint-Paul</t>
  </si>
  <si>
    <t>Walhain</t>
  </si>
  <si>
    <t>Walhorn</t>
  </si>
  <si>
    <t>Walsbets</t>
  </si>
  <si>
    <t>Walshoutem</t>
  </si>
  <si>
    <t>Waltwilder</t>
  </si>
  <si>
    <t>Wambeek</t>
  </si>
  <si>
    <t>Wancennes</t>
  </si>
  <si>
    <t>Wandre</t>
  </si>
  <si>
    <t>Wanfercee-Baulet</t>
  </si>
  <si>
    <t>Wange</t>
  </si>
  <si>
    <t>Wangenies</t>
  </si>
  <si>
    <t>Wanlin</t>
  </si>
  <si>
    <t>Wanne</t>
  </si>
  <si>
    <t>Wannebecq</t>
  </si>
  <si>
    <t>Wannegem-Lede</t>
  </si>
  <si>
    <t>Wansin</t>
  </si>
  <si>
    <t>Wanze</t>
  </si>
  <si>
    <t>Wanzele</t>
  </si>
  <si>
    <t>Warchin</t>
  </si>
  <si>
    <t>Warcoing</t>
  </si>
  <si>
    <t>Wardin</t>
  </si>
  <si>
    <t>Waregem</t>
  </si>
  <si>
    <t>Waremme</t>
  </si>
  <si>
    <t>Waret-la-Chaussee</t>
  </si>
  <si>
    <t>Waret-l'Eveque</t>
  </si>
  <si>
    <t>Warisoulx</t>
  </si>
  <si>
    <t>Warnant</t>
  </si>
  <si>
    <t>Warnant-Dreye</t>
  </si>
  <si>
    <t>Warneton</t>
  </si>
  <si>
    <t>Warquignies</t>
  </si>
  <si>
    <t>Warsage</t>
  </si>
  <si>
    <t>Warzee</t>
  </si>
  <si>
    <t>Wasmes</t>
  </si>
  <si>
    <t>Wasmes-Audemez-Briffoeil</t>
  </si>
  <si>
    <t>Wasmuel</t>
  </si>
  <si>
    <t>Wasseiges</t>
  </si>
  <si>
    <t>Waterland-Oudeman</t>
  </si>
  <si>
    <t>Waterloo</t>
  </si>
  <si>
    <t>Watermaal-Bosvoorde</t>
  </si>
  <si>
    <t>Watermael-Boitsfort</t>
  </si>
  <si>
    <t>Watervliet</t>
  </si>
  <si>
    <t>Watou</t>
  </si>
  <si>
    <t>Wattripont</t>
  </si>
  <si>
    <t>Waudrez</t>
  </si>
  <si>
    <t>Waulsort</t>
  </si>
  <si>
    <t>Wauthier-Braine</t>
  </si>
  <si>
    <t>Wavre</t>
  </si>
  <si>
    <t>Wavreille</t>
  </si>
  <si>
    <t>Wayaux</t>
  </si>
  <si>
    <t>Ways</t>
  </si>
  <si>
    <t>Webbekom</t>
  </si>
  <si>
    <t>Wechelderzande</t>
  </si>
  <si>
    <t>Weelde</t>
  </si>
  <si>
    <t>Weerde</t>
  </si>
  <si>
    <t>Weert</t>
  </si>
  <si>
    <t>Wegnez</t>
  </si>
  <si>
    <t>Weillen</t>
  </si>
  <si>
    <t>Welden</t>
  </si>
  <si>
    <t>Welkenraedt</t>
  </si>
  <si>
    <t>Welle</t>
  </si>
  <si>
    <t>Wellen</t>
  </si>
  <si>
    <t>Wellin</t>
  </si>
  <si>
    <t>Wemmel</t>
  </si>
  <si>
    <t>Wenduine</t>
  </si>
  <si>
    <t>Wepion</t>
  </si>
  <si>
    <t>Werbomont</t>
  </si>
  <si>
    <t>Werchter</t>
  </si>
  <si>
    <t>Weris</t>
  </si>
  <si>
    <t>Werken</t>
  </si>
  <si>
    <t>Werm</t>
  </si>
  <si>
    <t>Wervik</t>
  </si>
  <si>
    <t>Wespelaar</t>
  </si>
  <si>
    <t>Westende</t>
  </si>
  <si>
    <t>Westerlo</t>
  </si>
  <si>
    <t>Westkapelle</t>
  </si>
  <si>
    <t>Westkerke</t>
  </si>
  <si>
    <t>Westmalle</t>
  </si>
  <si>
    <t>Westmeerbeek</t>
  </si>
  <si>
    <t>Westouter</t>
  </si>
  <si>
    <t>Westrem</t>
  </si>
  <si>
    <t>Westrozebeke</t>
  </si>
  <si>
    <t>Westvleteren</t>
  </si>
  <si>
    <t>Wetteren</t>
  </si>
  <si>
    <t>Wevelgem</t>
  </si>
  <si>
    <t>Wez-Velvain</t>
  </si>
  <si>
    <t>Wezemaal</t>
  </si>
  <si>
    <t>Wezembeek-Oppem</t>
  </si>
  <si>
    <t>Wezeren</t>
  </si>
  <si>
    <t>Wibrin</t>
  </si>
  <si>
    <t>Wichelen</t>
  </si>
  <si>
    <t>Widooie</t>
  </si>
  <si>
    <t>Wiekevorst</t>
  </si>
  <si>
    <t>Wielsbeke</t>
  </si>
  <si>
    <t>Wierde</t>
  </si>
  <si>
    <t>Wiers</t>
  </si>
  <si>
    <t>Wiesme</t>
  </si>
  <si>
    <t>Wieze</t>
  </si>
  <si>
    <t>Wiheries</t>
  </si>
  <si>
    <t>Wihogne</t>
  </si>
  <si>
    <t>Wijchmaal</t>
  </si>
  <si>
    <t>Wijer</t>
  </si>
  <si>
    <t>Wijnegem</t>
  </si>
  <si>
    <t>Wijshagen</t>
  </si>
  <si>
    <t>Wijtschate</t>
  </si>
  <si>
    <t>Wilderen</t>
  </si>
  <si>
    <t>Willaupuis</t>
  </si>
  <si>
    <t>Willebringen</t>
  </si>
  <si>
    <t>Willebroek</t>
  </si>
  <si>
    <t>Willemeau</t>
  </si>
  <si>
    <t>Willerzie</t>
  </si>
  <si>
    <t>Wilrijk</t>
  </si>
  <si>
    <t>Wilsele</t>
  </si>
  <si>
    <t>Wilskerke</t>
  </si>
  <si>
    <t>Wimmertingen</t>
  </si>
  <si>
    <t>Winenne</t>
  </si>
  <si>
    <t>Wingene</t>
  </si>
  <si>
    <t>Winksele</t>
  </si>
  <si>
    <t>Wintershoven</t>
  </si>
  <si>
    <t>Witry</t>
  </si>
  <si>
    <t>Wodecq</t>
  </si>
  <si>
    <t>Woesten</t>
  </si>
  <si>
    <t>Wolkrange</t>
  </si>
  <si>
    <t>Woluwe-Saint-Lambert</t>
  </si>
  <si>
    <t>Woluwe-Saint-Pierre</t>
  </si>
  <si>
    <t>Wolvertem</t>
  </si>
  <si>
    <t>Wommelgem</t>
  </si>
  <si>
    <t>Wommersom</t>
  </si>
  <si>
    <t>Wonck</t>
  </si>
  <si>
    <t>Wondelgem</t>
  </si>
  <si>
    <t>Wontergem</t>
  </si>
  <si>
    <t>Wortegem-Petegem</t>
  </si>
  <si>
    <t>Wortegem</t>
  </si>
  <si>
    <t>Wortel</t>
  </si>
  <si>
    <t>Woubrechtegem</t>
  </si>
  <si>
    <t>Woumen</t>
  </si>
  <si>
    <t>Wulpen</t>
  </si>
  <si>
    <t>Wulvergem</t>
  </si>
  <si>
    <t>Wulveringem</t>
  </si>
  <si>
    <t>Wuustwezel</t>
  </si>
  <si>
    <t>Xhendelesse</t>
  </si>
  <si>
    <t>Xhendremael</t>
  </si>
  <si>
    <t>Xhoris</t>
  </si>
  <si>
    <t>Yernee-Fraineux</t>
  </si>
  <si>
    <t>Yves-Gomezee</t>
  </si>
  <si>
    <t>Yvoir</t>
  </si>
  <si>
    <t>Zaffelare</t>
  </si>
  <si>
    <t>Zandbergen</t>
  </si>
  <si>
    <t>Zande</t>
  </si>
  <si>
    <t>Zandhoven</t>
  </si>
  <si>
    <t>Zandvliet</t>
  </si>
  <si>
    <t>Zandvoorde</t>
  </si>
  <si>
    <t>Zarlardinge</t>
  </si>
  <si>
    <t>Zarren-Werken</t>
  </si>
  <si>
    <t>Zarren</t>
  </si>
  <si>
    <t>Zaventem</t>
  </si>
  <si>
    <t>Zedelgem</t>
  </si>
  <si>
    <t>Zegelsem</t>
  </si>
  <si>
    <t>Zele</t>
  </si>
  <si>
    <t>Zelem</t>
  </si>
  <si>
    <t>Zellik</t>
  </si>
  <si>
    <t>Zelzate</t>
  </si>
  <si>
    <t>Zemst</t>
  </si>
  <si>
    <t>Zepperen</t>
  </si>
  <si>
    <t>Zerkegem</t>
  </si>
  <si>
    <t>Zetrud-Lumay</t>
  </si>
  <si>
    <t>Zevekote</t>
  </si>
  <si>
    <t>Zeveneken</t>
  </si>
  <si>
    <t>Zeveren</t>
  </si>
  <si>
    <t>Zevergem</t>
  </si>
  <si>
    <t>Zichem</t>
  </si>
  <si>
    <t>Zichen-Zussen-Bolder</t>
  </si>
  <si>
    <t>Zillebeke</t>
  </si>
  <si>
    <t>Zingem</t>
  </si>
  <si>
    <t>Zoerle-Parwijs</t>
  </si>
  <si>
    <t>Zoersel</t>
  </si>
  <si>
    <t>Zolder</t>
  </si>
  <si>
    <t>Zomergem</t>
  </si>
  <si>
    <t>Zonhoven</t>
  </si>
  <si>
    <t>Zonnebeke</t>
  </si>
  <si>
    <t>Zonnegem</t>
  </si>
  <si>
    <t>Zottegem</t>
  </si>
  <si>
    <t>Zoutenaaie</t>
  </si>
  <si>
    <t>Zoutleeuw</t>
  </si>
  <si>
    <t>Zuidschote</t>
  </si>
  <si>
    <t>Zuienkerke</t>
  </si>
  <si>
    <t>Zulte</t>
  </si>
  <si>
    <t>Zulzeke</t>
  </si>
  <si>
    <t>Zutendaal</t>
  </si>
  <si>
    <t>Zwalm</t>
  </si>
  <si>
    <t>Zwevegem</t>
  </si>
  <si>
    <t>Zwevezele</t>
  </si>
  <si>
    <t>Zwijnaarde</t>
  </si>
  <si>
    <t>Zwijndrecht</t>
  </si>
  <si>
    <t>s Gravenvoeren</t>
  </si>
  <si>
    <t>s Gravenwezel</t>
  </si>
  <si>
    <t>s Herenelderen</t>
  </si>
  <si>
    <t>_x001A_</t>
  </si>
  <si>
    <t>Volume protégé du bâtiment</t>
  </si>
  <si>
    <t xml:space="preserve">Amélioration de l'installation de chauffage </t>
  </si>
  <si>
    <t xml:space="preserve">Débit </t>
  </si>
  <si>
    <t>Nombre de système</t>
  </si>
  <si>
    <t>Atelier</t>
  </si>
  <si>
    <t>Salle de spectacle</t>
  </si>
  <si>
    <t xml:space="preserve">U min </t>
  </si>
  <si>
    <t xml:space="preserve">U max </t>
  </si>
  <si>
    <t>Encodez ici toutes les parois de l'enveloppe du bâtiment : toutes les surfaces par où le bâtiment perd de l'énergie, c'est-à-dire tous les toits (ou éventuellement les planchers de greniers non chauffés), les murs extérieurs, les murs séparant des espaces non chauffés (garage, grenier,...), les murs contre terre, sol,...
Dans le cadre de l'appel à projet UREBA exceptionnel nous considérons que s'il existe un accès entre les différentes constructions, il faut considérer qu'elles forment un seul bâtiment.</t>
  </si>
  <si>
    <r>
      <t xml:space="preserve">Comment l'utiliser ?                 
Cet outil se compose de différents onglets : "Mode d'emploi "(celui-ci), "Encodage données" où l'on va encoder les paramètres caractérisant le bâtiment, "Encodage ventilatio"n où l'on va éventuellement encoder  le nombre et le type de groupe de ventilation  installés, "Bilan énergétique" où sont affichés les déperditions par poste, la consommation théorique totale pour la situation actuelle et rénovée et l'économie d'énergie réalisée entre ces 2 situations et  "Subside" où les montant de subside correspondant aux travaux envisagés.
</t>
    </r>
    <r>
      <rPr>
        <u/>
        <sz val="11"/>
        <color rgb="FFFF0000"/>
        <rFont val="Arial"/>
        <family val="2"/>
      </rPr>
      <t>/!\</t>
    </r>
    <r>
      <rPr>
        <b/>
        <sz val="11"/>
        <color rgb="FFFF0000"/>
        <rFont val="Arial"/>
        <family val="2"/>
      </rPr>
      <t xml:space="preserve">  Afin que la feuille de calcul puisse estimer convenablement le gain d'énergie, l’ensemble des surfaces de déperdition de l’enveloppe du bâtiment doivent être encodées.</t>
    </r>
    <r>
      <rPr>
        <b/>
        <sz val="11"/>
        <rFont val="Arial"/>
        <family val="2"/>
      </rPr>
      <t xml:space="preserve">
</t>
    </r>
    <r>
      <rPr>
        <b/>
        <sz val="11"/>
        <color rgb="FFFF0000"/>
        <rFont val="Arial"/>
        <family val="2"/>
      </rPr>
      <t>Dans le cadre de l'appel à projet UREBA exceptionnel nous considérons que s'il existe un accès entre les différentes constructions, il faut considérer qu'elles forment un seul bâtiment.</t>
    </r>
  </si>
  <si>
    <t xml:space="preserve">Toiture inclinée non isolée </t>
  </si>
  <si>
    <t>Le bâtiment est-il  classé ?</t>
  </si>
  <si>
    <t>Bâtiment classé</t>
  </si>
  <si>
    <t xml:space="preserve">Vérification encodage </t>
  </si>
  <si>
    <t>VENTILATION</t>
  </si>
  <si>
    <t>CARACTÉRISATION DES DÉPERDITIONS THERMIQUES PAR LES PAROIS</t>
  </si>
  <si>
    <t>Isolation Toiture en pente : Sarking</t>
  </si>
  <si>
    <t xml:space="preserve">Isolation Toiture en pente : dans la structure 
</t>
  </si>
  <si>
    <t>top</t>
  </si>
  <si>
    <t>toi</t>
  </si>
  <si>
    <t>toc</t>
  </si>
  <si>
    <t>Année de fabrication de la chaudière</t>
  </si>
  <si>
    <r>
      <t xml:space="preserve">Encodez ici les informations relatives à l'installation de chauffage actuelle et future. </t>
    </r>
    <r>
      <rPr>
        <b/>
        <sz val="10"/>
        <color rgb="FFFF0000"/>
        <rFont val="Arial"/>
        <family val="2"/>
      </rPr>
      <t>Notez que l'amélioration de l'installation de chauffage ne peut pas être subsidiée dans le cadre de cet appel mais elle peut être prise en compte pour l'atteinte de l'objectif des 30% d'économie d'énergie.</t>
    </r>
    <r>
      <rPr>
        <sz val="10"/>
        <rFont val="Arial"/>
        <family val="2"/>
      </rPr>
      <t xml:space="preserve"> </t>
    </r>
    <r>
      <rPr>
        <b/>
        <u/>
        <sz val="10"/>
        <color rgb="FFFF0000"/>
        <rFont val="Arial"/>
        <family val="2"/>
      </rPr>
      <t>/!\</t>
    </r>
    <r>
      <rPr>
        <b/>
        <sz val="10"/>
        <color rgb="FFFF0000"/>
        <rFont val="Arial"/>
        <family val="2"/>
      </rPr>
      <t xml:space="preserve"> Pour que ces gains soient pris en compte, les travaux concernant l'installation de chauffage devront être terminés dans les mêmes délais que les autres travaux proposés dans le cadre de cet appel.</t>
    </r>
  </si>
  <si>
    <t>Des travaux d'amélioration de l'enveloppe subsidiés par d'autres appels à projet peuvent être pris en compte pour atteindre l'objectif des 30% d'économie d'énergie. /!\ Pour que ces gains soient pris en compte, les travaux  devront être terminés dans les mêmes délais que les autres travaux proposés dans le cadre de cet appel. De plus, ces travaux ne sont pas pris en compte dans le calcul du pourcentage de surface d’enveloppe qui sera rénovée.</t>
  </si>
  <si>
    <t xml:space="preserve">Amélioration énergétique non subsidiée par cet appel à projet </t>
  </si>
  <si>
    <t>Dans le cadre des demandes de subvention de l’appel à projets UREBA Exceptionnel 2022-2024, seuls les résultats obtenus via cette feuille de calcul transmise par le SPW font foi. Un calcul effectué au moyen d’un autre outil ne sera pas pris en compte.
 Cette feuille de calcul devra être envoyée au format Excel , tout document envoyé sous un autre format ne sera pas accepté.</t>
  </si>
  <si>
    <r>
      <rPr>
        <b/>
        <u/>
        <sz val="11"/>
        <color rgb="FFFF0000"/>
        <rFont val="Arial"/>
        <family val="2"/>
      </rPr>
      <t>/!\</t>
    </r>
    <r>
      <rPr>
        <b/>
        <sz val="11"/>
        <color rgb="FFFF0000"/>
        <rFont val="Arial"/>
        <family val="2"/>
      </rPr>
      <t xml:space="preserve"> Lors de l’encodage de la feuille de calcul, si vous constatez que des menus déroulants ne fonctionnent pas ou que des messages d’erreur apparaissent dans certaines cellules se trouvant dans la partie « Bilan énergétique » et « Subside », vôtre version d'Excel n’est peut-être pas compatible avec cette feuille de calcul. 
L’encodage de la feuille en utilisant Excel online résoudra le problème. Si vous ne disposez pas de celui-ci sur votre ordinateur, vous devrez vous inscrire via ce site : 
https://www.microsoft.com/fr-fr/microsoft-365/free-office-online-for-the-web 
et ensuite ouvrir la feuille de calcul en ligne en faisant glisser celle-ci sur la page internet.</t>
    </r>
  </si>
  <si>
    <t>Emission de CO2</t>
  </si>
  <si>
    <t>Pourcentage de réduction de CO2 réalisée</t>
  </si>
  <si>
    <t xml:space="preserve"> - Appel à projet UREBA Exceptionnel 2022-2024 - vagues 2 et 3 -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</si>
</sst>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 &quot;€&quot;"/>
  </numFmts>
  <fonts count="36" x14ac:knownFonts="1">
    <font>
      <sz val="10"/>
      <name val="Arial"/>
    </font>
    <font>
      <sz val="10"/>
      <name val="Arial"/>
      <family val="2"/>
    </font>
    <font>
      <b/>
      <sz val="8"/>
      <name val="Arial"/>
      <family val="2"/>
    </font>
    <font>
      <b/>
      <sz val="10"/>
      <name val="Arial"/>
      <family val="2"/>
    </font>
    <font>
      <sz val="8"/>
      <name val="Arial"/>
      <family val="2"/>
    </font>
    <font>
      <sz val="8"/>
      <name val="Arial"/>
      <family val="2"/>
    </font>
    <font>
      <b/>
      <sz val="8"/>
      <color indexed="12"/>
      <name val="Arial"/>
      <family val="2"/>
    </font>
    <font>
      <b/>
      <vertAlign val="subscript"/>
      <sz val="8"/>
      <name val="Arial"/>
      <family val="2"/>
    </font>
    <font>
      <b/>
      <sz val="12"/>
      <name val="Arial"/>
      <family val="2"/>
    </font>
    <font>
      <sz val="10"/>
      <color rgb="FFFF0000"/>
      <name val="Arial"/>
      <family val="2"/>
    </font>
    <font>
      <sz val="11"/>
      <name val="Calibri"/>
      <family val="2"/>
    </font>
    <font>
      <sz val="11"/>
      <color rgb="FF000000"/>
      <name val="Calibri"/>
      <family val="2"/>
    </font>
    <font>
      <u/>
      <sz val="11"/>
      <color rgb="FF008080"/>
      <name val="Calibri"/>
      <family val="2"/>
    </font>
    <font>
      <sz val="8"/>
      <name val="Calibri"/>
      <family val="2"/>
    </font>
    <font>
      <sz val="10"/>
      <name val="Calibri"/>
      <family val="2"/>
    </font>
    <font>
      <b/>
      <sz val="9"/>
      <color indexed="81"/>
      <name val="Tahoma"/>
      <family val="2"/>
    </font>
    <font>
      <sz val="9"/>
      <color indexed="81"/>
      <name val="Tahoma"/>
      <family val="2"/>
    </font>
    <font>
      <sz val="10"/>
      <color theme="1"/>
      <name val="Arial"/>
      <family val="2"/>
    </font>
    <font>
      <b/>
      <sz val="8"/>
      <color rgb="FF0000FF"/>
      <name val="Arial"/>
      <family val="2"/>
    </font>
    <font>
      <sz val="9"/>
      <name val="Arial"/>
      <family val="2"/>
    </font>
    <font>
      <b/>
      <sz val="10"/>
      <color theme="0"/>
      <name val="Arial"/>
      <family val="2"/>
    </font>
    <font>
      <sz val="10"/>
      <color theme="0"/>
      <name val="Arial"/>
      <family val="2"/>
    </font>
    <font>
      <sz val="8"/>
      <name val="Arial"/>
      <family val="2"/>
    </font>
    <font>
      <sz val="12"/>
      <name val="Arial"/>
      <family val="2"/>
    </font>
    <font>
      <sz val="10"/>
      <color rgb="FF202124"/>
      <name val="Arial"/>
      <family val="2"/>
    </font>
    <font>
      <b/>
      <sz val="10"/>
      <color rgb="FFFF0000"/>
      <name val="Arial"/>
      <family val="2"/>
    </font>
    <font>
      <sz val="20"/>
      <name val="Arial"/>
      <family val="2"/>
    </font>
    <font>
      <b/>
      <sz val="11"/>
      <name val="Arial"/>
      <family val="2"/>
    </font>
    <font>
      <sz val="11"/>
      <name val="Arial"/>
      <family val="2"/>
    </font>
    <font>
      <b/>
      <sz val="22"/>
      <name val="Arial"/>
      <family val="2"/>
    </font>
    <font>
      <b/>
      <u/>
      <sz val="10"/>
      <color rgb="FFFF0000"/>
      <name val="Arial"/>
      <family val="2"/>
    </font>
    <font>
      <u/>
      <sz val="10"/>
      <color rgb="FFFF0000"/>
      <name val="Arial"/>
      <family val="2"/>
    </font>
    <font>
      <u/>
      <sz val="11"/>
      <color rgb="FFFF0000"/>
      <name val="Arial"/>
      <family val="2"/>
    </font>
    <font>
      <b/>
      <sz val="11"/>
      <color rgb="FFFF0000"/>
      <name val="Arial"/>
      <family val="2"/>
    </font>
    <font>
      <b/>
      <u/>
      <sz val="11"/>
      <color rgb="FFFF0000"/>
      <name val="Arial"/>
      <family val="2"/>
    </font>
    <font>
      <sz val="12"/>
      <color rgb="FFFF0000"/>
      <name val="Arial"/>
      <family val="2"/>
    </font>
  </fonts>
  <fills count="14">
    <fill>
      <patternFill patternType="none"/>
    </fill>
    <fill>
      <patternFill patternType="gray125"/>
    </fill>
    <fill>
      <patternFill patternType="solid">
        <fgColor indexed="44"/>
        <bgColor indexed="64"/>
      </patternFill>
    </fill>
    <fill>
      <patternFill patternType="solid">
        <fgColor rgb="FFFFFF00"/>
        <bgColor indexed="64"/>
      </patternFill>
    </fill>
    <fill>
      <patternFill patternType="solid">
        <fgColor theme="3" tint="0.59999389629810485"/>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4" tint="0.79998168889431442"/>
        <bgColor indexed="64"/>
      </patternFill>
    </fill>
    <fill>
      <patternFill patternType="solid">
        <fgColor rgb="FF0000FF"/>
        <bgColor indexed="64"/>
      </patternFill>
    </fill>
    <fill>
      <patternFill patternType="darkGray">
        <bgColor theme="0"/>
      </patternFill>
    </fill>
  </fills>
  <borders count="56">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thin">
        <color indexed="64"/>
      </right>
      <top/>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rgb="FF000000"/>
      </right>
      <top style="medium">
        <color indexed="64"/>
      </top>
      <bottom/>
      <diagonal/>
    </border>
    <border>
      <left/>
      <right style="medium">
        <color rgb="FF000000"/>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thin">
        <color theme="4"/>
      </left>
      <right/>
      <top style="thin">
        <color theme="4"/>
      </top>
      <bottom/>
      <diagonal/>
    </border>
    <border>
      <left style="medium">
        <color indexed="64"/>
      </left>
      <right style="thin">
        <color indexed="64"/>
      </right>
      <top style="medium">
        <color indexed="64"/>
      </top>
      <bottom style="thin">
        <color indexed="64"/>
      </bottom>
      <diagonal/>
    </border>
    <border>
      <left style="thin">
        <color theme="4"/>
      </left>
      <right/>
      <top style="thin">
        <color theme="4"/>
      </top>
      <bottom style="thin">
        <color theme="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diagonal/>
    </border>
    <border>
      <left/>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1">
    <xf numFmtId="0" fontId="0" fillId="0" borderId="0"/>
  </cellStyleXfs>
  <cellXfs count="311">
    <xf numFmtId="0" fontId="0" fillId="0" borderId="0" xfId="0"/>
    <xf numFmtId="0" fontId="3" fillId="0" borderId="0" xfId="0" applyFont="1"/>
    <xf numFmtId="0" fontId="3" fillId="0" borderId="0" xfId="0" applyFont="1" applyAlignment="1">
      <alignment horizontal="center"/>
    </xf>
    <xf numFmtId="0" fontId="0" fillId="0" borderId="0" xfId="0" quotePrefix="1"/>
    <xf numFmtId="0" fontId="2" fillId="0" borderId="4" xfId="0" applyFont="1" applyBorder="1" applyAlignment="1">
      <alignment horizontal="center" vertical="justify" wrapText="1"/>
    </xf>
    <xf numFmtId="0" fontId="4" fillId="0" borderId="4" xfId="0" applyFont="1" applyBorder="1" applyAlignment="1">
      <alignment horizontal="center"/>
    </xf>
    <xf numFmtId="1" fontId="0" fillId="0" borderId="0" xfId="0" applyNumberFormat="1"/>
    <xf numFmtId="0" fontId="10" fillId="0" borderId="0" xfId="0" applyFont="1"/>
    <xf numFmtId="0" fontId="11" fillId="0" borderId="17" xfId="0" applyFont="1" applyBorder="1" applyAlignment="1">
      <alignment vertical="center" wrapText="1"/>
    </xf>
    <xf numFmtId="0" fontId="11" fillId="0" borderId="21" xfId="0" applyFont="1" applyBorder="1" applyAlignment="1">
      <alignment vertical="center" wrapText="1"/>
    </xf>
    <xf numFmtId="0" fontId="11" fillId="0" borderId="20" xfId="0" applyFont="1" applyBorder="1" applyAlignment="1">
      <alignment vertical="center" wrapText="1"/>
    </xf>
    <xf numFmtId="0" fontId="11" fillId="0" borderId="22" xfId="0" applyFont="1" applyBorder="1" applyAlignment="1">
      <alignment horizontal="right" vertical="center" wrapText="1"/>
    </xf>
    <xf numFmtId="0" fontId="11" fillId="0" borderId="22" xfId="0" applyFont="1" applyBorder="1" applyAlignment="1">
      <alignment horizontal="right" vertical="center"/>
    </xf>
    <xf numFmtId="0" fontId="10" fillId="0" borderId="22" xfId="0" applyFont="1" applyBorder="1"/>
    <xf numFmtId="0" fontId="13" fillId="0" borderId="0" xfId="0" applyFont="1" applyAlignment="1">
      <alignment vertical="center"/>
    </xf>
    <xf numFmtId="0" fontId="11" fillId="0" borderId="0" xfId="0" applyFont="1" applyAlignment="1">
      <alignment vertical="center"/>
    </xf>
    <xf numFmtId="0" fontId="11" fillId="0" borderId="17" xfId="0" applyFont="1" applyBorder="1" applyAlignment="1">
      <alignment vertical="center"/>
    </xf>
    <xf numFmtId="0" fontId="11" fillId="0" borderId="19" xfId="0" applyFont="1" applyBorder="1" applyAlignment="1">
      <alignment vertical="center" wrapText="1"/>
    </xf>
    <xf numFmtId="0" fontId="11" fillId="0" borderId="20" xfId="0" applyFont="1" applyBorder="1" applyAlignment="1">
      <alignment vertical="center"/>
    </xf>
    <xf numFmtId="0" fontId="11" fillId="0" borderId="24" xfId="0" applyFont="1" applyBorder="1" applyAlignment="1">
      <alignment vertical="center"/>
    </xf>
    <xf numFmtId="0" fontId="11" fillId="0" borderId="25" xfId="0" applyFont="1" applyBorder="1" applyAlignment="1">
      <alignment vertical="center" wrapText="1"/>
    </xf>
    <xf numFmtId="0" fontId="11" fillId="0" borderId="26" xfId="0" applyFont="1" applyBorder="1" applyAlignment="1">
      <alignment vertical="center"/>
    </xf>
    <xf numFmtId="0" fontId="11" fillId="0" borderId="27" xfId="0" applyFont="1" applyBorder="1" applyAlignment="1">
      <alignment horizontal="right" vertical="center" wrapText="1"/>
    </xf>
    <xf numFmtId="0" fontId="11" fillId="0" borderId="20" xfId="0" applyFont="1" applyBorder="1" applyAlignment="1">
      <alignment horizontal="right" vertical="center"/>
    </xf>
    <xf numFmtId="0" fontId="11" fillId="0" borderId="23" xfId="0" applyFont="1" applyBorder="1" applyAlignment="1">
      <alignment horizontal="right" vertical="center" wrapText="1"/>
    </xf>
    <xf numFmtId="0" fontId="11" fillId="0" borderId="23" xfId="0" applyFont="1" applyBorder="1" applyAlignment="1">
      <alignment horizontal="right" vertical="center"/>
    </xf>
    <xf numFmtId="0" fontId="11" fillId="0" borderId="0" xfId="0" applyFont="1" applyAlignment="1">
      <alignment vertical="center" wrapText="1"/>
    </xf>
    <xf numFmtId="0" fontId="4" fillId="0" borderId="0" xfId="0" applyFont="1"/>
    <xf numFmtId="0" fontId="2" fillId="0" borderId="28" xfId="0" applyFont="1" applyBorder="1" applyAlignment="1">
      <alignment horizontal="center" vertical="justify" wrapText="1"/>
    </xf>
    <xf numFmtId="2" fontId="0" fillId="0" borderId="0" xfId="0" applyNumberFormat="1"/>
    <xf numFmtId="0" fontId="0" fillId="0" borderId="4" xfId="0" applyBorder="1"/>
    <xf numFmtId="0" fontId="0" fillId="0" borderId="0" xfId="0" applyAlignment="1">
      <alignment horizontal="center"/>
    </xf>
    <xf numFmtId="0" fontId="0" fillId="0" borderId="4" xfId="0" applyBorder="1" applyAlignment="1">
      <alignment horizontal="center"/>
    </xf>
    <xf numFmtId="0" fontId="3" fillId="0" borderId="4" xfId="0" applyFont="1" applyBorder="1"/>
    <xf numFmtId="0" fontId="0" fillId="0" borderId="30" xfId="0" applyBorder="1"/>
    <xf numFmtId="0" fontId="11" fillId="0" borderId="32" xfId="0" applyFont="1" applyBorder="1" applyAlignment="1">
      <alignment vertical="center" wrapText="1"/>
    </xf>
    <xf numFmtId="0" fontId="11" fillId="0" borderId="33" xfId="0" applyFont="1" applyBorder="1" applyAlignment="1">
      <alignment vertical="center" wrapText="1"/>
    </xf>
    <xf numFmtId="0" fontId="11" fillId="0" borderId="31" xfId="0" applyFont="1" applyBorder="1" applyAlignment="1">
      <alignment vertical="center" wrapText="1"/>
    </xf>
    <xf numFmtId="0" fontId="11" fillId="0" borderId="18" xfId="0" applyFont="1" applyBorder="1" applyAlignment="1">
      <alignment vertical="center" wrapText="1"/>
    </xf>
    <xf numFmtId="0" fontId="0" fillId="0" borderId="38" xfId="0" applyBorder="1"/>
    <xf numFmtId="0" fontId="19" fillId="0" borderId="0" xfId="0" applyFont="1" applyAlignment="1">
      <alignment horizontal="left" vertical="top"/>
    </xf>
    <xf numFmtId="0" fontId="19" fillId="0" borderId="0" xfId="0" applyFont="1" applyAlignment="1">
      <alignment horizontal="left"/>
    </xf>
    <xf numFmtId="0" fontId="0" fillId="6" borderId="0" xfId="0" applyFill="1"/>
    <xf numFmtId="1" fontId="3" fillId="5" borderId="4" xfId="0" applyNumberFormat="1" applyFont="1" applyFill="1" applyBorder="1" applyAlignment="1">
      <alignment horizontal="center"/>
    </xf>
    <xf numFmtId="164" fontId="3" fillId="5" borderId="4" xfId="0" applyNumberFormat="1" applyFont="1" applyFill="1" applyBorder="1" applyAlignment="1">
      <alignment horizontal="center"/>
    </xf>
    <xf numFmtId="0" fontId="3" fillId="5" borderId="4" xfId="0" applyFont="1" applyFill="1" applyBorder="1" applyAlignment="1">
      <alignment horizontal="center"/>
    </xf>
    <xf numFmtId="2" fontId="3" fillId="5" borderId="4" xfId="0" applyNumberFormat="1" applyFont="1" applyFill="1" applyBorder="1" applyAlignment="1">
      <alignment horizontal="center"/>
    </xf>
    <xf numFmtId="0" fontId="0" fillId="7" borderId="4" xfId="0" applyFill="1" applyBorder="1" applyAlignment="1">
      <alignment horizontal="center"/>
    </xf>
    <xf numFmtId="0" fontId="3" fillId="6" borderId="18" xfId="0" applyFont="1" applyFill="1" applyBorder="1" applyAlignment="1">
      <alignment horizontal="center"/>
    </xf>
    <xf numFmtId="0" fontId="3" fillId="6" borderId="17" xfId="0" applyFont="1" applyFill="1" applyBorder="1" applyAlignment="1">
      <alignment horizontal="center"/>
    </xf>
    <xf numFmtId="1" fontId="3" fillId="5" borderId="5" xfId="0" applyNumberFormat="1" applyFont="1" applyFill="1" applyBorder="1" applyAlignment="1">
      <alignment horizontal="center"/>
    </xf>
    <xf numFmtId="164" fontId="3" fillId="5" borderId="5" xfId="0" applyNumberFormat="1" applyFont="1" applyFill="1" applyBorder="1" applyAlignment="1">
      <alignment horizontal="center"/>
    </xf>
    <xf numFmtId="0" fontId="3" fillId="5" borderId="5" xfId="0" applyFont="1" applyFill="1" applyBorder="1" applyAlignment="1">
      <alignment horizontal="center"/>
    </xf>
    <xf numFmtId="0" fontId="0" fillId="6" borderId="18" xfId="0" applyFill="1" applyBorder="1"/>
    <xf numFmtId="2" fontId="0" fillId="0" borderId="10" xfId="0" applyNumberFormat="1" applyBorder="1" applyAlignment="1">
      <alignment horizontal="center"/>
    </xf>
    <xf numFmtId="0" fontId="0" fillId="0" borderId="34" xfId="0" applyBorder="1" applyAlignment="1">
      <alignment horizontal="center"/>
    </xf>
    <xf numFmtId="0" fontId="0" fillId="0" borderId="40" xfId="0" applyBorder="1" applyAlignment="1">
      <alignment horizontal="center"/>
    </xf>
    <xf numFmtId="0" fontId="0" fillId="0" borderId="8" xfId="0" applyBorder="1" applyAlignment="1">
      <alignment horizontal="center"/>
    </xf>
    <xf numFmtId="165" fontId="0" fillId="0" borderId="43" xfId="0" applyNumberFormat="1" applyBorder="1" applyAlignment="1">
      <alignment horizontal="center"/>
    </xf>
    <xf numFmtId="0" fontId="0" fillId="9" borderId="17" xfId="0" applyFill="1" applyBorder="1"/>
    <xf numFmtId="165" fontId="0" fillId="9" borderId="17" xfId="0" applyNumberFormat="1" applyFill="1" applyBorder="1"/>
    <xf numFmtId="0" fontId="3" fillId="9" borderId="18" xfId="0" applyFont="1" applyFill="1" applyBorder="1"/>
    <xf numFmtId="165" fontId="3" fillId="5" borderId="17" xfId="0" applyNumberFormat="1" applyFont="1" applyFill="1" applyBorder="1"/>
    <xf numFmtId="1" fontId="3" fillId="5" borderId="3" xfId="0" applyNumberFormat="1" applyFont="1" applyFill="1" applyBorder="1" applyAlignment="1">
      <alignment horizontal="center"/>
    </xf>
    <xf numFmtId="1" fontId="3" fillId="5" borderId="16" xfId="0" applyNumberFormat="1" applyFont="1" applyFill="1" applyBorder="1" applyAlignment="1">
      <alignment horizontal="center"/>
    </xf>
    <xf numFmtId="1" fontId="3" fillId="5" borderId="15" xfId="0" applyNumberFormat="1" applyFont="1" applyFill="1" applyBorder="1" applyAlignment="1">
      <alignment horizontal="center"/>
    </xf>
    <xf numFmtId="1" fontId="3" fillId="5" borderId="6" xfId="0" applyNumberFormat="1" applyFont="1" applyFill="1" applyBorder="1" applyAlignment="1">
      <alignment horizontal="center"/>
    </xf>
    <xf numFmtId="1" fontId="3" fillId="5" borderId="8" xfId="0" applyNumberFormat="1" applyFont="1" applyFill="1" applyBorder="1" applyAlignment="1">
      <alignment horizontal="center"/>
    </xf>
    <xf numFmtId="0" fontId="17" fillId="0" borderId="48" xfId="0" applyFont="1" applyBorder="1"/>
    <xf numFmtId="0" fontId="17" fillId="0" borderId="46" xfId="0" applyFont="1" applyBorder="1"/>
    <xf numFmtId="10" fontId="3" fillId="10" borderId="17" xfId="0" applyNumberFormat="1" applyFont="1" applyFill="1" applyBorder="1" applyAlignment="1">
      <alignment horizontal="center"/>
    </xf>
    <xf numFmtId="0" fontId="1" fillId="0" borderId="0" xfId="0" applyFont="1"/>
    <xf numFmtId="0" fontId="1" fillId="0" borderId="4" xfId="0" applyFont="1" applyBorder="1"/>
    <xf numFmtId="10" fontId="3" fillId="5" borderId="4" xfId="0" applyNumberFormat="1" applyFont="1" applyFill="1" applyBorder="1" applyAlignment="1">
      <alignment horizontal="center"/>
    </xf>
    <xf numFmtId="0" fontId="4" fillId="0" borderId="0" xfId="0" applyFont="1" applyAlignment="1">
      <alignment wrapText="1"/>
    </xf>
    <xf numFmtId="0" fontId="3" fillId="0" borderId="4" xfId="0" applyFont="1" applyBorder="1" applyAlignment="1">
      <alignment horizontal="center" vertical="justify" wrapText="1"/>
    </xf>
    <xf numFmtId="0" fontId="1" fillId="0" borderId="0" xfId="0" applyFont="1" applyAlignment="1">
      <alignment wrapText="1"/>
    </xf>
    <xf numFmtId="0" fontId="21" fillId="0" borderId="0" xfId="0" applyFont="1"/>
    <xf numFmtId="0" fontId="3" fillId="11" borderId="17" xfId="0" applyFont="1" applyFill="1" applyBorder="1"/>
    <xf numFmtId="165" fontId="3" fillId="11" borderId="17" xfId="0" applyNumberFormat="1" applyFont="1" applyFill="1" applyBorder="1"/>
    <xf numFmtId="0" fontId="3" fillId="0" borderId="17" xfId="0" applyFont="1" applyBorder="1"/>
    <xf numFmtId="0" fontId="3" fillId="0" borderId="20" xfId="0" applyFont="1" applyBorder="1"/>
    <xf numFmtId="10" fontId="3" fillId="0" borderId="19" xfId="0" applyNumberFormat="1" applyFont="1" applyBorder="1"/>
    <xf numFmtId="10" fontId="3" fillId="0" borderId="22" xfId="0" applyNumberFormat="1" applyFont="1" applyBorder="1"/>
    <xf numFmtId="0" fontId="0" fillId="7" borderId="17" xfId="0" applyFill="1" applyBorder="1" applyAlignment="1">
      <alignment horizontal="center"/>
    </xf>
    <xf numFmtId="0" fontId="3" fillId="5" borderId="17" xfId="0" applyFont="1" applyFill="1" applyBorder="1" applyAlignment="1">
      <alignment horizontal="center"/>
    </xf>
    <xf numFmtId="0" fontId="1" fillId="7" borderId="4" xfId="0" applyFont="1" applyFill="1" applyBorder="1"/>
    <xf numFmtId="0" fontId="1" fillId="7" borderId="4" xfId="0" applyFont="1" applyFill="1" applyBorder="1" applyAlignment="1">
      <alignment horizontal="center"/>
    </xf>
    <xf numFmtId="0" fontId="1" fillId="7" borderId="40" xfId="0" applyFont="1" applyFill="1" applyBorder="1"/>
    <xf numFmtId="0" fontId="1" fillId="7" borderId="41" xfId="0" applyFont="1" applyFill="1" applyBorder="1" applyAlignment="1">
      <alignment horizontal="center"/>
    </xf>
    <xf numFmtId="0" fontId="1" fillId="7" borderId="17" xfId="0" applyFont="1" applyFill="1" applyBorder="1" applyAlignment="1">
      <alignment horizontal="left"/>
    </xf>
    <xf numFmtId="1" fontId="3" fillId="0" borderId="0" xfId="0" applyNumberFormat="1" applyFont="1" applyAlignment="1">
      <alignment horizontal="center"/>
    </xf>
    <xf numFmtId="0" fontId="1" fillId="7" borderId="14" xfId="0" applyFont="1" applyFill="1" applyBorder="1"/>
    <xf numFmtId="0" fontId="1" fillId="7" borderId="10" xfId="0" applyFont="1" applyFill="1" applyBorder="1"/>
    <xf numFmtId="0" fontId="3" fillId="5" borderId="14" xfId="0" applyFont="1" applyFill="1" applyBorder="1" applyAlignment="1">
      <alignment horizontal="center"/>
    </xf>
    <xf numFmtId="0" fontId="3" fillId="5" borderId="10" xfId="0" applyFont="1" applyFill="1" applyBorder="1" applyAlignment="1">
      <alignment horizontal="center"/>
    </xf>
    <xf numFmtId="9" fontId="3" fillId="3" borderId="37" xfId="0" applyNumberFormat="1" applyFont="1" applyFill="1" applyBorder="1" applyAlignment="1">
      <alignment horizontal="center"/>
    </xf>
    <xf numFmtId="0" fontId="3" fillId="8" borderId="35" xfId="0" applyFont="1" applyFill="1" applyBorder="1"/>
    <xf numFmtId="1" fontId="3" fillId="5" borderId="14" xfId="0" applyNumberFormat="1" applyFont="1" applyFill="1" applyBorder="1" applyAlignment="1">
      <alignment horizontal="center"/>
    </xf>
    <xf numFmtId="1" fontId="3" fillId="5" borderId="10" xfId="0" applyNumberFormat="1" applyFont="1" applyFill="1" applyBorder="1" applyAlignment="1">
      <alignment horizontal="center"/>
    </xf>
    <xf numFmtId="9" fontId="3" fillId="3" borderId="36" xfId="0" applyNumberFormat="1" applyFont="1" applyFill="1" applyBorder="1" applyAlignment="1">
      <alignment horizontal="center"/>
    </xf>
    <xf numFmtId="0" fontId="3" fillId="8" borderId="49" xfId="0" applyFont="1" applyFill="1" applyBorder="1"/>
    <xf numFmtId="0" fontId="20" fillId="12" borderId="4" xfId="0" applyFont="1" applyFill="1" applyBorder="1"/>
    <xf numFmtId="10" fontId="3" fillId="5" borderId="5" xfId="0" applyNumberFormat="1" applyFont="1" applyFill="1" applyBorder="1" applyAlignment="1">
      <alignment horizontal="center"/>
    </xf>
    <xf numFmtId="0" fontId="3" fillId="3" borderId="50" xfId="0" applyFont="1" applyFill="1" applyBorder="1" applyAlignment="1">
      <alignment horizontal="center"/>
    </xf>
    <xf numFmtId="0" fontId="3" fillId="8" borderId="51" xfId="0" applyFont="1" applyFill="1" applyBorder="1"/>
    <xf numFmtId="0" fontId="3" fillId="3" borderId="11" xfId="0" applyFont="1" applyFill="1" applyBorder="1" applyAlignment="1">
      <alignment horizontal="center"/>
    </xf>
    <xf numFmtId="0" fontId="3" fillId="3" borderId="29" xfId="0" applyFont="1" applyFill="1" applyBorder="1" applyAlignment="1">
      <alignment horizontal="center"/>
    </xf>
    <xf numFmtId="0" fontId="3" fillId="3" borderId="52" xfId="0" applyFont="1" applyFill="1" applyBorder="1" applyAlignment="1">
      <alignment horizontal="center"/>
    </xf>
    <xf numFmtId="0" fontId="3" fillId="3" borderId="0" xfId="0" applyFont="1" applyFill="1"/>
    <xf numFmtId="0" fontId="3" fillId="8" borderId="17" xfId="0" applyFont="1" applyFill="1" applyBorder="1"/>
    <xf numFmtId="0" fontId="3" fillId="8" borderId="35" xfId="0" applyFont="1" applyFill="1" applyBorder="1" applyAlignment="1">
      <alignment horizontal="center"/>
    </xf>
    <xf numFmtId="0" fontId="3" fillId="8" borderId="37" xfId="0" applyFont="1" applyFill="1" applyBorder="1" applyAlignment="1">
      <alignment horizontal="center"/>
    </xf>
    <xf numFmtId="165" fontId="0" fillId="7" borderId="10" xfId="0" applyNumberFormat="1" applyFill="1" applyBorder="1"/>
    <xf numFmtId="0" fontId="3" fillId="8" borderId="36" xfId="0" applyFont="1" applyFill="1" applyBorder="1" applyAlignment="1">
      <alignment horizontal="center"/>
    </xf>
    <xf numFmtId="0" fontId="0" fillId="9" borderId="44" xfId="0" applyFill="1" applyBorder="1"/>
    <xf numFmtId="0" fontId="0" fillId="9" borderId="0" xfId="0" applyFill="1"/>
    <xf numFmtId="0" fontId="0" fillId="9" borderId="45" xfId="0" applyFill="1" applyBorder="1"/>
    <xf numFmtId="0" fontId="0" fillId="9" borderId="13" xfId="0" applyFill="1" applyBorder="1"/>
    <xf numFmtId="0" fontId="0" fillId="9" borderId="38" xfId="0" applyFill="1" applyBorder="1"/>
    <xf numFmtId="0" fontId="0" fillId="9" borderId="22" xfId="0" applyFill="1" applyBorder="1"/>
    <xf numFmtId="0" fontId="3" fillId="9" borderId="0" xfId="0" applyFont="1" applyFill="1" applyAlignment="1">
      <alignment horizontal="right"/>
    </xf>
    <xf numFmtId="0" fontId="3" fillId="9" borderId="0" xfId="0" applyFont="1" applyFill="1"/>
    <xf numFmtId="0" fontId="3" fillId="9" borderId="0" xfId="0" applyFont="1" applyFill="1" applyAlignment="1">
      <alignment horizontal="center"/>
    </xf>
    <xf numFmtId="0" fontId="8" fillId="9" borderId="0" xfId="0" applyFont="1" applyFill="1" applyAlignment="1">
      <alignment horizontal="left"/>
    </xf>
    <xf numFmtId="0" fontId="8" fillId="7" borderId="44" xfId="0" applyFont="1" applyFill="1" applyBorder="1" applyAlignment="1">
      <alignment horizontal="left"/>
    </xf>
    <xf numFmtId="0" fontId="8" fillId="7" borderId="0" xfId="0" applyFont="1" applyFill="1" applyAlignment="1">
      <alignment horizontal="left"/>
    </xf>
    <xf numFmtId="0" fontId="8" fillId="7" borderId="45" xfId="0" applyFont="1" applyFill="1" applyBorder="1" applyAlignment="1">
      <alignment horizontal="left"/>
    </xf>
    <xf numFmtId="0" fontId="0" fillId="0" borderId="17" xfId="0" applyBorder="1"/>
    <xf numFmtId="0" fontId="0" fillId="0" borderId="0" xfId="0" applyProtection="1">
      <protection locked="0"/>
    </xf>
    <xf numFmtId="0" fontId="0" fillId="0" borderId="0" xfId="0" applyAlignment="1" applyProtection="1">
      <alignment horizontal="center"/>
      <protection locked="0"/>
    </xf>
    <xf numFmtId="0" fontId="9" fillId="9" borderId="0" xfId="0" applyFont="1" applyFill="1"/>
    <xf numFmtId="0" fontId="9" fillId="9" borderId="29" xfId="0" applyFont="1" applyFill="1" applyBorder="1"/>
    <xf numFmtId="0" fontId="1" fillId="6" borderId="36" xfId="0" applyFont="1" applyFill="1" applyBorder="1" applyAlignment="1">
      <alignment horizontal="center"/>
    </xf>
    <xf numFmtId="0" fontId="18" fillId="4" borderId="4" xfId="0" applyFont="1" applyFill="1" applyBorder="1" applyAlignment="1" applyProtection="1">
      <alignment horizontal="center" wrapText="1"/>
      <protection locked="0"/>
    </xf>
    <xf numFmtId="2" fontId="6" fillId="4" borderId="4" xfId="0" applyNumberFormat="1" applyFont="1" applyFill="1" applyBorder="1" applyAlignment="1" applyProtection="1">
      <alignment horizontal="center" wrapText="1"/>
      <protection locked="0"/>
    </xf>
    <xf numFmtId="2" fontId="6" fillId="4" borderId="4" xfId="0" applyNumberFormat="1" applyFont="1" applyFill="1" applyBorder="1" applyAlignment="1" applyProtection="1">
      <alignment wrapText="1"/>
      <protection locked="0"/>
    </xf>
    <xf numFmtId="0" fontId="6" fillId="2" borderId="10" xfId="0" applyFont="1" applyFill="1" applyBorder="1" applyAlignment="1" applyProtection="1">
      <alignment horizontal="center"/>
      <protection locked="0"/>
    </xf>
    <xf numFmtId="0" fontId="6" fillId="2" borderId="4" xfId="0" applyFont="1" applyFill="1" applyBorder="1" applyAlignment="1" applyProtection="1">
      <alignment horizontal="center"/>
      <protection locked="0"/>
    </xf>
    <xf numFmtId="10" fontId="0" fillId="9" borderId="0" xfId="0" applyNumberFormat="1" applyFill="1" applyProtection="1">
      <protection locked="0"/>
    </xf>
    <xf numFmtId="0" fontId="0" fillId="9" borderId="0" xfId="0" applyFill="1" applyAlignment="1">
      <alignment horizontal="center"/>
    </xf>
    <xf numFmtId="0" fontId="1" fillId="7" borderId="12" xfId="0" applyFont="1" applyFill="1" applyBorder="1"/>
    <xf numFmtId="0" fontId="0" fillId="7" borderId="30" xfId="0" applyFill="1" applyBorder="1" applyAlignment="1">
      <alignment horizontal="center"/>
    </xf>
    <xf numFmtId="0" fontId="0" fillId="7" borderId="30" xfId="0" applyFill="1" applyBorder="1"/>
    <xf numFmtId="0" fontId="0" fillId="7" borderId="31" xfId="0" applyFill="1" applyBorder="1"/>
    <xf numFmtId="0" fontId="0" fillId="7" borderId="13" xfId="0" applyFill="1" applyBorder="1"/>
    <xf numFmtId="0" fontId="0" fillId="7" borderId="38" xfId="0" applyFill="1" applyBorder="1" applyAlignment="1">
      <alignment horizontal="center"/>
    </xf>
    <xf numFmtId="0" fontId="0" fillId="7" borderId="38" xfId="0" applyFill="1" applyBorder="1"/>
    <xf numFmtId="0" fontId="0" fillId="7" borderId="22" xfId="0" applyFill="1" applyBorder="1"/>
    <xf numFmtId="0" fontId="19" fillId="9" borderId="0" xfId="0" applyFont="1" applyFill="1" applyAlignment="1">
      <alignment horizontal="left" vertical="top"/>
    </xf>
    <xf numFmtId="0" fontId="19" fillId="9" borderId="0" xfId="0" applyFont="1" applyFill="1" applyAlignment="1">
      <alignment horizontal="left"/>
    </xf>
    <xf numFmtId="0" fontId="18" fillId="9" borderId="0" xfId="0" applyFont="1" applyFill="1" applyAlignment="1">
      <alignment horizontal="center"/>
    </xf>
    <xf numFmtId="0" fontId="0" fillId="9" borderId="0" xfId="0" quotePrefix="1" applyFill="1"/>
    <xf numFmtId="0" fontId="3" fillId="8" borderId="4" xfId="0" applyFont="1" applyFill="1" applyBorder="1" applyAlignment="1">
      <alignment horizontal="center"/>
    </xf>
    <xf numFmtId="0" fontId="18" fillId="9" borderId="2" xfId="0" applyFont="1" applyFill="1" applyBorder="1" applyAlignment="1">
      <alignment horizontal="center"/>
    </xf>
    <xf numFmtId="0" fontId="4" fillId="9" borderId="0" xfId="0" applyFont="1" applyFill="1"/>
    <xf numFmtId="0" fontId="3" fillId="9" borderId="4" xfId="0" applyFont="1" applyFill="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0" fontId="8" fillId="8" borderId="18" xfId="0" applyFont="1" applyFill="1" applyBorder="1"/>
    <xf numFmtId="0" fontId="23" fillId="8" borderId="53" xfId="0" applyFont="1" applyFill="1" applyBorder="1"/>
    <xf numFmtId="0" fontId="23" fillId="8" borderId="53" xfId="0" applyFont="1" applyFill="1" applyBorder="1" applyAlignment="1">
      <alignment horizontal="center"/>
    </xf>
    <xf numFmtId="0" fontId="23" fillId="8" borderId="19" xfId="0" applyFont="1" applyFill="1" applyBorder="1"/>
    <xf numFmtId="0" fontId="0" fillId="7" borderId="44" xfId="0" applyFill="1" applyBorder="1" applyAlignment="1">
      <alignment horizontal="left"/>
    </xf>
    <xf numFmtId="0" fontId="0" fillId="7" borderId="0" xfId="0" applyFill="1" applyAlignment="1">
      <alignment horizontal="left"/>
    </xf>
    <xf numFmtId="0" fontId="0" fillId="7" borderId="45" xfId="0" applyFill="1" applyBorder="1" applyAlignment="1">
      <alignment horizontal="left"/>
    </xf>
    <xf numFmtId="0" fontId="0" fillId="0" borderId="0" xfId="0" applyAlignment="1">
      <alignment horizontal="left"/>
    </xf>
    <xf numFmtId="0" fontId="3" fillId="9" borderId="4" xfId="0" applyFont="1" applyFill="1" applyBorder="1" applyAlignment="1">
      <alignment horizontal="center" vertical="center" wrapText="1"/>
    </xf>
    <xf numFmtId="0" fontId="18" fillId="4" borderId="4" xfId="0" applyFont="1" applyFill="1" applyBorder="1" applyAlignment="1" applyProtection="1">
      <alignment horizontal="right" wrapText="1"/>
      <protection locked="0"/>
    </xf>
    <xf numFmtId="0" fontId="18" fillId="4" borderId="4" xfId="0" applyFont="1" applyFill="1" applyBorder="1" applyAlignment="1" applyProtection="1">
      <alignment horizontal="left" wrapText="1"/>
      <protection locked="0"/>
    </xf>
    <xf numFmtId="2" fontId="6" fillId="4" borderId="4" xfId="0" applyNumberFormat="1" applyFont="1" applyFill="1" applyBorder="1" applyAlignment="1" applyProtection="1">
      <alignment horizontal="left" wrapText="1"/>
      <protection locked="0"/>
    </xf>
    <xf numFmtId="2" fontId="6" fillId="13" borderId="4" xfId="0" applyNumberFormat="1" applyFont="1" applyFill="1" applyBorder="1" applyAlignment="1" applyProtection="1">
      <alignment wrapText="1"/>
      <protection locked="0"/>
    </xf>
    <xf numFmtId="0" fontId="6" fillId="4" borderId="4" xfId="0" applyFont="1" applyFill="1" applyBorder="1" applyAlignment="1" applyProtection="1">
      <alignment horizontal="center" wrapText="1"/>
      <protection locked="0"/>
    </xf>
    <xf numFmtId="0" fontId="28" fillId="9" borderId="0" xfId="0" applyFont="1" applyFill="1"/>
    <xf numFmtId="0" fontId="26" fillId="9" borderId="0" xfId="0" applyFont="1" applyFill="1" applyAlignment="1">
      <alignment horizontal="center"/>
    </xf>
    <xf numFmtId="0" fontId="0" fillId="9" borderId="0" xfId="0" applyFill="1" applyProtection="1">
      <protection locked="0"/>
    </xf>
    <xf numFmtId="0" fontId="0" fillId="9" borderId="0" xfId="0" applyFill="1" applyAlignment="1" applyProtection="1">
      <alignment horizontal="center"/>
      <protection locked="0"/>
    </xf>
    <xf numFmtId="0" fontId="21" fillId="9" borderId="0" xfId="0" applyFont="1" applyFill="1"/>
    <xf numFmtId="1" fontId="21" fillId="9" borderId="0" xfId="0" applyNumberFormat="1" applyFont="1" applyFill="1"/>
    <xf numFmtId="1" fontId="3" fillId="9" borderId="0" xfId="0" applyNumberFormat="1" applyFont="1" applyFill="1" applyAlignment="1">
      <alignment horizontal="center"/>
    </xf>
    <xf numFmtId="0" fontId="1" fillId="9" borderId="38" xfId="0" applyFont="1" applyFill="1" applyBorder="1"/>
    <xf numFmtId="9" fontId="1" fillId="9" borderId="38" xfId="0" applyNumberFormat="1" applyFont="1" applyFill="1" applyBorder="1" applyAlignment="1">
      <alignment horizontal="center"/>
    </xf>
    <xf numFmtId="2" fontId="3" fillId="9" borderId="0" xfId="0" applyNumberFormat="1" applyFont="1" applyFill="1" applyAlignment="1">
      <alignment horizontal="center"/>
    </xf>
    <xf numFmtId="0" fontId="0" fillId="9" borderId="39" xfId="0" applyFill="1" applyBorder="1"/>
    <xf numFmtId="0" fontId="0" fillId="9" borderId="1" xfId="0" applyFill="1" applyBorder="1"/>
    <xf numFmtId="0" fontId="9" fillId="9" borderId="0" xfId="0" applyFont="1" applyFill="1" applyAlignment="1">
      <alignment horizontal="center"/>
    </xf>
    <xf numFmtId="0" fontId="8" fillId="9" borderId="0" xfId="0" applyFont="1" applyFill="1" applyAlignment="1">
      <alignment horizontal="center"/>
    </xf>
    <xf numFmtId="0" fontId="27" fillId="9" borderId="0" xfId="0" applyFont="1" applyFill="1" applyAlignment="1">
      <alignment horizontal="left" vertical="top" wrapText="1"/>
    </xf>
    <xf numFmtId="0" fontId="27" fillId="9" borderId="44" xfId="0" applyFont="1" applyFill="1" applyBorder="1" applyAlignment="1">
      <alignment horizontal="left" vertical="top" wrapText="1"/>
    </xf>
    <xf numFmtId="0" fontId="27" fillId="9" borderId="0" xfId="0" applyFont="1" applyFill="1" applyAlignment="1">
      <alignment horizontal="left" vertical="top"/>
    </xf>
    <xf numFmtId="0" fontId="27" fillId="9" borderId="45" xfId="0" applyFont="1" applyFill="1" applyBorder="1" applyAlignment="1">
      <alignment horizontal="left" vertical="top"/>
    </xf>
    <xf numFmtId="0" fontId="28" fillId="9" borderId="44" xfId="0" applyFont="1" applyFill="1" applyBorder="1"/>
    <xf numFmtId="0" fontId="28" fillId="9" borderId="45" xfId="0" applyFont="1" applyFill="1" applyBorder="1"/>
    <xf numFmtId="0" fontId="18" fillId="4" borderId="14" xfId="0" applyFont="1" applyFill="1" applyBorder="1" applyAlignment="1" applyProtection="1">
      <alignment horizontal="center" wrapText="1"/>
      <protection locked="0"/>
    </xf>
    <xf numFmtId="0" fontId="18" fillId="4" borderId="15" xfId="0" applyFont="1" applyFill="1" applyBorder="1" applyAlignment="1" applyProtection="1">
      <alignment horizontal="center" wrapText="1"/>
      <protection locked="0"/>
    </xf>
    <xf numFmtId="9" fontId="18" fillId="0" borderId="2" xfId="0" applyNumberFormat="1" applyFont="1" applyBorder="1" applyAlignment="1" applyProtection="1">
      <alignment horizontal="center" wrapText="1"/>
      <protection locked="0"/>
    </xf>
    <xf numFmtId="9" fontId="18" fillId="9" borderId="2" xfId="0" applyNumberFormat="1" applyFont="1" applyFill="1" applyBorder="1" applyAlignment="1" applyProtection="1">
      <alignment horizontal="center" wrapText="1"/>
      <protection locked="0"/>
    </xf>
    <xf numFmtId="0" fontId="1" fillId="9" borderId="0" xfId="0" applyFont="1" applyFill="1"/>
    <xf numFmtId="0" fontId="0" fillId="0" borderId="0" xfId="0" applyAlignment="1">
      <alignment horizontal="right"/>
    </xf>
    <xf numFmtId="0" fontId="1" fillId="9" borderId="0" xfId="0" applyFont="1" applyFill="1" applyAlignment="1">
      <alignment horizontal="center"/>
    </xf>
    <xf numFmtId="0" fontId="1" fillId="7" borderId="7" xfId="0" applyFont="1" applyFill="1" applyBorder="1" applyAlignment="1">
      <alignment horizontal="center"/>
    </xf>
    <xf numFmtId="0" fontId="1" fillId="7" borderId="44" xfId="0" applyFont="1" applyFill="1" applyBorder="1"/>
    <xf numFmtId="10" fontId="3" fillId="10" borderId="21" xfId="0" applyNumberFormat="1" applyFont="1" applyFill="1" applyBorder="1" applyAlignment="1">
      <alignment horizontal="center"/>
    </xf>
    <xf numFmtId="0" fontId="1" fillId="6" borderId="36" xfId="0" applyFont="1" applyFill="1" applyBorder="1"/>
    <xf numFmtId="0" fontId="1" fillId="0" borderId="0" xfId="0" applyFont="1" applyAlignment="1">
      <alignment horizontal="center"/>
    </xf>
    <xf numFmtId="0" fontId="1" fillId="9" borderId="0" xfId="0" applyFont="1" applyFill="1" applyProtection="1">
      <protection locked="0"/>
    </xf>
    <xf numFmtId="2" fontId="1" fillId="9" borderId="0" xfId="0" applyNumberFormat="1" applyFont="1" applyFill="1" applyAlignment="1">
      <alignment horizontal="center"/>
    </xf>
    <xf numFmtId="0" fontId="1" fillId="7" borderId="14" xfId="0" applyFont="1" applyFill="1" applyBorder="1" applyAlignment="1">
      <alignment horizontal="center"/>
    </xf>
    <xf numFmtId="0" fontId="1" fillId="7" borderId="10" xfId="0" applyFont="1" applyFill="1" applyBorder="1" applyAlignment="1">
      <alignment horizontal="center"/>
    </xf>
    <xf numFmtId="0" fontId="1" fillId="9" borderId="29" xfId="0" applyFont="1" applyFill="1" applyBorder="1" applyAlignment="1">
      <alignment horizontal="center"/>
    </xf>
    <xf numFmtId="0" fontId="1" fillId="7" borderId="47" xfId="0" applyFont="1" applyFill="1" applyBorder="1"/>
    <xf numFmtId="0" fontId="1" fillId="7" borderId="18" xfId="0" applyFont="1" applyFill="1" applyBorder="1"/>
    <xf numFmtId="0" fontId="1" fillId="6" borderId="37" xfId="0" applyFont="1" applyFill="1" applyBorder="1"/>
    <xf numFmtId="0" fontId="4" fillId="0" borderId="4" xfId="0" applyFont="1" applyBorder="1"/>
    <xf numFmtId="0" fontId="1" fillId="0" borderId="4" xfId="0" applyFont="1" applyBorder="1" applyAlignment="1">
      <alignment horizontal="center"/>
    </xf>
    <xf numFmtId="0" fontId="18" fillId="4" borderId="10" xfId="0" applyFont="1" applyFill="1" applyBorder="1" applyAlignment="1" applyProtection="1">
      <alignment horizontal="center" wrapText="1"/>
      <protection locked="0"/>
    </xf>
    <xf numFmtId="0" fontId="18" fillId="9" borderId="0" xfId="0" applyFont="1" applyFill="1" applyProtection="1">
      <protection locked="0"/>
    </xf>
    <xf numFmtId="0" fontId="1" fillId="4" borderId="37" xfId="0" applyFont="1" applyFill="1" applyBorder="1" applyAlignment="1" applyProtection="1">
      <alignment wrapText="1"/>
      <protection locked="0"/>
    </xf>
    <xf numFmtId="0" fontId="1" fillId="4" borderId="35" xfId="0" applyFont="1" applyFill="1" applyBorder="1" applyAlignment="1" applyProtection="1">
      <alignment wrapText="1"/>
      <protection locked="0"/>
    </xf>
    <xf numFmtId="0" fontId="0" fillId="0" borderId="42" xfId="0" applyNumberFormat="1" applyBorder="1" applyAlignment="1">
      <alignment horizontal="center"/>
    </xf>
    <xf numFmtId="0" fontId="0" fillId="0" borderId="10" xfId="0" applyNumberFormat="1" applyBorder="1" applyAlignment="1">
      <alignment horizontal="center"/>
    </xf>
    <xf numFmtId="0" fontId="1" fillId="9" borderId="0" xfId="0" applyFont="1" applyFill="1" applyBorder="1" applyAlignment="1">
      <alignment horizontal="left" wrapText="1"/>
    </xf>
    <xf numFmtId="0" fontId="0" fillId="9" borderId="0" xfId="0" applyFill="1" applyBorder="1"/>
    <xf numFmtId="0" fontId="1" fillId="9" borderId="0" xfId="0" applyFont="1" applyFill="1" applyBorder="1" applyAlignment="1">
      <alignment horizontal="right"/>
    </xf>
    <xf numFmtId="0" fontId="6" fillId="9" borderId="0" xfId="0" applyFont="1" applyFill="1" applyBorder="1" applyAlignment="1" applyProtection="1">
      <alignment horizontal="center"/>
      <protection locked="0"/>
    </xf>
    <xf numFmtId="165" fontId="0" fillId="9" borderId="0" xfId="0" applyNumberFormat="1" applyFill="1" applyBorder="1"/>
    <xf numFmtId="0" fontId="9" fillId="9" borderId="0" xfId="0" applyFont="1" applyFill="1" applyBorder="1" applyAlignment="1"/>
    <xf numFmtId="0" fontId="0" fillId="0" borderId="10" xfId="0" applyNumberFormat="1" applyBorder="1" applyAlignment="1">
      <alignment horizontal="center" wrapText="1"/>
    </xf>
    <xf numFmtId="0" fontId="0" fillId="0" borderId="4" xfId="0" applyBorder="1" applyAlignment="1">
      <alignment horizontal="center" wrapText="1"/>
    </xf>
    <xf numFmtId="0" fontId="0" fillId="0" borderId="8" xfId="0" applyBorder="1" applyAlignment="1">
      <alignment horizontal="center" wrapText="1"/>
    </xf>
    <xf numFmtId="0" fontId="18" fillId="4" borderId="4" xfId="0" applyFont="1" applyFill="1" applyBorder="1" applyAlignment="1" applyProtection="1">
      <alignment horizontal="center" vertical="center" wrapText="1"/>
      <protection locked="0"/>
    </xf>
    <xf numFmtId="0" fontId="18" fillId="0" borderId="0" xfId="0" applyFont="1" applyFill="1" applyBorder="1" applyAlignment="1" applyProtection="1">
      <alignment horizontal="center" wrapText="1"/>
    </xf>
    <xf numFmtId="0" fontId="0" fillId="8" borderId="12" xfId="0" applyFill="1" applyBorder="1"/>
    <xf numFmtId="0" fontId="0" fillId="8" borderId="30" xfId="0" applyFill="1" applyBorder="1"/>
    <xf numFmtId="0" fontId="0" fillId="8" borderId="31" xfId="0" applyFill="1" applyBorder="1"/>
    <xf numFmtId="0" fontId="0" fillId="8" borderId="44" xfId="0" applyFill="1" applyBorder="1"/>
    <xf numFmtId="0" fontId="0" fillId="8" borderId="0" xfId="0" applyFill="1"/>
    <xf numFmtId="0" fontId="0" fillId="8" borderId="45" xfId="0" applyFill="1" applyBorder="1"/>
    <xf numFmtId="0" fontId="0" fillId="8" borderId="13" xfId="0" applyFill="1" applyBorder="1"/>
    <xf numFmtId="165" fontId="0" fillId="8" borderId="0" xfId="0" applyNumberFormat="1" applyFill="1"/>
    <xf numFmtId="0" fontId="35" fillId="8" borderId="0" xfId="0" applyFont="1" applyFill="1"/>
    <xf numFmtId="0" fontId="23" fillId="8" borderId="0" xfId="0" applyFont="1" applyFill="1"/>
    <xf numFmtId="0" fontId="0" fillId="8" borderId="38" xfId="0" applyFill="1" applyBorder="1"/>
    <xf numFmtId="0" fontId="0" fillId="8" borderId="22" xfId="0" applyFill="1" applyBorder="1"/>
    <xf numFmtId="0" fontId="9" fillId="9" borderId="0" xfId="0" applyFont="1" applyFill="1" applyAlignment="1">
      <alignment horizontal="left" wrapText="1"/>
    </xf>
    <xf numFmtId="0" fontId="1" fillId="7" borderId="54" xfId="0" applyFont="1" applyFill="1" applyBorder="1" applyAlignment="1">
      <alignment horizontal="center"/>
    </xf>
    <xf numFmtId="0" fontId="0" fillId="7" borderId="10" xfId="0" applyFill="1" applyBorder="1" applyAlignment="1">
      <alignment horizontal="center" vertical="center"/>
    </xf>
    <xf numFmtId="165" fontId="3" fillId="3" borderId="20" xfId="0" applyNumberFormat="1" applyFont="1" applyFill="1" applyBorder="1" applyAlignment="1">
      <alignment horizontal="center"/>
    </xf>
    <xf numFmtId="0" fontId="3" fillId="7" borderId="13" xfId="0" applyFont="1" applyFill="1" applyBorder="1"/>
    <xf numFmtId="0" fontId="1" fillId="7" borderId="55" xfId="0" applyFont="1" applyFill="1" applyBorder="1"/>
    <xf numFmtId="0" fontId="29" fillId="9" borderId="0" xfId="0" applyFont="1" applyFill="1" applyAlignment="1">
      <alignment horizontal="center"/>
    </xf>
    <xf numFmtId="0" fontId="27" fillId="9" borderId="0" xfId="0" applyFont="1" applyFill="1" applyAlignment="1">
      <alignment horizontal="left" vertical="top" wrapText="1"/>
    </xf>
    <xf numFmtId="0" fontId="27" fillId="9" borderId="12" xfId="0" applyFont="1" applyFill="1" applyBorder="1" applyAlignment="1">
      <alignment horizontal="left" vertical="top" wrapText="1"/>
    </xf>
    <xf numFmtId="0" fontId="27" fillId="9" borderId="30" xfId="0" applyFont="1" applyFill="1" applyBorder="1" applyAlignment="1">
      <alignment horizontal="left" vertical="top"/>
    </xf>
    <xf numFmtId="0" fontId="27" fillId="9" borderId="31" xfId="0" applyFont="1" applyFill="1" applyBorder="1" applyAlignment="1">
      <alignment horizontal="left" vertical="top"/>
    </xf>
    <xf numFmtId="0" fontId="27" fillId="9" borderId="44" xfId="0" applyFont="1" applyFill="1" applyBorder="1" applyAlignment="1">
      <alignment horizontal="left" vertical="top" wrapText="1"/>
    </xf>
    <xf numFmtId="0" fontId="27" fillId="9" borderId="45" xfId="0" applyFont="1" applyFill="1" applyBorder="1" applyAlignment="1">
      <alignment horizontal="left" vertical="top" wrapText="1"/>
    </xf>
    <xf numFmtId="0" fontId="27" fillId="9" borderId="13" xfId="0" applyFont="1" applyFill="1" applyBorder="1" applyAlignment="1">
      <alignment horizontal="left" vertical="top" wrapText="1"/>
    </xf>
    <xf numFmtId="0" fontId="27" fillId="9" borderId="38" xfId="0" applyFont="1" applyFill="1" applyBorder="1" applyAlignment="1">
      <alignment horizontal="left" vertical="top" wrapText="1"/>
    </xf>
    <xf numFmtId="0" fontId="27" fillId="9" borderId="22" xfId="0" applyFont="1" applyFill="1" applyBorder="1" applyAlignment="1">
      <alignment horizontal="left" vertical="top" wrapText="1"/>
    </xf>
    <xf numFmtId="0" fontId="33" fillId="9" borderId="44" xfId="0" applyFont="1" applyFill="1" applyBorder="1" applyAlignment="1">
      <alignment horizontal="left" vertical="top" wrapText="1"/>
    </xf>
    <xf numFmtId="0" fontId="33" fillId="9" borderId="0" xfId="0" applyFont="1" applyFill="1" applyBorder="1" applyAlignment="1">
      <alignment horizontal="left" vertical="top" wrapText="1"/>
    </xf>
    <xf numFmtId="0" fontId="33" fillId="9" borderId="45" xfId="0" applyFont="1" applyFill="1" applyBorder="1" applyAlignment="1">
      <alignment horizontal="left" vertical="top" wrapText="1"/>
    </xf>
    <xf numFmtId="0" fontId="8" fillId="8" borderId="18" xfId="0" applyFont="1" applyFill="1" applyBorder="1" applyAlignment="1">
      <alignment horizontal="left"/>
    </xf>
    <xf numFmtId="0" fontId="8" fillId="8" borderId="53" xfId="0" applyFont="1" applyFill="1" applyBorder="1" applyAlignment="1">
      <alignment horizontal="left"/>
    </xf>
    <xf numFmtId="0" fontId="8" fillId="8" borderId="19" xfId="0" applyFont="1" applyFill="1" applyBorder="1" applyAlignment="1">
      <alignment horizontal="left"/>
    </xf>
    <xf numFmtId="0" fontId="9" fillId="7" borderId="12" xfId="0" applyFont="1" applyFill="1" applyBorder="1" applyAlignment="1">
      <alignment horizontal="left" wrapText="1"/>
    </xf>
    <xf numFmtId="0" fontId="9" fillId="7" borderId="30" xfId="0" applyFont="1" applyFill="1" applyBorder="1" applyAlignment="1">
      <alignment horizontal="left" wrapText="1"/>
    </xf>
    <xf numFmtId="0" fontId="9" fillId="7" borderId="31" xfId="0" applyFont="1" applyFill="1" applyBorder="1" applyAlignment="1">
      <alignment horizontal="left" wrapText="1"/>
    </xf>
    <xf numFmtId="0" fontId="9" fillId="7" borderId="44" xfId="0" applyFont="1" applyFill="1" applyBorder="1" applyAlignment="1">
      <alignment horizontal="left"/>
    </xf>
    <xf numFmtId="0" fontId="9" fillId="7" borderId="0" xfId="0" applyFont="1" applyFill="1" applyAlignment="1">
      <alignment horizontal="left"/>
    </xf>
    <xf numFmtId="0" fontId="9" fillId="7" borderId="45" xfId="0" applyFont="1" applyFill="1" applyBorder="1" applyAlignment="1">
      <alignment horizontal="left"/>
    </xf>
    <xf numFmtId="0" fontId="1" fillId="7" borderId="44" xfId="0" applyFont="1" applyFill="1" applyBorder="1" applyAlignment="1">
      <alignment horizontal="left"/>
    </xf>
    <xf numFmtId="0" fontId="1" fillId="7" borderId="0" xfId="0" applyFont="1" applyFill="1" applyAlignment="1">
      <alignment horizontal="left"/>
    </xf>
    <xf numFmtId="0" fontId="1" fillId="7" borderId="45" xfId="0" applyFont="1" applyFill="1" applyBorder="1" applyAlignment="1">
      <alignment horizontal="left"/>
    </xf>
    <xf numFmtId="0" fontId="9" fillId="7" borderId="44" xfId="0" applyFont="1" applyFill="1" applyBorder="1" applyAlignment="1">
      <alignment horizontal="left" vertical="top" wrapText="1"/>
    </xf>
    <xf numFmtId="0" fontId="9" fillId="7" borderId="0" xfId="0" applyFont="1" applyFill="1" applyBorder="1" applyAlignment="1">
      <alignment horizontal="left" vertical="top" wrapText="1"/>
    </xf>
    <xf numFmtId="0" fontId="9" fillId="7" borderId="45" xfId="0" applyFont="1" applyFill="1" applyBorder="1" applyAlignment="1">
      <alignment horizontal="left" vertical="top" wrapText="1"/>
    </xf>
    <xf numFmtId="0" fontId="0" fillId="7" borderId="0" xfId="0" applyFill="1" applyAlignment="1">
      <alignment horizontal="left"/>
    </xf>
    <xf numFmtId="0" fontId="0" fillId="7" borderId="45" xfId="0" applyFill="1" applyBorder="1" applyAlignment="1">
      <alignment horizontal="left"/>
    </xf>
    <xf numFmtId="0" fontId="1" fillId="7" borderId="13" xfId="0" applyFont="1" applyFill="1" applyBorder="1" applyAlignment="1">
      <alignment horizontal="left"/>
    </xf>
    <xf numFmtId="0" fontId="0" fillId="7" borderId="38" xfId="0" applyFill="1" applyBorder="1" applyAlignment="1">
      <alignment horizontal="left"/>
    </xf>
    <xf numFmtId="0" fontId="0" fillId="7" borderId="22" xfId="0" applyFill="1" applyBorder="1" applyAlignment="1">
      <alignment horizontal="left"/>
    </xf>
    <xf numFmtId="0" fontId="1" fillId="7" borderId="18" xfId="0" applyFont="1" applyFill="1" applyBorder="1" applyAlignment="1">
      <alignment horizontal="left" wrapText="1"/>
    </xf>
    <xf numFmtId="0" fontId="1" fillId="7" borderId="53" xfId="0" applyFont="1" applyFill="1" applyBorder="1" applyAlignment="1">
      <alignment horizontal="left" wrapText="1"/>
    </xf>
    <xf numFmtId="0" fontId="1" fillId="7" borderId="19" xfId="0" applyFont="1" applyFill="1" applyBorder="1" applyAlignment="1">
      <alignment horizontal="left" wrapText="1"/>
    </xf>
    <xf numFmtId="0" fontId="1" fillId="7" borderId="44" xfId="0" applyFont="1" applyFill="1" applyBorder="1" applyAlignment="1">
      <alignment horizontal="left" wrapText="1"/>
    </xf>
    <xf numFmtId="0" fontId="1" fillId="7" borderId="0" xfId="0" applyFont="1" applyFill="1" applyAlignment="1">
      <alignment horizontal="left" wrapText="1"/>
    </xf>
    <xf numFmtId="0" fontId="1" fillId="7" borderId="45" xfId="0" applyFont="1" applyFill="1" applyBorder="1" applyAlignment="1">
      <alignment horizontal="left" wrapText="1"/>
    </xf>
    <xf numFmtId="0" fontId="1" fillId="7" borderId="12" xfId="0" applyFont="1" applyFill="1" applyBorder="1" applyAlignment="1">
      <alignment horizontal="left" wrapText="1"/>
    </xf>
    <xf numFmtId="0" fontId="1" fillId="7" borderId="30" xfId="0" applyFont="1" applyFill="1" applyBorder="1" applyAlignment="1">
      <alignment horizontal="left" wrapText="1"/>
    </xf>
    <xf numFmtId="0" fontId="1" fillId="7" borderId="31" xfId="0" applyFont="1" applyFill="1" applyBorder="1" applyAlignment="1">
      <alignment horizontal="left" wrapText="1"/>
    </xf>
    <xf numFmtId="0" fontId="24" fillId="7" borderId="13" xfId="0" applyFont="1" applyFill="1" applyBorder="1" applyAlignment="1">
      <alignment horizontal="left" wrapText="1"/>
    </xf>
    <xf numFmtId="0" fontId="24" fillId="7" borderId="38" xfId="0" applyFont="1" applyFill="1" applyBorder="1" applyAlignment="1">
      <alignment horizontal="left" wrapText="1"/>
    </xf>
    <xf numFmtId="0" fontId="24" fillId="7" borderId="22" xfId="0" applyFont="1" applyFill="1" applyBorder="1" applyAlignment="1">
      <alignment horizontal="left" wrapText="1"/>
    </xf>
    <xf numFmtId="0" fontId="0" fillId="7" borderId="30" xfId="0" applyFill="1" applyBorder="1" applyAlignment="1">
      <alignment horizontal="left" wrapText="1"/>
    </xf>
    <xf numFmtId="0" fontId="0" fillId="7" borderId="31" xfId="0" applyFill="1" applyBorder="1" applyAlignment="1">
      <alignment horizontal="left" wrapText="1"/>
    </xf>
    <xf numFmtId="0" fontId="0" fillId="7" borderId="13" xfId="0" applyFill="1" applyBorder="1" applyAlignment="1">
      <alignment horizontal="center"/>
    </xf>
    <xf numFmtId="0" fontId="0" fillId="7" borderId="38" xfId="0" applyFill="1" applyBorder="1" applyAlignment="1">
      <alignment horizontal="center"/>
    </xf>
    <xf numFmtId="0" fontId="0" fillId="7" borderId="22" xfId="0" applyFill="1" applyBorder="1" applyAlignment="1">
      <alignment horizontal="center"/>
    </xf>
    <xf numFmtId="0" fontId="35" fillId="8" borderId="0" xfId="0" applyFont="1" applyFill="1" applyAlignment="1">
      <alignment horizontal="left" vertical="top" wrapText="1"/>
    </xf>
    <xf numFmtId="0" fontId="1" fillId="0" borderId="0" xfId="0" applyFont="1" applyAlignment="1">
      <alignment horizontal="center"/>
    </xf>
    <xf numFmtId="0" fontId="0" fillId="0" borderId="0" xfId="0" applyAlignment="1">
      <alignment horizontal="center"/>
    </xf>
    <xf numFmtId="0" fontId="1" fillId="0" borderId="9" xfId="0" applyFont="1" applyBorder="1" applyAlignment="1">
      <alignment horizontal="center"/>
    </xf>
    <xf numFmtId="0" fontId="1"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1" fillId="0" borderId="12"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cellXfs>
  <cellStyles count="1">
    <cellStyle name="Normal" xfId="0" builtinId="0"/>
  </cellStyles>
  <dxfs count="56">
    <dxf>
      <font>
        <b val="0"/>
        <i val="0"/>
        <strike val="0"/>
        <condense val="0"/>
        <extend val="0"/>
        <outline val="0"/>
        <shadow val="0"/>
        <u val="none"/>
        <vertAlign val="baseline"/>
        <sz val="10"/>
        <color auto="1"/>
        <name val="Arial"/>
        <family val="2"/>
        <scheme val="none"/>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strike val="0"/>
        <outline val="0"/>
        <shadow val="0"/>
        <u val="none"/>
        <vertAlign val="baseline"/>
        <sz val="8"/>
        <color auto="1"/>
        <name val="Arial"/>
        <scheme val="none"/>
      </font>
      <numFmt numFmtId="0" formatCode="General"/>
    </dxf>
    <dxf>
      <font>
        <strike val="0"/>
        <outline val="0"/>
        <shadow val="0"/>
        <u val="none"/>
        <vertAlign val="baseline"/>
        <sz val="10"/>
        <color auto="1"/>
        <name val="Arial"/>
        <scheme val="none"/>
      </font>
      <numFmt numFmtId="0" formatCode="General"/>
    </dxf>
    <dxf>
      <font>
        <strike val="0"/>
        <outline val="0"/>
        <shadow val="0"/>
        <u val="none"/>
        <vertAlign val="baseline"/>
        <sz val="10"/>
        <color auto="1"/>
        <name val="Arial"/>
        <scheme val="none"/>
      </font>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fill>
        <patternFill>
          <bgColor rgb="FFFF0000"/>
        </patternFill>
      </fill>
    </dxf>
    <dxf>
      <fill>
        <patternFill>
          <bgColor rgb="FFFF0000"/>
        </patternFill>
      </fill>
    </dxf>
    <dxf>
      <fill>
        <patternFill>
          <bgColor rgb="FF66FF33"/>
        </patternFill>
      </fill>
    </dxf>
    <dxf>
      <fill>
        <patternFill>
          <bgColor rgb="FFFF0000"/>
        </patternFill>
      </fill>
    </dxf>
    <dxf>
      <fill>
        <patternFill>
          <bgColor rgb="FF66FF33"/>
        </patternFill>
      </fill>
    </dxf>
    <dxf>
      <fill>
        <patternFill>
          <bgColor rgb="FFFF0000"/>
        </patternFill>
      </fill>
    </dxf>
    <dxf>
      <fill>
        <patternFill>
          <bgColor rgb="FFFFC000"/>
        </patternFill>
      </fill>
    </dxf>
    <dxf>
      <fill>
        <patternFill>
          <bgColor rgb="FFFFC000"/>
        </patternFill>
      </fill>
    </dxf>
    <dxf>
      <fill>
        <patternFill>
          <bgColor theme="0" tint="-0.14996795556505021"/>
        </patternFill>
      </fill>
    </dxf>
    <dxf>
      <fill>
        <patternFill>
          <bgColor rgb="FFFF0000"/>
        </patternFill>
      </fill>
    </dxf>
    <dxf>
      <fill>
        <patternFill>
          <bgColor rgb="FF66FF33"/>
        </patternFill>
      </fill>
    </dxf>
    <dxf>
      <fill>
        <patternFill>
          <bgColor rgb="FFFF0000"/>
        </patternFill>
      </fill>
    </dxf>
    <dxf>
      <fill>
        <patternFill>
          <bgColor rgb="FF66FF33"/>
        </patternFill>
      </fill>
    </dxf>
    <dxf>
      <fill>
        <patternFill>
          <bgColor theme="3" tint="0.59996337778862885"/>
        </patternFill>
      </fill>
      <border>
        <left style="thin">
          <color auto="1"/>
        </left>
        <right style="thin">
          <color auto="1"/>
        </right>
        <top style="thin">
          <color auto="1"/>
        </top>
        <bottom style="thin">
          <color auto="1"/>
        </bottom>
        <vertical/>
        <horizontal/>
      </border>
    </dxf>
    <dxf>
      <fill>
        <patternFill>
          <bgColor theme="3" tint="0.59996337778862885"/>
        </patternFill>
      </fill>
      <border>
        <left style="thin">
          <color auto="1"/>
        </left>
        <right style="thin">
          <color auto="1"/>
        </right>
        <top style="thin">
          <color auto="1"/>
        </top>
        <bottom style="thin">
          <color auto="1"/>
        </bottom>
        <vertical/>
        <horizontal/>
      </border>
    </dxf>
    <dxf>
      <fill>
        <patternFill>
          <bgColor rgb="FFFF0000"/>
        </patternFill>
      </fill>
    </dxf>
    <dxf>
      <fill>
        <patternFill patternType="darkGray"/>
      </fill>
    </dxf>
    <dxf>
      <fill>
        <patternFill patternType="darkGray">
          <bgColor theme="3" tint="0.59996337778862885"/>
        </patternFill>
      </fill>
    </dxf>
    <dxf>
      <fill>
        <patternFill patternType="darkGray">
          <bgColor theme="3" tint="0.59996337778862885"/>
        </patternFill>
      </fill>
    </dxf>
    <dxf>
      <fill>
        <patternFill>
          <bgColor rgb="FFFFC000"/>
        </patternFill>
      </fill>
    </dxf>
    <dxf>
      <fill>
        <patternFill patternType="darkGray"/>
      </fill>
    </dxf>
    <dxf>
      <fill>
        <patternFill patternType="solid">
          <bgColor theme="3" tint="0.59996337778862885"/>
        </patternFill>
      </fill>
    </dxf>
    <dxf>
      <fill>
        <patternFill patternType="solid">
          <bgColor rgb="FFFFC000"/>
        </patternFill>
      </fill>
    </dxf>
    <dxf>
      <fill>
        <patternFill patternType="darkGray">
          <bgColor theme="3" tint="0.59996337778862885"/>
        </patternFill>
      </fill>
      <border>
        <vertical/>
        <horizontal/>
      </border>
    </dxf>
    <dxf>
      <font>
        <color theme="0"/>
      </font>
      <fill>
        <patternFill patternType="darkGray">
          <bgColor theme="3" tint="0.59996337778862885"/>
        </patternFill>
      </fill>
    </dxf>
    <dxf>
      <fill>
        <patternFill>
          <bgColor theme="3" tint="0.59996337778862885"/>
        </patternFill>
      </fill>
      <border>
        <left style="thin">
          <color auto="1"/>
        </left>
        <right style="thin">
          <color auto="1"/>
        </right>
        <vertical/>
        <horizontal/>
      </border>
    </dxf>
    <dxf>
      <fill>
        <patternFill>
          <bgColor theme="3" tint="0.59996337778862885"/>
        </patternFill>
      </fill>
      <border>
        <left style="thin">
          <color auto="1"/>
        </left>
        <right style="thin">
          <color auto="1"/>
        </right>
      </border>
    </dxf>
    <dxf>
      <fill>
        <patternFill patternType="darkGray">
          <bgColor theme="3" tint="0.59996337778862885"/>
        </patternFill>
      </fill>
    </dxf>
    <dxf>
      <fill>
        <patternFill>
          <bgColor theme="3" tint="0.59996337778862885"/>
        </patternFill>
      </fill>
      <border>
        <right style="thin">
          <color auto="1"/>
        </right>
        <top style="thin">
          <color auto="1"/>
        </top>
        <bottom style="thin">
          <color auto="1"/>
        </bottom>
        <vertical/>
        <horizontal/>
      </border>
    </dxf>
  </dxfs>
  <tableStyles count="1" defaultTableStyle="TableStyleMedium9" defaultPivotStyle="PivotStyleLight16">
    <tableStyle name="Invisible" pivot="0" table="0" count="0" xr9:uid="{01728E4F-1E0C-4A84-8548-1598083AA8D3}"/>
  </tableStyles>
  <colors>
    <mruColors>
      <color rgb="FFFFFF99"/>
      <color rgb="FF0000FF"/>
      <color rgb="FF66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629788</xdr:colOff>
      <xdr:row>0</xdr:row>
      <xdr:rowOff>0</xdr:rowOff>
    </xdr:from>
    <xdr:to>
      <xdr:col>18</xdr:col>
      <xdr:colOff>0</xdr:colOff>
      <xdr:row>7</xdr:row>
      <xdr:rowOff>71202</xdr:rowOff>
    </xdr:to>
    <xdr:pic>
      <xdr:nvPicPr>
        <xdr:cNvPr id="3" name="Image 2">
          <a:extLst>
            <a:ext uri="{FF2B5EF4-FFF2-40B4-BE49-F238E27FC236}">
              <a16:creationId xmlns:a16="http://schemas.microsoft.com/office/drawing/2014/main" id="{EFAF4311-C2A3-460E-8AC9-854ED1085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97788" y="0"/>
          <a:ext cx="2418212" cy="1404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144780</xdr:colOff>
      <xdr:row>4</xdr:row>
      <xdr:rowOff>57150</xdr:rowOff>
    </xdr:from>
    <xdr:to>
      <xdr:col>5</xdr:col>
      <xdr:colOff>243924</xdr:colOff>
      <xdr:row>5</xdr:row>
      <xdr:rowOff>117872</xdr:rowOff>
    </xdr:to>
    <xdr:sp macro="[0]!Macro2" textlink="">
      <xdr:nvSpPr>
        <xdr:cNvPr id="2050" name="Text Box 2">
          <a:extLst>
            <a:ext uri="{FF2B5EF4-FFF2-40B4-BE49-F238E27FC236}">
              <a16:creationId xmlns:a16="http://schemas.microsoft.com/office/drawing/2014/main" id="{00000000-0008-0000-0800-000002080000}"/>
            </a:ext>
          </a:extLst>
        </xdr:cNvPr>
        <xdr:cNvSpPr txBox="1">
          <a:spLocks noChangeArrowheads="1"/>
        </xdr:cNvSpPr>
      </xdr:nvSpPr>
      <xdr:spPr bwMode="auto">
        <a:xfrm>
          <a:off x="4867275" y="714375"/>
          <a:ext cx="1657350" cy="238125"/>
        </a:xfrm>
        <a:prstGeom prst="rect">
          <a:avLst/>
        </a:prstGeom>
        <a:solidFill>
          <a:srgbClr val="0000FF"/>
        </a:solidFill>
        <a:ln w="9525">
          <a:solidFill>
            <a:srgbClr val="000000"/>
          </a:solidFill>
          <a:miter lim="800000"/>
          <a:headEnd/>
          <a:tailEnd/>
        </a:ln>
        <a:effectLst>
          <a:outerShdw dist="53882" dir="2700000" algn="ctr" rotWithShape="0">
            <a:srgbClr val="808080">
              <a:alpha val="50000"/>
            </a:srgbClr>
          </a:outerShdw>
        </a:effectLst>
      </xdr:spPr>
      <xdr:txBody>
        <a:bodyPr vertOverflow="clip" wrap="square" lIns="36576" tIns="27432" rIns="36576" bIns="0" anchor="t" upright="1"/>
        <a:lstStyle/>
        <a:p>
          <a:pPr algn="ctr" rtl="0">
            <a:defRPr sz="1000"/>
          </a:pPr>
          <a:r>
            <a:rPr lang="fr-FR" sz="1200" b="1" i="0" u="none" strike="noStrike" baseline="0">
              <a:solidFill>
                <a:srgbClr val="FFFFFF"/>
              </a:solidFill>
              <a:latin typeface="Arial"/>
              <a:cs typeface="Arial"/>
            </a:rPr>
            <a:t>retour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edd.sharepoint.com/sites/FacilitateurURETertiaire2020/Documents%20partages/DAA%202022/DAA2022%20Data/2.4%20Soutien%20SPW/Giant%20UREBA/Giant%20Ureba%20v1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 d'emploi"/>
      <sheetName val="Situation initiale"/>
      <sheetName val="Situation rénovée"/>
      <sheetName val="Données"/>
      <sheetName val="Parois types"/>
      <sheetName val="Liste des communes"/>
    </sheetNames>
    <sheetDataSet>
      <sheetData sheetId="0"/>
      <sheetData sheetId="1">
        <row r="124">
          <cell r="D124">
            <v>5.5740041322314049</v>
          </cell>
        </row>
        <row r="125">
          <cell r="D125">
            <v>242</v>
          </cell>
        </row>
      </sheetData>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45C569-2B5D-4E39-B592-F400FF5580A5}" name="Tableau1" displayName="Tableau1" ref="A2:V152" totalsRowShown="0">
  <autoFilter ref="A2:V152" xr:uid="{3E45C569-2B5D-4E39-B592-F400FF5580A5}"/>
  <tableColumns count="22">
    <tableColumn id="1" xr3:uid="{23DEB66C-9239-4075-B889-E038435A5AC3}" name="Catégorie" dataDxfId="26">
      <calculatedColumnFormula>'Encodage données'!C65</calculatedColumnFormula>
    </tableColumn>
    <tableColumn id="2" xr3:uid="{4240BE11-59C4-4D60-A249-8B37A8D3E0AE}" name="Dénomination" dataDxfId="25">
      <calculatedColumnFormula>'Encodage données'!D65</calculatedColumnFormula>
    </tableColumn>
    <tableColumn id="3" xr3:uid="{DFA97FE4-6476-4D0C-A030-2FCE7F3D57DF}" name="Surface (m²)" dataDxfId="24">
      <calculatedColumnFormula>'Encodage données'!E65</calculatedColumnFormula>
    </tableColumn>
    <tableColumn id="4" xr3:uid="{F16A0D06-BC6D-49EB-AE14-C29E939C5B5D}" name="Isolation actuelle" dataDxfId="23">
      <calculatedColumnFormula>'Encodage données'!F65</calculatedColumnFormula>
    </tableColumn>
    <tableColumn id="5" xr3:uid="{F55D8801-6C89-4DCA-B2EB-964C30539773}" name="Si U connu de la paroi" dataDxfId="22">
      <calculatedColumnFormula>'Encodage données'!G65</calculatedColumnFormula>
    </tableColumn>
    <tableColumn id="6" xr3:uid="{6272BE44-9CFE-4BB6-B522-E432728E0642}" name="Rénovation prévue ?" dataDxfId="21">
      <calculatedColumnFormula>'Encodage données'!H65</calculatedColumnFormula>
    </tableColumn>
    <tableColumn id="7" xr3:uid="{9335090C-0282-4B3C-A108-F7C8BAB89676}" name="Isolant biosourcé ou châssis bois" dataDxfId="20">
      <calculatedColumnFormula>'Encodage données'!J65</calculatedColumnFormula>
    </tableColumn>
    <tableColumn id="8" xr3:uid="{491BAF28-0AB8-4FFC-9763-8A6E1079F287}" name="Uactuel (W/m²K)" dataDxfId="19">
      <calculatedColumnFormula>IF(Tableau1[[#This Row],[Isolation actuelle]]="U connu",Tableau1[[#This Row],[Si U connu de la paroi]],_xlfn.XLOOKUP(Tableau1[[#This Row],[Isolation actuelle]],'Parois types'!$B$9:$B$71,'Parois types'!$C$9:$C$71,0))</calculatedColumnFormula>
    </tableColumn>
    <tableColumn id="9" xr3:uid="{11C61612-4CCA-4027-ACD5-5A3F1C9B2557}" name="Urénové (W/m²K)" dataDxfId="18">
      <calculatedColumnFormula>'Encodage données'!#REF!</calculatedColumnFormula>
    </tableColumn>
    <tableColumn id="10" xr3:uid="{7AE1DAD1-49CD-4CB5-95F9-694BA768C1F6}" name="aj" dataDxfId="17">
      <calculatedColumnFormula>_xlfn.XLOOKUP(Tableau1[[#This Row],[Catégorie]],Tableau4[Catégories de parois],Tableau4[ai],0)</calculatedColumnFormula>
    </tableColumn>
    <tableColumn id="12" xr3:uid="{2A55D898-5BD8-41EE-A5D0-9DCC3DA71E7B}" name="aj . Uj .Aj  actuel       [W/K]" dataDxfId="16">
      <calculatedColumnFormula>Tableau1[[#This Row],[aj]]*Tableau1[[#This Row],[Uactuel (W/m²K)]]*Tableau1[[#This Row],[Surface (m²)]]</calculatedColumnFormula>
    </tableColumn>
    <tableColumn id="14" xr3:uid="{AB979645-9F21-40DB-803E-05C6F18C9C47}" name="aj . Uj .Aj réno       [W/K]" dataDxfId="15">
      <calculatedColumnFormula>Tableau1[[#This Row],[aj]]*Tableau1[[#This Row],[Urénové (W/m²K)]]*Tableau1[[#This Row],[Surface (m²)]]</calculatedColumnFormula>
    </tableColumn>
    <tableColumn id="17" xr3:uid="{9A8A47FF-88CA-45C7-BDF5-82C2F575EF46}" name="Facteur solaire actuel" dataDxfId="14">
      <calculatedColumnFormula>_xlfn.XLOOKUP(Tableau1[[#This Row],[Isolation actuelle]],'Parois types'!$B$9:$B$71,'Parois types'!$D$9:$D$71,0)</calculatedColumnFormula>
    </tableColumn>
    <tableColumn id="11" xr3:uid="{4AF31EA6-DB34-4E7A-8190-58FDA8B23200}" name="Facteur Solaire rénové" dataDxfId="13">
      <calculatedColumnFormula>IF(Tableau1[[#This Row],[Rénovation prévue ?]]='Données Giant'!$A$21,Tableau1[[#This Row],[Facteur solaire actuel]],_xlfn.XLOOKUP(Tableau1[[#This Row],[Rénovation prévue ?]],'Données Giant'!$A$8:$A$21,'Données Giant'!$B$8:$B$21,0))</calculatedColumnFormula>
    </tableColumn>
    <tableColumn id="18" xr3:uid="{C4832367-F5D1-4E44-AB51-13524066DDA9}" name="Apports solaires actuels (kWh/hiver)" dataDxfId="12">
      <calculatedColumnFormula>IF(Tableau1[[#This Row],[Catégorie]]=DonnéesAutres!$A$100,235*0.5*Tableau1[[#This Row],[Facteur solaire actuel]]*Tableau1[[#This Row],[Surface (m²)]],0)</calculatedColumnFormula>
    </tableColumn>
    <tableColumn id="20" xr3:uid="{0C895C03-A8F2-4D03-93FD-68FE1AB54EA3}" name="Apports solaires réno (kWh/hiver)" dataDxfId="11">
      <calculatedColumnFormula>IF(Tableau1[[#This Row],[Catégorie]]=DonnéesAutres!A100,235*0.5*#REF!*Tableau1[[#This Row],[Surface (m²)]],0)</calculatedColumnFormula>
    </tableColumn>
    <tableColumn id="21" xr3:uid="{9CDAC2BE-299F-4482-B6D3-B831E0099976}" name="U exigence base" dataDxfId="10">
      <calculatedColumnFormula>_xlfn.XLOOKUP(Tableau1[[#This Row],[Rénovation prévue ?]],'Données Giant'!$A$8:$A$21,'Données Giant'!$C$8:$C$21,0)</calculatedColumnFormula>
    </tableColumn>
    <tableColumn id="22" xr3:uid="{A205CB97-2027-40BE-A72B-50499470FA67}" name="U exigence renforcée" dataDxfId="9">
      <calculatedColumnFormula>_xlfn.XLOOKUP(Tableau1[[#This Row],[Rénovation prévue ?]],'Données Giant'!$A$8:$A$21,'Données Giant'!$D$8:$D$21,0)</calculatedColumnFormula>
    </tableColumn>
    <tableColumn id="23" xr3:uid="{91BA0FB1-8915-47C8-9CEB-2EF3B4D1DF61}" name="Prime base non bio" dataDxfId="8">
      <calculatedColumnFormula>_xlfn.XLOOKUP(Tableau1[[#This Row],[Rénovation prévue ?]],'Données Giant'!$A$8:$A$21,'Données Giant'!$E$8:$E$21,0)</calculatedColumnFormula>
    </tableColumn>
    <tableColumn id="15" xr3:uid="{451F69A8-ADC7-4462-BB51-C95F4E3FF059}" name="Prime base bio" dataDxfId="7">
      <calculatedColumnFormula>_xlfn.XLOOKUP(Tableau1[[#This Row],[Rénovation prévue ?]],'Données Giant'!$A$8:$A$21,'Données Giant'!$F$8:$F$21,0)</calculatedColumnFormula>
    </tableColumn>
    <tableColumn id="13" xr3:uid="{EA9DD0C3-ABEE-4D83-95A4-A764B6CE8C28}" name="Prime renf non bio" dataDxfId="6">
      <calculatedColumnFormula>_xlfn.XLOOKUP(Tableau1[[#This Row],[Rénovation prévue ?]],'Données Giant'!$A$8:$A$21,'Données Giant'!$G$8:$G$21,0)</calculatedColumnFormula>
    </tableColumn>
    <tableColumn id="24" xr3:uid="{1697998E-576B-4A21-8294-6850947BD9A8}" name="Prime renf bio" dataDxfId="5">
      <calculatedColumnFormula>_xlfn.XLOOKUP(Tableau1[[#This Row],[Rénovation prévue ?]],'Données Giant'!$A$8:$A$21,'Données Giant'!$H$8:$H$21,0)</calculatedColumnFormula>
    </tableColumn>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5837C08-CBF2-4DA6-AA21-85CC7BB16B17}" name="Tableau3" displayName="Tableau3" ref="A156:D206" totalsRowShown="0">
  <autoFilter ref="A156:D206" xr:uid="{85837C08-CBF2-4DA6-AA21-85CC7BB16B17}"/>
  <tableColumns count="4">
    <tableColumn id="1" xr3:uid="{224FA10C-D22B-4AFE-8D2B-154D21AB9F76}" name="Nom" dataDxfId="4">
      <calculatedColumnFormula>'Encodage ventilation'!D18</calculatedColumnFormula>
    </tableColumn>
    <tableColumn id="2" xr3:uid="{7DBA59F1-54C9-4AB2-8CB6-3BD717E1F0FF}" name="Système" dataDxfId="3">
      <calculatedColumnFormula array="1">_xlfn.IFS('Encodage ventilation'!$E$14=DonnéesAutres!$A$108,"Pas de modification",'Encodage ventilation'!$E$14=DonnéesAutres!$A$109,"Système C",'Encodage ventilation'!$E$14=DonnéesAutres!$A$110,"Système D")</calculatedColumnFormula>
    </tableColumn>
    <tableColumn id="3" xr3:uid="{4DE4B45B-D5A1-4938-8D31-71773A554975}" name="débit" dataDxfId="2">
      <calculatedColumnFormula>'Encodage ventilation'!E18</calculatedColumnFormula>
    </tableColumn>
    <tableColumn id="4" xr3:uid="{A21E1627-6BC9-4FAB-BB16-16BAE79B6E62}" name="Prime" dataDxfId="1">
      <calculatedColumnFormula>IF(Tableau3[[#This Row],[Système]]="Pas de modification",0,IF(Tableau3[[#This Row],[Système]]="Système C",_xlfn.XLOOKUP(Tableau3[[#This Row],[débit]],'Données Giant'!$A$44:$A$50,'Données Giant'!$C$44:$C$50,0),_xlfn.XLOOKUP(Tableau3[[#This Row],[débit]],'Données Giant'!$A$55:$A$61,'Données Giant'!$C$55:$C$61,0)))</calculatedColumnFormula>
    </tableColumn>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8DB7195-CA07-49E6-A128-DD85FD45EAEE}" name="Tableau4" displayName="Tableau4" ref="A89:D100" totalsRowShown="0">
  <autoFilter ref="A89:D100" xr:uid="{A8DB7195-CA07-49E6-A128-DD85FD45EAEE}"/>
  <tableColumns count="4">
    <tableColumn id="1" xr3:uid="{705B34B6-547B-4958-8092-FA58E5D60C44}" name="Catégories de parois"/>
    <tableColumn id="2" xr3:uid="{F9DD0641-8179-4AEA-81B9-6102BACCA274}" name="ai"/>
    <tableColumn id="4" xr3:uid="{ADF9A949-4F31-41DF-994D-D23C0FEDEEE2}" name="Colonne1"/>
    <tableColumn id="3" xr3:uid="{1C4F57CC-B239-4B74-ADA9-FB0562FBCBA2}" name="cat"/>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F34087-1CEC-4694-8583-77CF19BDE85B}" name="Tableau2" displayName="Tableau2" ref="D2:E4" totalsRowShown="0">
  <autoFilter ref="D2:E4" xr:uid="{00F34087-1CEC-4694-8583-77CF19BDE85B}"/>
  <tableColumns count="2">
    <tableColumn id="1" xr3:uid="{BBF2EC93-1D59-432B-ADE4-7C5D67CE1EF8}" name="Fenêtre remplacée ?" dataDxfId="0"/>
    <tableColumn id="2" xr3:uid="{160EBD57-E04B-4821-AA62-EC81261402D5}" name="Colonne1"/>
  </tableColumns>
  <tableStyleInfo name="TableStyleLight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6D9BA-A6C2-4753-BC6F-EF15782F682E}">
  <sheetPr>
    <tabColor rgb="FF66FF33"/>
  </sheetPr>
  <dimension ref="A1:BC326"/>
  <sheetViews>
    <sheetView tabSelected="1" workbookViewId="0">
      <selection activeCell="B2" sqref="B2:O2"/>
    </sheetView>
  </sheetViews>
  <sheetFormatPr baseColWidth="10" defaultColWidth="0" defaultRowHeight="13.2" zeroHeight="1" x14ac:dyDescent="0.25"/>
  <cols>
    <col min="1" max="1" width="11.44140625" style="116" customWidth="1"/>
    <col min="2" max="15" width="11.44140625" customWidth="1"/>
    <col min="16" max="18" width="11.44140625" style="116" customWidth="1"/>
    <col min="19" max="20" width="11.44140625" style="116" hidden="1" customWidth="1"/>
    <col min="21" max="55" width="0" style="116" hidden="1" customWidth="1"/>
    <col min="56" max="16384" width="11.44140625" hidden="1"/>
  </cols>
  <sheetData>
    <row r="1" spans="2:15" s="116" customFormat="1" x14ac:dyDescent="0.25"/>
    <row r="2" spans="2:15" ht="28.2" x14ac:dyDescent="0.5">
      <c r="B2" s="250" t="s">
        <v>3185</v>
      </c>
      <c r="C2" s="250"/>
      <c r="D2" s="250"/>
      <c r="E2" s="250"/>
      <c r="F2" s="250"/>
      <c r="G2" s="250"/>
      <c r="H2" s="250"/>
      <c r="I2" s="250"/>
      <c r="J2" s="250"/>
      <c r="K2" s="250"/>
      <c r="L2" s="250"/>
      <c r="M2" s="250"/>
      <c r="N2" s="250"/>
      <c r="O2" s="250"/>
    </row>
    <row r="3" spans="2:15" ht="24.6" x14ac:dyDescent="0.4">
      <c r="B3" s="174"/>
      <c r="C3" s="140"/>
      <c r="D3" s="140"/>
      <c r="E3" s="140"/>
      <c r="F3" s="140"/>
      <c r="G3" s="140"/>
      <c r="H3" s="140"/>
      <c r="I3" s="140"/>
      <c r="J3" s="140"/>
      <c r="K3" s="140"/>
      <c r="L3" s="140"/>
      <c r="M3" s="140"/>
      <c r="N3" s="140"/>
      <c r="O3" s="140"/>
    </row>
    <row r="4" spans="2:15" ht="24.6" x14ac:dyDescent="0.4">
      <c r="B4" s="174"/>
      <c r="C4" s="140"/>
      <c r="D4" s="140"/>
      <c r="E4" s="140"/>
      <c r="F4" s="140"/>
      <c r="G4" s="140"/>
      <c r="H4" s="140"/>
      <c r="I4" s="140"/>
      <c r="J4" s="140"/>
      <c r="K4" s="140"/>
      <c r="L4" s="140"/>
      <c r="M4" s="140"/>
      <c r="N4" s="140"/>
      <c r="O4" s="140"/>
    </row>
    <row r="5" spans="2:15" ht="24.6" hidden="1" x14ac:dyDescent="0.4">
      <c r="B5" s="174"/>
      <c r="C5" s="140"/>
      <c r="D5" s="140"/>
      <c r="E5" s="140"/>
      <c r="F5" s="140"/>
      <c r="G5" s="140"/>
      <c r="H5" s="140"/>
      <c r="I5" s="140"/>
      <c r="J5" s="140"/>
      <c r="K5" s="140"/>
      <c r="L5" s="140"/>
      <c r="M5" s="140"/>
      <c r="N5" s="140"/>
      <c r="O5" s="140"/>
    </row>
    <row r="6" spans="2:15" ht="24.6" hidden="1" x14ac:dyDescent="0.4">
      <c r="B6" s="174"/>
      <c r="C6" s="140"/>
      <c r="D6" s="140"/>
      <c r="E6" s="140"/>
      <c r="F6" s="140"/>
      <c r="G6" s="140"/>
      <c r="H6" s="140"/>
      <c r="I6" s="140"/>
      <c r="J6" s="140"/>
      <c r="K6" s="140"/>
      <c r="L6" s="140"/>
      <c r="M6" s="140"/>
      <c r="N6" s="140"/>
      <c r="O6" s="140"/>
    </row>
    <row r="7" spans="2:15" ht="13.8" thickBot="1" x14ac:dyDescent="0.3">
      <c r="B7" s="116"/>
      <c r="C7" s="116"/>
      <c r="D7" s="116"/>
      <c r="E7" s="116"/>
      <c r="F7" s="116"/>
      <c r="G7" s="116"/>
      <c r="H7" s="116"/>
      <c r="I7" s="116"/>
      <c r="J7" s="116"/>
      <c r="K7" s="116"/>
      <c r="L7" s="116"/>
      <c r="M7" s="116"/>
      <c r="N7" s="116"/>
      <c r="O7" s="116"/>
    </row>
    <row r="8" spans="2:15" ht="57.75" customHeight="1" x14ac:dyDescent="0.25">
      <c r="B8" s="252" t="s">
        <v>3181</v>
      </c>
      <c r="C8" s="253"/>
      <c r="D8" s="253"/>
      <c r="E8" s="253"/>
      <c r="F8" s="253"/>
      <c r="G8" s="253"/>
      <c r="H8" s="253"/>
      <c r="I8" s="253"/>
      <c r="J8" s="253"/>
      <c r="K8" s="253"/>
      <c r="L8" s="253"/>
      <c r="M8" s="253"/>
      <c r="N8" s="253"/>
      <c r="O8" s="254"/>
    </row>
    <row r="9" spans="2:15" ht="105.75" customHeight="1" x14ac:dyDescent="0.25">
      <c r="B9" s="260" t="s">
        <v>3182</v>
      </c>
      <c r="C9" s="261"/>
      <c r="D9" s="261"/>
      <c r="E9" s="261"/>
      <c r="F9" s="261"/>
      <c r="G9" s="261"/>
      <c r="H9" s="261"/>
      <c r="I9" s="261"/>
      <c r="J9" s="261"/>
      <c r="K9" s="261"/>
      <c r="L9" s="261"/>
      <c r="M9" s="261"/>
      <c r="N9" s="261"/>
      <c r="O9" s="262"/>
    </row>
    <row r="10" spans="2:15" ht="66.75" customHeight="1" x14ac:dyDescent="0.25">
      <c r="B10" s="255" t="s">
        <v>0</v>
      </c>
      <c r="C10" s="251"/>
      <c r="D10" s="251"/>
      <c r="E10" s="251"/>
      <c r="F10" s="251"/>
      <c r="G10" s="251"/>
      <c r="H10" s="251"/>
      <c r="I10" s="251"/>
      <c r="J10" s="251"/>
      <c r="K10" s="251"/>
      <c r="L10" s="251"/>
      <c r="M10" s="251"/>
      <c r="N10" s="251"/>
      <c r="O10" s="256"/>
    </row>
    <row r="11" spans="2:15" ht="13.8" x14ac:dyDescent="0.25">
      <c r="B11" s="188"/>
      <c r="C11" s="189"/>
      <c r="D11" s="189"/>
      <c r="E11" s="189"/>
      <c r="F11" s="189"/>
      <c r="G11" s="189"/>
      <c r="H11" s="189"/>
      <c r="I11" s="189"/>
      <c r="J11" s="189"/>
      <c r="K11" s="189"/>
      <c r="L11" s="189"/>
      <c r="M11" s="189"/>
      <c r="N11" s="189"/>
      <c r="O11" s="190"/>
    </row>
    <row r="12" spans="2:15" ht="136.5" customHeight="1" x14ac:dyDescent="0.25">
      <c r="B12" s="255" t="s">
        <v>3165</v>
      </c>
      <c r="C12" s="251"/>
      <c r="D12" s="251"/>
      <c r="E12" s="251"/>
      <c r="F12" s="251"/>
      <c r="G12" s="251"/>
      <c r="H12" s="251"/>
      <c r="I12" s="251"/>
      <c r="J12" s="251"/>
      <c r="K12" s="251"/>
      <c r="L12" s="251"/>
      <c r="M12" s="251"/>
      <c r="N12" s="251"/>
      <c r="O12" s="256"/>
    </row>
    <row r="13" spans="2:15" ht="13.8" x14ac:dyDescent="0.25">
      <c r="B13" s="191"/>
      <c r="C13" s="173"/>
      <c r="D13" s="173"/>
      <c r="E13" s="173"/>
      <c r="F13" s="173"/>
      <c r="G13" s="173"/>
      <c r="H13" s="173"/>
      <c r="I13" s="173"/>
      <c r="J13" s="173"/>
      <c r="K13" s="173"/>
      <c r="L13" s="173"/>
      <c r="M13" s="173"/>
      <c r="N13" s="173"/>
      <c r="O13" s="192"/>
    </row>
    <row r="14" spans="2:15" ht="38.25" customHeight="1" thickBot="1" x14ac:dyDescent="0.3">
      <c r="B14" s="257" t="s">
        <v>1</v>
      </c>
      <c r="C14" s="258"/>
      <c r="D14" s="258"/>
      <c r="E14" s="258"/>
      <c r="F14" s="258"/>
      <c r="G14" s="258"/>
      <c r="H14" s="258"/>
      <c r="I14" s="258"/>
      <c r="J14" s="258"/>
      <c r="K14" s="258"/>
      <c r="L14" s="258"/>
      <c r="M14" s="258"/>
      <c r="N14" s="258"/>
      <c r="O14" s="259"/>
    </row>
    <row r="15" spans="2:15" s="116" customFormat="1" ht="13.8" x14ac:dyDescent="0.25">
      <c r="B15" s="173"/>
      <c r="C15" s="173"/>
      <c r="D15" s="173"/>
      <c r="E15" s="173"/>
      <c r="F15" s="173"/>
      <c r="G15" s="173"/>
      <c r="H15" s="173"/>
      <c r="I15" s="173"/>
      <c r="J15" s="173"/>
      <c r="K15" s="173"/>
      <c r="L15" s="173"/>
      <c r="M15" s="173"/>
      <c r="N15" s="173"/>
      <c r="O15" s="173"/>
    </row>
    <row r="16" spans="2:15" s="116" customFormat="1" ht="63.75" customHeight="1" x14ac:dyDescent="0.25"/>
    <row r="17" spans="2:15" s="116" customFormat="1" ht="13.8" x14ac:dyDescent="0.25">
      <c r="B17" s="187"/>
      <c r="C17" s="187"/>
      <c r="D17" s="187"/>
      <c r="E17" s="187"/>
      <c r="F17" s="187"/>
      <c r="G17" s="187"/>
      <c r="H17" s="187"/>
      <c r="I17" s="187"/>
      <c r="J17" s="187"/>
      <c r="K17" s="187"/>
      <c r="L17" s="187"/>
      <c r="M17" s="187"/>
      <c r="N17" s="187"/>
      <c r="O17" s="187"/>
    </row>
    <row r="18" spans="2:15" s="116" customFormat="1" ht="28.5" hidden="1" customHeight="1" x14ac:dyDescent="0.25">
      <c r="B18" s="251"/>
      <c r="C18" s="251"/>
      <c r="D18" s="251"/>
      <c r="E18" s="251"/>
      <c r="F18" s="251"/>
      <c r="G18" s="251"/>
      <c r="H18" s="251"/>
      <c r="I18" s="251"/>
      <c r="J18" s="251"/>
      <c r="K18" s="251"/>
      <c r="L18" s="251"/>
      <c r="M18" s="251"/>
      <c r="N18" s="251"/>
      <c r="O18" s="251"/>
    </row>
    <row r="19" spans="2:15" s="116" customFormat="1" ht="13.8" hidden="1" x14ac:dyDescent="0.25">
      <c r="B19" s="173"/>
      <c r="C19" s="173"/>
      <c r="D19" s="173"/>
      <c r="E19" s="173"/>
      <c r="F19" s="173"/>
      <c r="G19" s="173"/>
      <c r="H19" s="173"/>
      <c r="I19" s="173"/>
      <c r="J19" s="173"/>
      <c r="K19" s="173"/>
      <c r="L19" s="173"/>
      <c r="M19" s="173"/>
      <c r="N19" s="173"/>
      <c r="O19" s="173"/>
    </row>
    <row r="20" spans="2:15" s="116" customFormat="1" ht="38.4" hidden="1" customHeight="1" x14ac:dyDescent="0.25">
      <c r="B20" s="251"/>
      <c r="C20" s="251"/>
      <c r="D20" s="251"/>
      <c r="E20" s="251"/>
      <c r="F20" s="251"/>
      <c r="G20" s="251"/>
      <c r="H20" s="251"/>
      <c r="I20" s="251"/>
      <c r="J20" s="251"/>
      <c r="K20" s="251"/>
      <c r="L20" s="251"/>
      <c r="M20" s="251"/>
      <c r="N20" s="251"/>
      <c r="O20" s="251"/>
    </row>
    <row r="21" spans="2:15" s="116" customFormat="1" hidden="1" x14ac:dyDescent="0.25"/>
    <row r="22" spans="2:15" s="116" customFormat="1" hidden="1" x14ac:dyDescent="0.25"/>
    <row r="23" spans="2:15" s="116" customFormat="1" hidden="1" x14ac:dyDescent="0.25"/>
    <row r="24" spans="2:15" s="116" customFormat="1" hidden="1" x14ac:dyDescent="0.25"/>
    <row r="25" spans="2:15" s="116" customFormat="1" hidden="1" x14ac:dyDescent="0.25"/>
    <row r="26" spans="2:15" s="116" customFormat="1" hidden="1" x14ac:dyDescent="0.25"/>
    <row r="27" spans="2:15" s="116" customFormat="1" hidden="1" x14ac:dyDescent="0.25"/>
    <row r="28" spans="2:15" s="116" customFormat="1" hidden="1" x14ac:dyDescent="0.25"/>
    <row r="29" spans="2:15" s="116" customFormat="1" hidden="1" x14ac:dyDescent="0.25"/>
    <row r="30" spans="2:15" s="116" customFormat="1" hidden="1" x14ac:dyDescent="0.25"/>
    <row r="31" spans="2:15" s="116" customFormat="1" hidden="1" x14ac:dyDescent="0.25"/>
    <row r="32" spans="2:15" s="116" customFormat="1" hidden="1" x14ac:dyDescent="0.25"/>
    <row r="33" s="116" customFormat="1" hidden="1" x14ac:dyDescent="0.25"/>
    <row r="34" s="116" customFormat="1" hidden="1" x14ac:dyDescent="0.25"/>
    <row r="35" s="116" customFormat="1" hidden="1" x14ac:dyDescent="0.25"/>
    <row r="36" s="116" customFormat="1" hidden="1" x14ac:dyDescent="0.25"/>
    <row r="37" s="116" customFormat="1" hidden="1" x14ac:dyDescent="0.25"/>
    <row r="38" s="116" customFormat="1" hidden="1" x14ac:dyDescent="0.25"/>
    <row r="39" s="116" customFormat="1" hidden="1" x14ac:dyDescent="0.25"/>
    <row r="40" s="116" customFormat="1" hidden="1" x14ac:dyDescent="0.25"/>
    <row r="41" s="116" customFormat="1" hidden="1" x14ac:dyDescent="0.25"/>
    <row r="42" s="116" customFormat="1" hidden="1" x14ac:dyDescent="0.25"/>
    <row r="43" s="116" customFormat="1" hidden="1" x14ac:dyDescent="0.25"/>
    <row r="44" s="116" customFormat="1" hidden="1" x14ac:dyDescent="0.25"/>
    <row r="45" s="116" customFormat="1" hidden="1" x14ac:dyDescent="0.25"/>
    <row r="46" s="116" customFormat="1" hidden="1" x14ac:dyDescent="0.25"/>
    <row r="47" s="116" customFormat="1" hidden="1" x14ac:dyDescent="0.25"/>
    <row r="48" s="116" customFormat="1" hidden="1" x14ac:dyDescent="0.25"/>
    <row r="49" s="116" customFormat="1" hidden="1" x14ac:dyDescent="0.25"/>
    <row r="50" s="116" customFormat="1" hidden="1" x14ac:dyDescent="0.25"/>
    <row r="51" s="116" customFormat="1" hidden="1" x14ac:dyDescent="0.25"/>
    <row r="52" s="116" customFormat="1" hidden="1" x14ac:dyDescent="0.25"/>
    <row r="53" s="116" customFormat="1" hidden="1" x14ac:dyDescent="0.25"/>
    <row r="54" s="116" customFormat="1" hidden="1" x14ac:dyDescent="0.25"/>
    <row r="55" s="116" customFormat="1" hidden="1" x14ac:dyDescent="0.25"/>
    <row r="56" s="116" customFormat="1" hidden="1" x14ac:dyDescent="0.25"/>
    <row r="57" s="116" customFormat="1" hidden="1" x14ac:dyDescent="0.25"/>
    <row r="58" s="116" customFormat="1" hidden="1" x14ac:dyDescent="0.25"/>
    <row r="59" s="116" customFormat="1" hidden="1" x14ac:dyDescent="0.25"/>
    <row r="60" s="116" customFormat="1" hidden="1" x14ac:dyDescent="0.25"/>
    <row r="61" s="116" customFormat="1" hidden="1" x14ac:dyDescent="0.25"/>
    <row r="62" s="116" customFormat="1" hidden="1" x14ac:dyDescent="0.25"/>
    <row r="63" s="116" customFormat="1" hidden="1" x14ac:dyDescent="0.25"/>
    <row r="64" s="116" customFormat="1" hidden="1" x14ac:dyDescent="0.25"/>
    <row r="65" s="116" customFormat="1" hidden="1" x14ac:dyDescent="0.25"/>
    <row r="66" s="116" customFormat="1" hidden="1" x14ac:dyDescent="0.25"/>
    <row r="67" s="116" customFormat="1" hidden="1" x14ac:dyDescent="0.25"/>
    <row r="68" s="116" customFormat="1" hidden="1" x14ac:dyDescent="0.25"/>
    <row r="69" s="116" customFormat="1" hidden="1" x14ac:dyDescent="0.25"/>
    <row r="70" s="116" customFormat="1" hidden="1" x14ac:dyDescent="0.25"/>
    <row r="71" s="116" customFormat="1" hidden="1" x14ac:dyDescent="0.25"/>
    <row r="72" s="116" customFormat="1" hidden="1" x14ac:dyDescent="0.25"/>
    <row r="73" s="116" customFormat="1" hidden="1" x14ac:dyDescent="0.25"/>
    <row r="74" s="116" customFormat="1" hidden="1" x14ac:dyDescent="0.25"/>
    <row r="75" s="116" customFormat="1" hidden="1" x14ac:dyDescent="0.25"/>
    <row r="76" s="116" customFormat="1" hidden="1" x14ac:dyDescent="0.25"/>
    <row r="77" s="116" customFormat="1" hidden="1" x14ac:dyDescent="0.25"/>
    <row r="78" s="116" customFormat="1" hidden="1" x14ac:dyDescent="0.25"/>
    <row r="79" s="116" customFormat="1" hidden="1" x14ac:dyDescent="0.25"/>
    <row r="80" s="116" customFormat="1" hidden="1" x14ac:dyDescent="0.25"/>
    <row r="81" s="116" customFormat="1" hidden="1" x14ac:dyDescent="0.25"/>
    <row r="82" s="116" customFormat="1" hidden="1" x14ac:dyDescent="0.25"/>
    <row r="83" s="116" customFormat="1" hidden="1" x14ac:dyDescent="0.25"/>
    <row r="84" s="116" customFormat="1" hidden="1" x14ac:dyDescent="0.25"/>
    <row r="85" s="116" customFormat="1" hidden="1" x14ac:dyDescent="0.25"/>
    <row r="86" s="116" customFormat="1" hidden="1" x14ac:dyDescent="0.25"/>
    <row r="87" s="116" customFormat="1" hidden="1" x14ac:dyDescent="0.25"/>
    <row r="88" s="116" customFormat="1" hidden="1" x14ac:dyDescent="0.25"/>
    <row r="89" s="116" customFormat="1" hidden="1" x14ac:dyDescent="0.25"/>
    <row r="90" s="116" customFormat="1" hidden="1" x14ac:dyDescent="0.25"/>
    <row r="91" s="116" customFormat="1" hidden="1" x14ac:dyDescent="0.25"/>
    <row r="92" s="116" customFormat="1" hidden="1" x14ac:dyDescent="0.25"/>
    <row r="93" s="116" customFormat="1" hidden="1" x14ac:dyDescent="0.25"/>
    <row r="94" s="116" customFormat="1" hidden="1" x14ac:dyDescent="0.25"/>
    <row r="95" s="116" customFormat="1" hidden="1" x14ac:dyDescent="0.25"/>
    <row r="96" s="116" customFormat="1" hidden="1" x14ac:dyDescent="0.25"/>
    <row r="97" s="116" customFormat="1" hidden="1" x14ac:dyDescent="0.25"/>
    <row r="98" s="116" customFormat="1" hidden="1" x14ac:dyDescent="0.25"/>
    <row r="99" s="116" customFormat="1" hidden="1" x14ac:dyDescent="0.25"/>
    <row r="100" s="116" customFormat="1" hidden="1" x14ac:dyDescent="0.25"/>
    <row r="101" s="116" customFormat="1" hidden="1" x14ac:dyDescent="0.25"/>
    <row r="102" s="116" customFormat="1" hidden="1" x14ac:dyDescent="0.25"/>
    <row r="103" s="116" customFormat="1" hidden="1" x14ac:dyDescent="0.25"/>
    <row r="104" s="116" customFormat="1" hidden="1" x14ac:dyDescent="0.25"/>
    <row r="105" s="116" customFormat="1" hidden="1" x14ac:dyDescent="0.25"/>
    <row r="106" s="116" customFormat="1" hidden="1" x14ac:dyDescent="0.25"/>
    <row r="107" s="116" customFormat="1" hidden="1" x14ac:dyDescent="0.25"/>
    <row r="108" s="116" customFormat="1" hidden="1" x14ac:dyDescent="0.25"/>
    <row r="109" s="116" customFormat="1" hidden="1" x14ac:dyDescent="0.25"/>
    <row r="110" s="116" customFormat="1" hidden="1" x14ac:dyDescent="0.25"/>
    <row r="111" s="116" customFormat="1" hidden="1" x14ac:dyDescent="0.25"/>
    <row r="112" s="116" customFormat="1" hidden="1" x14ac:dyDescent="0.25"/>
    <row r="113" s="116" customFormat="1" hidden="1" x14ac:dyDescent="0.25"/>
    <row r="114" s="116" customFormat="1" hidden="1" x14ac:dyDescent="0.25"/>
    <row r="115" s="116" customFormat="1" hidden="1" x14ac:dyDescent="0.25"/>
    <row r="116" s="116" customFormat="1" hidden="1" x14ac:dyDescent="0.25"/>
    <row r="117" s="116" customFormat="1" hidden="1" x14ac:dyDescent="0.25"/>
    <row r="118" s="116" customFormat="1" hidden="1" x14ac:dyDescent="0.25"/>
    <row r="119" s="116" customFormat="1" hidden="1" x14ac:dyDescent="0.25"/>
    <row r="120" s="116" customFormat="1" hidden="1" x14ac:dyDescent="0.25"/>
    <row r="121" s="116" customFormat="1" hidden="1" x14ac:dyDescent="0.25"/>
    <row r="122" s="116" customFormat="1" hidden="1" x14ac:dyDescent="0.25"/>
    <row r="123" s="116" customFormat="1" hidden="1" x14ac:dyDescent="0.25"/>
    <row r="124" s="116" customFormat="1" hidden="1" x14ac:dyDescent="0.25"/>
    <row r="125" s="116" customFormat="1" hidden="1" x14ac:dyDescent="0.25"/>
    <row r="126" s="116" customFormat="1" hidden="1" x14ac:dyDescent="0.25"/>
    <row r="127" s="116" customFormat="1" hidden="1" x14ac:dyDescent="0.25"/>
    <row r="128" s="116" customFormat="1" hidden="1" x14ac:dyDescent="0.25"/>
    <row r="129" s="116" customFormat="1" hidden="1" x14ac:dyDescent="0.25"/>
    <row r="130" s="116" customFormat="1" hidden="1" x14ac:dyDescent="0.25"/>
    <row r="131" s="116" customFormat="1" hidden="1" x14ac:dyDescent="0.25"/>
    <row r="132" s="116" customFormat="1" hidden="1" x14ac:dyDescent="0.25"/>
    <row r="133" s="116" customFormat="1" hidden="1" x14ac:dyDescent="0.25"/>
    <row r="134" s="116" customFormat="1" hidden="1" x14ac:dyDescent="0.25"/>
    <row r="135" s="116" customFormat="1" hidden="1" x14ac:dyDescent="0.25"/>
    <row r="136" s="116" customFormat="1" hidden="1" x14ac:dyDescent="0.25"/>
    <row r="137" s="116" customFormat="1" hidden="1" x14ac:dyDescent="0.25"/>
    <row r="138" s="116" customFormat="1" hidden="1" x14ac:dyDescent="0.25"/>
    <row r="139" s="116" customFormat="1" hidden="1" x14ac:dyDescent="0.25"/>
    <row r="140" s="116" customFormat="1" hidden="1" x14ac:dyDescent="0.25"/>
    <row r="141" s="116" customFormat="1" hidden="1" x14ac:dyDescent="0.25"/>
    <row r="142" s="116" customFormat="1" hidden="1" x14ac:dyDescent="0.25"/>
    <row r="143" s="116" customFormat="1" hidden="1" x14ac:dyDescent="0.25"/>
    <row r="144" s="116" customFormat="1" hidden="1" x14ac:dyDescent="0.25"/>
    <row r="145" s="116" customFormat="1" hidden="1" x14ac:dyDescent="0.25"/>
    <row r="146" s="116" customFormat="1" hidden="1" x14ac:dyDescent="0.25"/>
    <row r="147" s="116" customFormat="1" hidden="1" x14ac:dyDescent="0.25"/>
    <row r="148" s="116" customFormat="1" hidden="1" x14ac:dyDescent="0.25"/>
    <row r="149" s="116" customFormat="1" hidden="1" x14ac:dyDescent="0.25"/>
    <row r="150" s="116" customFormat="1" hidden="1" x14ac:dyDescent="0.25"/>
    <row r="151" s="116" customFormat="1" hidden="1" x14ac:dyDescent="0.25"/>
    <row r="152" s="116" customFormat="1" hidden="1" x14ac:dyDescent="0.25"/>
    <row r="153" s="116" customFormat="1" hidden="1" x14ac:dyDescent="0.25"/>
    <row r="154" s="116" customFormat="1" hidden="1" x14ac:dyDescent="0.25"/>
    <row r="155" s="116" customFormat="1" hidden="1" x14ac:dyDescent="0.25"/>
    <row r="156" s="116" customFormat="1" hidden="1" x14ac:dyDescent="0.25"/>
    <row r="157" s="116" customFormat="1" hidden="1" x14ac:dyDescent="0.25"/>
    <row r="158" s="116" customFormat="1" hidden="1" x14ac:dyDescent="0.25"/>
    <row r="159" s="116" customFormat="1" hidden="1" x14ac:dyDescent="0.25"/>
    <row r="160" s="116" customFormat="1" hidden="1" x14ac:dyDescent="0.25"/>
    <row r="161" s="116" customFormat="1" hidden="1" x14ac:dyDescent="0.25"/>
    <row r="162" s="116" customFormat="1" hidden="1" x14ac:dyDescent="0.25"/>
    <row r="163" s="116" customFormat="1" hidden="1" x14ac:dyDescent="0.25"/>
    <row r="164" s="116" customFormat="1" hidden="1" x14ac:dyDescent="0.25"/>
    <row r="165" s="116" customFormat="1" hidden="1" x14ac:dyDescent="0.25"/>
    <row r="166" s="116" customFormat="1" hidden="1" x14ac:dyDescent="0.25"/>
    <row r="167" s="116" customFormat="1" hidden="1" x14ac:dyDescent="0.25"/>
    <row r="168" s="116" customFormat="1" hidden="1" x14ac:dyDescent="0.25"/>
    <row r="169" s="116" customFormat="1" hidden="1" x14ac:dyDescent="0.25"/>
    <row r="170" s="116" customFormat="1" hidden="1" x14ac:dyDescent="0.25"/>
    <row r="171" s="116" customFormat="1" hidden="1" x14ac:dyDescent="0.25"/>
    <row r="172" s="116" customFormat="1" hidden="1" x14ac:dyDescent="0.25"/>
    <row r="173" s="116" customFormat="1" hidden="1" x14ac:dyDescent="0.25"/>
    <row r="174" s="116" customFormat="1" hidden="1" x14ac:dyDescent="0.25"/>
    <row r="175" s="116" customFormat="1" hidden="1" x14ac:dyDescent="0.25"/>
    <row r="176" s="116" customFormat="1" hidden="1" x14ac:dyDescent="0.25"/>
    <row r="177" s="116" customFormat="1" hidden="1" x14ac:dyDescent="0.25"/>
    <row r="178" s="116" customFormat="1" hidden="1" x14ac:dyDescent="0.25"/>
    <row r="179" s="116" customFormat="1" hidden="1" x14ac:dyDescent="0.25"/>
    <row r="180" s="116" customFormat="1" hidden="1" x14ac:dyDescent="0.25"/>
    <row r="181" s="116" customFormat="1" hidden="1" x14ac:dyDescent="0.25"/>
    <row r="182" s="116" customFormat="1" hidden="1" x14ac:dyDescent="0.25"/>
    <row r="183" s="116" customFormat="1" hidden="1" x14ac:dyDescent="0.25"/>
    <row r="184" s="116" customFormat="1" hidden="1" x14ac:dyDescent="0.25"/>
    <row r="185" s="116" customFormat="1" hidden="1" x14ac:dyDescent="0.25"/>
    <row r="186" s="116" customFormat="1" hidden="1" x14ac:dyDescent="0.25"/>
    <row r="187" s="116" customFormat="1" hidden="1" x14ac:dyDescent="0.25"/>
    <row r="188" s="116" customFormat="1" hidden="1" x14ac:dyDescent="0.25"/>
    <row r="189" s="116" customFormat="1" hidden="1" x14ac:dyDescent="0.25"/>
    <row r="190" s="116" customFormat="1" hidden="1" x14ac:dyDescent="0.25"/>
    <row r="191" s="116" customFormat="1" hidden="1" x14ac:dyDescent="0.25"/>
    <row r="192" s="116" customFormat="1" hidden="1" x14ac:dyDescent="0.25"/>
    <row r="193" s="116" customFormat="1" hidden="1" x14ac:dyDescent="0.25"/>
    <row r="194" s="116" customFormat="1" hidden="1" x14ac:dyDescent="0.25"/>
    <row r="195" s="116" customFormat="1" hidden="1" x14ac:dyDescent="0.25"/>
    <row r="196" s="116" customFormat="1" hidden="1" x14ac:dyDescent="0.25"/>
    <row r="197" s="116" customFormat="1" hidden="1" x14ac:dyDescent="0.25"/>
    <row r="198" s="116" customFormat="1" hidden="1" x14ac:dyDescent="0.25"/>
    <row r="199" s="116" customFormat="1" hidden="1" x14ac:dyDescent="0.25"/>
    <row r="200" s="116" customFormat="1" hidden="1" x14ac:dyDescent="0.25"/>
    <row r="201" s="116" customFormat="1" hidden="1" x14ac:dyDescent="0.25"/>
    <row r="202" s="116" customFormat="1" hidden="1" x14ac:dyDescent="0.25"/>
    <row r="203" s="116" customFormat="1" hidden="1" x14ac:dyDescent="0.25"/>
    <row r="204" s="116" customFormat="1" hidden="1" x14ac:dyDescent="0.25"/>
    <row r="205" s="116" customFormat="1" hidden="1" x14ac:dyDescent="0.25"/>
    <row r="206" s="116" customFormat="1" hidden="1" x14ac:dyDescent="0.25"/>
    <row r="207" s="116" customFormat="1" hidden="1" x14ac:dyDescent="0.25"/>
    <row r="208" s="116" customFormat="1" hidden="1" x14ac:dyDescent="0.25"/>
    <row r="209" s="116" customFormat="1" hidden="1" x14ac:dyDescent="0.25"/>
    <row r="210" s="116" customFormat="1" hidden="1" x14ac:dyDescent="0.25"/>
    <row r="211" s="116" customFormat="1" hidden="1" x14ac:dyDescent="0.25"/>
    <row r="212" s="116" customFormat="1" hidden="1" x14ac:dyDescent="0.25"/>
    <row r="213" s="116" customFormat="1" hidden="1" x14ac:dyDescent="0.25"/>
    <row r="214" s="116" customFormat="1" hidden="1" x14ac:dyDescent="0.25"/>
    <row r="215" s="116" customFormat="1" hidden="1" x14ac:dyDescent="0.25"/>
    <row r="216" s="116" customFormat="1" hidden="1" x14ac:dyDescent="0.25"/>
    <row r="217" s="116" customFormat="1" hidden="1" x14ac:dyDescent="0.25"/>
    <row r="218" s="116" customFormat="1" hidden="1" x14ac:dyDescent="0.25"/>
    <row r="219" s="116" customFormat="1" hidden="1" x14ac:dyDescent="0.25"/>
    <row r="220" s="116" customFormat="1" hidden="1" x14ac:dyDescent="0.25"/>
    <row r="221" s="116" customFormat="1" hidden="1" x14ac:dyDescent="0.25"/>
    <row r="222" s="116" customFormat="1" hidden="1" x14ac:dyDescent="0.25"/>
    <row r="223" s="116" customFormat="1" hidden="1" x14ac:dyDescent="0.25"/>
    <row r="224" s="116" customFormat="1" hidden="1" x14ac:dyDescent="0.25"/>
    <row r="225" s="116" customFormat="1" hidden="1" x14ac:dyDescent="0.25"/>
    <row r="226" s="116" customFormat="1" hidden="1" x14ac:dyDescent="0.25"/>
    <row r="227" s="116" customFormat="1" hidden="1" x14ac:dyDescent="0.25"/>
    <row r="228" s="116" customFormat="1" hidden="1" x14ac:dyDescent="0.25"/>
    <row r="229" s="116" customFormat="1" hidden="1" x14ac:dyDescent="0.25"/>
    <row r="230" s="116" customFormat="1" hidden="1" x14ac:dyDescent="0.25"/>
    <row r="231" s="116" customFormat="1" hidden="1" x14ac:dyDescent="0.25"/>
    <row r="232" s="116" customFormat="1" hidden="1" x14ac:dyDescent="0.25"/>
    <row r="233" s="116" customFormat="1" hidden="1" x14ac:dyDescent="0.25"/>
    <row r="234" s="116" customFormat="1" hidden="1" x14ac:dyDescent="0.25"/>
    <row r="235" s="116" customFormat="1" hidden="1" x14ac:dyDescent="0.25"/>
    <row r="236" s="116" customFormat="1" hidden="1" x14ac:dyDescent="0.25"/>
    <row r="237" s="116" customFormat="1" hidden="1" x14ac:dyDescent="0.25"/>
    <row r="238" s="116" customFormat="1" hidden="1" x14ac:dyDescent="0.25"/>
    <row r="239" s="116" customFormat="1" hidden="1" x14ac:dyDescent="0.25"/>
    <row r="240" s="116" customFormat="1" hidden="1" x14ac:dyDescent="0.25"/>
    <row r="241" s="116" customFormat="1" hidden="1" x14ac:dyDescent="0.25"/>
    <row r="242" s="116" customFormat="1" hidden="1" x14ac:dyDescent="0.25"/>
    <row r="243" s="116" customFormat="1" hidden="1" x14ac:dyDescent="0.25"/>
    <row r="244" s="116" customFormat="1" hidden="1" x14ac:dyDescent="0.25"/>
    <row r="245" s="116" customFormat="1" hidden="1" x14ac:dyDescent="0.25"/>
    <row r="246" s="116" customFormat="1" hidden="1" x14ac:dyDescent="0.25"/>
    <row r="247" s="116" customFormat="1" hidden="1" x14ac:dyDescent="0.25"/>
    <row r="248" s="116" customFormat="1" hidden="1" x14ac:dyDescent="0.25"/>
    <row r="249" s="116" customFormat="1" hidden="1" x14ac:dyDescent="0.25"/>
    <row r="250" s="116" customFormat="1" hidden="1" x14ac:dyDescent="0.25"/>
    <row r="251" s="116" customFormat="1" hidden="1" x14ac:dyDescent="0.25"/>
    <row r="252" s="116" customFormat="1" hidden="1" x14ac:dyDescent="0.25"/>
    <row r="253" s="116" customFormat="1" hidden="1" x14ac:dyDescent="0.25"/>
    <row r="254" s="116" customFormat="1" hidden="1" x14ac:dyDescent="0.25"/>
    <row r="255" s="116" customFormat="1" hidden="1" x14ac:dyDescent="0.25"/>
    <row r="256" s="116" customFormat="1" hidden="1" x14ac:dyDescent="0.25"/>
    <row r="257" s="116" customFormat="1" hidden="1" x14ac:dyDescent="0.25"/>
    <row r="258" s="116" customFormat="1" hidden="1" x14ac:dyDescent="0.25"/>
    <row r="259" s="116" customFormat="1" hidden="1" x14ac:dyDescent="0.25"/>
    <row r="260" s="116" customFormat="1" hidden="1" x14ac:dyDescent="0.25"/>
    <row r="261" s="116" customFormat="1" hidden="1" x14ac:dyDescent="0.25"/>
    <row r="262" s="116" customFormat="1" hidden="1" x14ac:dyDescent="0.25"/>
    <row r="263" s="116" customFormat="1" hidden="1" x14ac:dyDescent="0.25"/>
    <row r="264" s="116" customFormat="1" hidden="1" x14ac:dyDescent="0.25"/>
    <row r="265" s="116" customFormat="1" hidden="1" x14ac:dyDescent="0.25"/>
    <row r="266" s="116" customFormat="1" hidden="1" x14ac:dyDescent="0.25"/>
    <row r="267" s="116" customFormat="1" hidden="1" x14ac:dyDescent="0.25"/>
    <row r="268" s="116" customFormat="1" hidden="1" x14ac:dyDescent="0.25"/>
    <row r="269" s="116" customFormat="1" hidden="1" x14ac:dyDescent="0.25"/>
    <row r="270" s="116" customFormat="1" hidden="1" x14ac:dyDescent="0.25"/>
    <row r="271" s="116" customFormat="1" hidden="1" x14ac:dyDescent="0.25"/>
    <row r="272" s="116" customFormat="1" hidden="1" x14ac:dyDescent="0.25"/>
    <row r="273" s="116" customFormat="1" hidden="1" x14ac:dyDescent="0.25"/>
    <row r="274" s="116" customFormat="1" hidden="1" x14ac:dyDescent="0.25"/>
    <row r="275" s="116" customFormat="1" hidden="1" x14ac:dyDescent="0.25"/>
    <row r="276" s="116" customFormat="1" hidden="1" x14ac:dyDescent="0.25"/>
    <row r="277" s="116" customFormat="1" hidden="1" x14ac:dyDescent="0.25"/>
    <row r="278" s="116" customFormat="1" hidden="1" x14ac:dyDescent="0.25"/>
    <row r="279" s="116" customFormat="1" hidden="1" x14ac:dyDescent="0.25"/>
    <row r="280" s="116" customFormat="1" hidden="1" x14ac:dyDescent="0.25"/>
    <row r="281" s="116" customFormat="1" hidden="1" x14ac:dyDescent="0.25"/>
    <row r="282" s="116" customFormat="1" hidden="1" x14ac:dyDescent="0.25"/>
    <row r="283" s="116" customFormat="1" hidden="1" x14ac:dyDescent="0.25"/>
    <row r="284" s="116" customFormat="1" hidden="1" x14ac:dyDescent="0.25"/>
    <row r="285" s="116" customFormat="1" hidden="1" x14ac:dyDescent="0.25"/>
    <row r="286" s="116" customFormat="1" hidden="1" x14ac:dyDescent="0.25"/>
    <row r="287" s="116" customFormat="1" hidden="1" x14ac:dyDescent="0.25"/>
    <row r="288" s="116" customFormat="1" hidden="1" x14ac:dyDescent="0.25"/>
    <row r="289" s="116" customFormat="1" hidden="1" x14ac:dyDescent="0.25"/>
    <row r="290" s="116" customFormat="1" hidden="1" x14ac:dyDescent="0.25"/>
    <row r="291" s="116" customFormat="1" hidden="1" x14ac:dyDescent="0.25"/>
    <row r="292" s="116" customFormat="1" hidden="1" x14ac:dyDescent="0.25"/>
    <row r="293" s="116" customFormat="1" hidden="1" x14ac:dyDescent="0.25"/>
    <row r="294" s="116" customFormat="1" hidden="1" x14ac:dyDescent="0.25"/>
    <row r="295" s="116" customFormat="1" hidden="1" x14ac:dyDescent="0.25"/>
    <row r="296" s="116" customFormat="1" hidden="1" x14ac:dyDescent="0.25"/>
    <row r="297" s="116" customFormat="1" hidden="1" x14ac:dyDescent="0.25"/>
    <row r="298" s="116" customFormat="1" hidden="1" x14ac:dyDescent="0.25"/>
    <row r="299" s="116" customFormat="1" hidden="1" x14ac:dyDescent="0.25"/>
    <row r="300" s="116" customFormat="1" hidden="1" x14ac:dyDescent="0.25"/>
    <row r="301" s="116" customFormat="1" hidden="1" x14ac:dyDescent="0.25"/>
    <row r="302" s="116" customFormat="1" hidden="1" x14ac:dyDescent="0.25"/>
    <row r="303" s="116" customFormat="1" hidden="1" x14ac:dyDescent="0.25"/>
    <row r="304" s="116" customFormat="1" hidden="1" x14ac:dyDescent="0.25"/>
    <row r="305" s="116" customFormat="1" hidden="1" x14ac:dyDescent="0.25"/>
    <row r="306" s="116" customFormat="1" hidden="1" x14ac:dyDescent="0.25"/>
    <row r="307" s="116" customFormat="1" hidden="1" x14ac:dyDescent="0.25"/>
    <row r="308" s="116" customFormat="1" hidden="1" x14ac:dyDescent="0.25"/>
    <row r="309" s="116" customFormat="1" hidden="1" x14ac:dyDescent="0.25"/>
    <row r="310" s="116" customFormat="1" hidden="1" x14ac:dyDescent="0.25"/>
    <row r="311" s="116" customFormat="1" hidden="1" x14ac:dyDescent="0.25"/>
    <row r="312" s="116" customFormat="1" hidden="1" x14ac:dyDescent="0.25"/>
    <row r="313" s="116" customFormat="1" hidden="1" x14ac:dyDescent="0.25"/>
    <row r="314" s="116" customFormat="1" hidden="1" x14ac:dyDescent="0.25"/>
    <row r="315" s="116" customFormat="1" hidden="1" x14ac:dyDescent="0.25"/>
    <row r="316" s="116" customFormat="1" hidden="1" x14ac:dyDescent="0.25"/>
    <row r="317" s="116" customFormat="1" hidden="1" x14ac:dyDescent="0.25"/>
    <row r="318" s="116" customFormat="1" hidden="1" x14ac:dyDescent="0.25"/>
    <row r="319" s="116" customFormat="1" hidden="1" x14ac:dyDescent="0.25"/>
    <row r="320" s="116" customFormat="1" hidden="1" x14ac:dyDescent="0.25"/>
    <row r="321" s="116" customFormat="1" hidden="1" x14ac:dyDescent="0.25"/>
    <row r="322" s="116" customFormat="1" hidden="1" x14ac:dyDescent="0.25"/>
    <row r="323" s="116" customFormat="1" hidden="1" x14ac:dyDescent="0.25"/>
    <row r="324" s="116" customFormat="1" hidden="1" x14ac:dyDescent="0.25"/>
    <row r="325" s="116" customFormat="1" hidden="1" x14ac:dyDescent="0.25"/>
    <row r="326" s="116" customFormat="1" hidden="1" x14ac:dyDescent="0.25"/>
  </sheetData>
  <sheetProtection algorithmName="SHA-512" hashValue="t2vXz3sHv3RRnJJ20ceabrL9THoP7bkoHUYpsfkm8z3H6opSrF3jm/3PMr1TfbBP/cKCDhYNsJ1+kInKmDazlQ==" saltValue="saSWosjZi3LfmCGZoHvqCw==" spinCount="100000" sheet="1" objects="1" scenarios="1"/>
  <mergeCells count="8">
    <mergeCell ref="B2:O2"/>
    <mergeCell ref="B20:O20"/>
    <mergeCell ref="B8:O8"/>
    <mergeCell ref="B12:O12"/>
    <mergeCell ref="B14:O14"/>
    <mergeCell ref="B10:O10"/>
    <mergeCell ref="B18:O18"/>
    <mergeCell ref="B9:O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1B9AB-9FC8-4C30-8838-418188654F96}">
  <sheetPr codeName="Feuil10">
    <tabColor theme="7"/>
  </sheetPr>
  <dimension ref="A2:L61"/>
  <sheetViews>
    <sheetView workbookViewId="0"/>
  </sheetViews>
  <sheetFormatPr baseColWidth="10" defaultColWidth="11.44140625" defaultRowHeight="13.2" x14ac:dyDescent="0.25"/>
  <cols>
    <col min="1" max="1" width="47" customWidth="1"/>
    <col min="2" max="2" width="33.6640625" customWidth="1"/>
    <col min="4" max="4" width="19.6640625" customWidth="1"/>
    <col min="5" max="5" width="18" customWidth="1"/>
    <col min="10" max="10" width="50.6640625" customWidth="1"/>
  </cols>
  <sheetData>
    <row r="2" spans="1:12" x14ac:dyDescent="0.25">
      <c r="A2" s="71" t="s">
        <v>360</v>
      </c>
      <c r="B2" s="71" t="s">
        <v>361</v>
      </c>
      <c r="D2" s="71" t="s">
        <v>362</v>
      </c>
      <c r="E2" t="s">
        <v>260</v>
      </c>
      <c r="F2" s="71" t="s">
        <v>363</v>
      </c>
      <c r="H2" s="71" t="s">
        <v>364</v>
      </c>
      <c r="J2" s="71" t="s">
        <v>365</v>
      </c>
    </row>
    <row r="3" spans="1:12" ht="14.4" x14ac:dyDescent="0.25">
      <c r="A3" s="71" t="s">
        <v>366</v>
      </c>
      <c r="B3">
        <v>0.24</v>
      </c>
      <c r="D3" s="71" t="s">
        <v>367</v>
      </c>
      <c r="E3">
        <v>1.5</v>
      </c>
      <c r="F3" s="71" t="s">
        <v>368</v>
      </c>
      <c r="H3" s="71" t="s">
        <v>368</v>
      </c>
      <c r="J3" s="26" t="s">
        <v>369</v>
      </c>
    </row>
    <row r="4" spans="1:12" ht="14.4" x14ac:dyDescent="0.25">
      <c r="A4" s="71" t="s">
        <v>370</v>
      </c>
      <c r="B4">
        <v>0.16</v>
      </c>
      <c r="D4" s="71" t="s">
        <v>371</v>
      </c>
      <c r="E4" s="71" t="s">
        <v>372</v>
      </c>
      <c r="F4" s="71" t="s">
        <v>373</v>
      </c>
      <c r="H4" s="71" t="s">
        <v>373</v>
      </c>
      <c r="J4" s="26" t="s">
        <v>374</v>
      </c>
    </row>
    <row r="5" spans="1:12" ht="14.4" x14ac:dyDescent="0.25">
      <c r="A5" s="71" t="s">
        <v>340</v>
      </c>
      <c r="B5" s="71" t="s">
        <v>375</v>
      </c>
      <c r="D5" s="71"/>
      <c r="J5" s="26" t="s">
        <v>376</v>
      </c>
    </row>
    <row r="6" spans="1:12" ht="14.4" x14ac:dyDescent="0.25">
      <c r="A6" s="71"/>
      <c r="B6" s="71"/>
      <c r="D6" s="71"/>
      <c r="J6" s="26"/>
    </row>
    <row r="7" spans="1:12" ht="49.95" customHeight="1" x14ac:dyDescent="0.25">
      <c r="A7" s="71" t="s">
        <v>377</v>
      </c>
      <c r="B7" s="71" t="s">
        <v>378</v>
      </c>
      <c r="C7" t="s">
        <v>379</v>
      </c>
      <c r="D7" s="71" t="s">
        <v>380</v>
      </c>
      <c r="E7" s="76" t="s">
        <v>381</v>
      </c>
      <c r="F7" s="76" t="s">
        <v>382</v>
      </c>
      <c r="G7" s="76" t="s">
        <v>383</v>
      </c>
      <c r="H7" s="76" t="s">
        <v>384</v>
      </c>
      <c r="I7" s="71" t="s">
        <v>56</v>
      </c>
      <c r="J7" s="26" t="s">
        <v>3162</v>
      </c>
      <c r="K7" s="76" t="s">
        <v>3163</v>
      </c>
      <c r="L7" s="71"/>
    </row>
    <row r="8" spans="1:12" ht="14.4" x14ac:dyDescent="0.25">
      <c r="A8" s="71" t="s">
        <v>385</v>
      </c>
      <c r="B8">
        <v>0.6</v>
      </c>
      <c r="C8">
        <v>1.5</v>
      </c>
      <c r="D8">
        <v>1.5</v>
      </c>
      <c r="E8">
        <v>407</v>
      </c>
      <c r="F8">
        <v>437</v>
      </c>
      <c r="G8">
        <v>407</v>
      </c>
      <c r="H8">
        <v>437</v>
      </c>
      <c r="I8" t="s">
        <v>283</v>
      </c>
      <c r="J8" s="26">
        <v>0.5</v>
      </c>
      <c r="K8">
        <v>7</v>
      </c>
    </row>
    <row r="9" spans="1:12" ht="14.4" x14ac:dyDescent="0.25">
      <c r="A9" s="71" t="s">
        <v>386</v>
      </c>
      <c r="B9">
        <v>0.6</v>
      </c>
      <c r="C9">
        <v>1.1000000000000001</v>
      </c>
      <c r="D9">
        <v>1.1000000000000001</v>
      </c>
      <c r="E9">
        <v>407</v>
      </c>
      <c r="F9">
        <v>407</v>
      </c>
      <c r="G9">
        <v>407</v>
      </c>
      <c r="H9">
        <v>407</v>
      </c>
      <c r="I9" t="s">
        <v>283</v>
      </c>
      <c r="J9" s="26">
        <v>0.5</v>
      </c>
      <c r="K9">
        <v>7</v>
      </c>
    </row>
    <row r="10" spans="1:12" ht="14.4" x14ac:dyDescent="0.25">
      <c r="A10" s="71" t="s">
        <v>387</v>
      </c>
      <c r="B10">
        <v>0.6</v>
      </c>
      <c r="C10">
        <v>1.5</v>
      </c>
      <c r="D10">
        <v>1.5</v>
      </c>
      <c r="E10">
        <v>407</v>
      </c>
      <c r="F10">
        <v>437</v>
      </c>
      <c r="G10">
        <v>407</v>
      </c>
      <c r="H10">
        <v>437</v>
      </c>
      <c r="I10" t="s">
        <v>283</v>
      </c>
      <c r="J10" s="26">
        <v>0.5</v>
      </c>
      <c r="K10">
        <v>7</v>
      </c>
    </row>
    <row r="11" spans="1:12" ht="14.4" x14ac:dyDescent="0.25">
      <c r="A11" s="71" t="s">
        <v>388</v>
      </c>
      <c r="B11">
        <v>0.6</v>
      </c>
      <c r="C11">
        <v>1.1000000000000001</v>
      </c>
      <c r="D11">
        <v>1.1000000000000001</v>
      </c>
      <c r="E11">
        <v>407</v>
      </c>
      <c r="F11">
        <v>407</v>
      </c>
      <c r="G11">
        <v>407</v>
      </c>
      <c r="H11">
        <v>407</v>
      </c>
      <c r="I11" t="s">
        <v>283</v>
      </c>
      <c r="J11" s="26">
        <v>0.5</v>
      </c>
      <c r="K11">
        <v>7</v>
      </c>
    </row>
    <row r="12" spans="1:12" ht="14.4" x14ac:dyDescent="0.25">
      <c r="A12" s="71" t="s">
        <v>389</v>
      </c>
      <c r="B12">
        <v>0.6</v>
      </c>
      <c r="C12">
        <v>1.1000000000000001</v>
      </c>
      <c r="D12">
        <v>1.1000000000000001</v>
      </c>
      <c r="E12">
        <v>407</v>
      </c>
      <c r="F12">
        <v>407</v>
      </c>
      <c r="G12">
        <v>407</v>
      </c>
      <c r="H12">
        <v>407</v>
      </c>
      <c r="I12" t="s">
        <v>283</v>
      </c>
      <c r="J12" s="26">
        <v>0.5</v>
      </c>
      <c r="K12">
        <v>7</v>
      </c>
    </row>
    <row r="13" spans="1:12" ht="14.4" x14ac:dyDescent="0.25">
      <c r="A13" s="71" t="s">
        <v>390</v>
      </c>
      <c r="B13">
        <v>0.6</v>
      </c>
      <c r="C13">
        <v>1.5</v>
      </c>
      <c r="D13">
        <v>1.5</v>
      </c>
      <c r="E13">
        <v>407</v>
      </c>
      <c r="F13">
        <v>437</v>
      </c>
      <c r="G13">
        <v>407</v>
      </c>
      <c r="H13">
        <v>437</v>
      </c>
      <c r="I13" t="s">
        <v>283</v>
      </c>
      <c r="J13" s="26">
        <v>0.5</v>
      </c>
      <c r="K13">
        <v>7</v>
      </c>
    </row>
    <row r="14" spans="1:12" ht="14.4" x14ac:dyDescent="0.25">
      <c r="A14" s="71" t="s">
        <v>391</v>
      </c>
      <c r="C14">
        <v>1.5</v>
      </c>
      <c r="D14">
        <v>1.5</v>
      </c>
      <c r="E14">
        <v>407</v>
      </c>
      <c r="F14">
        <v>437</v>
      </c>
      <c r="G14">
        <v>407</v>
      </c>
      <c r="H14">
        <v>437</v>
      </c>
      <c r="I14" t="s">
        <v>283</v>
      </c>
      <c r="J14" s="26">
        <v>0.5</v>
      </c>
      <c r="K14">
        <v>7</v>
      </c>
    </row>
    <row r="15" spans="1:12" ht="14.4" x14ac:dyDescent="0.25">
      <c r="A15" s="71" t="s">
        <v>392</v>
      </c>
      <c r="C15">
        <v>0.16</v>
      </c>
      <c r="D15">
        <v>0.16</v>
      </c>
      <c r="E15">
        <v>116</v>
      </c>
      <c r="F15" s="71">
        <v>124</v>
      </c>
      <c r="G15" s="71">
        <v>116</v>
      </c>
      <c r="H15" s="71">
        <v>124</v>
      </c>
      <c r="I15" t="s">
        <v>273</v>
      </c>
      <c r="J15" s="26">
        <v>0.06</v>
      </c>
      <c r="K15">
        <v>7</v>
      </c>
    </row>
    <row r="16" spans="1:12" ht="14.4" x14ac:dyDescent="0.25">
      <c r="A16" s="71" t="s">
        <v>393</v>
      </c>
      <c r="C16">
        <v>0.2</v>
      </c>
      <c r="D16">
        <v>0.2</v>
      </c>
      <c r="E16">
        <v>90</v>
      </c>
      <c r="F16" s="71">
        <v>96</v>
      </c>
      <c r="G16" s="71">
        <v>90</v>
      </c>
      <c r="H16" s="71">
        <v>96</v>
      </c>
      <c r="I16" t="s">
        <v>258</v>
      </c>
      <c r="J16" s="26">
        <v>0.06</v>
      </c>
      <c r="K16">
        <v>7</v>
      </c>
    </row>
    <row r="17" spans="1:11" ht="14.4" x14ac:dyDescent="0.25">
      <c r="A17" s="71" t="s">
        <v>394</v>
      </c>
      <c r="C17">
        <v>0.16</v>
      </c>
      <c r="D17">
        <v>0.16</v>
      </c>
      <c r="E17">
        <v>45</v>
      </c>
      <c r="F17" s="71">
        <v>49</v>
      </c>
      <c r="G17" s="71">
        <v>45</v>
      </c>
      <c r="H17" s="71">
        <v>49</v>
      </c>
      <c r="I17" t="s">
        <v>270</v>
      </c>
      <c r="J17" s="26">
        <v>0.06</v>
      </c>
      <c r="K17">
        <v>7</v>
      </c>
    </row>
    <row r="18" spans="1:11" ht="26.4" x14ac:dyDescent="0.25">
      <c r="A18" s="76" t="s">
        <v>3173</v>
      </c>
      <c r="C18">
        <v>0.16</v>
      </c>
      <c r="D18">
        <v>0.16</v>
      </c>
      <c r="E18">
        <v>93</v>
      </c>
      <c r="F18" s="71">
        <v>99</v>
      </c>
      <c r="G18" s="71">
        <v>93</v>
      </c>
      <c r="H18" s="71">
        <v>99</v>
      </c>
      <c r="I18" t="s">
        <v>267</v>
      </c>
      <c r="J18" s="26">
        <v>0.06</v>
      </c>
      <c r="K18">
        <v>7</v>
      </c>
    </row>
    <row r="19" spans="1:11" ht="14.4" x14ac:dyDescent="0.25">
      <c r="A19" s="71" t="s">
        <v>3172</v>
      </c>
      <c r="C19">
        <v>0.16</v>
      </c>
      <c r="D19">
        <v>0.16</v>
      </c>
      <c r="E19">
        <v>176</v>
      </c>
      <c r="F19" s="71">
        <v>188</v>
      </c>
      <c r="G19" s="71">
        <v>176</v>
      </c>
      <c r="H19" s="71">
        <v>188</v>
      </c>
      <c r="I19" t="s">
        <v>267</v>
      </c>
      <c r="J19" s="26">
        <v>0.06</v>
      </c>
      <c r="K19">
        <v>7</v>
      </c>
    </row>
    <row r="20" spans="1:11" ht="14.4" x14ac:dyDescent="0.25">
      <c r="A20" s="71" t="s">
        <v>395</v>
      </c>
      <c r="B20" s="71"/>
      <c r="C20">
        <v>0.16</v>
      </c>
      <c r="D20" s="71">
        <v>0.16</v>
      </c>
      <c r="E20">
        <v>97</v>
      </c>
      <c r="F20" s="71">
        <v>104</v>
      </c>
      <c r="G20" s="71">
        <v>97</v>
      </c>
      <c r="H20" s="71">
        <v>104</v>
      </c>
      <c r="I20" t="s">
        <v>264</v>
      </c>
      <c r="J20" s="26">
        <v>0.06</v>
      </c>
      <c r="K20">
        <v>7</v>
      </c>
    </row>
    <row r="21" spans="1:11" ht="14.4" x14ac:dyDescent="0.25">
      <c r="A21" s="71" t="s">
        <v>396</v>
      </c>
      <c r="B21" s="71"/>
      <c r="C21">
        <v>-1</v>
      </c>
      <c r="D21" s="71">
        <v>-1</v>
      </c>
      <c r="E21">
        <v>0</v>
      </c>
      <c r="F21" s="71">
        <v>0</v>
      </c>
      <c r="G21">
        <v>0</v>
      </c>
      <c r="H21">
        <v>0</v>
      </c>
      <c r="J21" s="26">
        <v>0.06</v>
      </c>
      <c r="K21">
        <v>7</v>
      </c>
    </row>
    <row r="22" spans="1:11" ht="26.4" x14ac:dyDescent="0.25">
      <c r="A22" s="76" t="s">
        <v>3180</v>
      </c>
      <c r="B22" s="71"/>
      <c r="C22">
        <v>-1</v>
      </c>
      <c r="D22" s="71">
        <v>-1</v>
      </c>
      <c r="E22">
        <v>0</v>
      </c>
      <c r="F22" s="71">
        <v>0</v>
      </c>
      <c r="G22">
        <v>0</v>
      </c>
      <c r="H22">
        <v>0</v>
      </c>
      <c r="J22" s="26"/>
    </row>
    <row r="23" spans="1:11" ht="14.4" x14ac:dyDescent="0.25">
      <c r="B23" s="71"/>
      <c r="D23" s="71"/>
      <c r="F23" s="71"/>
      <c r="J23" s="26"/>
    </row>
    <row r="24" spans="1:11" ht="14.4" x14ac:dyDescent="0.25">
      <c r="B24" s="71"/>
      <c r="D24" s="71"/>
      <c r="F24" s="71"/>
      <c r="J24" s="26"/>
    </row>
    <row r="25" spans="1:11" ht="14.4" x14ac:dyDescent="0.25">
      <c r="A25" s="71"/>
      <c r="B25" s="71"/>
      <c r="D25" s="71"/>
      <c r="J25" s="26"/>
    </row>
    <row r="26" spans="1:11" ht="15" thickBot="1" x14ac:dyDescent="0.3">
      <c r="A26" s="71"/>
      <c r="J26" s="26" t="s">
        <v>397</v>
      </c>
    </row>
    <row r="27" spans="1:11" ht="15" thickBot="1" x14ac:dyDescent="0.35">
      <c r="A27" s="7"/>
      <c r="B27" s="7"/>
      <c r="C27" s="308" t="s">
        <v>398</v>
      </c>
      <c r="D27" s="309"/>
      <c r="E27" s="309"/>
      <c r="F27" s="310"/>
      <c r="J27" s="26" t="s">
        <v>373</v>
      </c>
    </row>
    <row r="28" spans="1:11" ht="87" thickBot="1" x14ac:dyDescent="0.3">
      <c r="A28" s="35" t="s">
        <v>399</v>
      </c>
      <c r="B28" s="36" t="s">
        <v>400</v>
      </c>
      <c r="C28" s="36" t="s">
        <v>401</v>
      </c>
      <c r="D28" s="36" t="s">
        <v>402</v>
      </c>
      <c r="E28" s="36" t="s">
        <v>403</v>
      </c>
      <c r="F28" s="37" t="s">
        <v>404</v>
      </c>
    </row>
    <row r="29" spans="1:11" ht="15" thickBot="1" x14ac:dyDescent="0.3">
      <c r="A29" s="38" t="s">
        <v>405</v>
      </c>
      <c r="B29" s="8">
        <v>0</v>
      </c>
      <c r="C29" s="8">
        <v>0</v>
      </c>
      <c r="D29" s="8">
        <v>0</v>
      </c>
      <c r="E29" s="8">
        <v>0</v>
      </c>
      <c r="F29" s="17">
        <v>0</v>
      </c>
    </row>
    <row r="30" spans="1:11" ht="15" thickBot="1" x14ac:dyDescent="0.3">
      <c r="A30" s="10" t="s">
        <v>406</v>
      </c>
      <c r="B30" s="11">
        <v>64.760000000000005</v>
      </c>
      <c r="C30" s="12">
        <v>45</v>
      </c>
      <c r="D30" s="12">
        <v>49</v>
      </c>
      <c r="E30" s="12">
        <v>45</v>
      </c>
      <c r="F30" s="12">
        <v>49</v>
      </c>
    </row>
    <row r="31" spans="1:11" ht="14.4" x14ac:dyDescent="0.25">
      <c r="A31" s="9" t="s">
        <v>407</v>
      </c>
      <c r="B31" s="24">
        <v>132.28</v>
      </c>
      <c r="C31" s="25">
        <v>93</v>
      </c>
      <c r="D31" s="25">
        <v>99</v>
      </c>
      <c r="E31" s="25">
        <v>93</v>
      </c>
      <c r="F31" s="25">
        <v>99</v>
      </c>
    </row>
    <row r="32" spans="1:11" ht="15" thickBot="1" x14ac:dyDescent="0.3">
      <c r="A32" s="10" t="s">
        <v>408</v>
      </c>
      <c r="B32" s="11">
        <v>250.79</v>
      </c>
      <c r="C32" s="12">
        <v>176</v>
      </c>
      <c r="D32" s="12">
        <v>188</v>
      </c>
      <c r="E32" s="12">
        <v>176</v>
      </c>
      <c r="F32" s="12">
        <v>188</v>
      </c>
    </row>
    <row r="33" spans="1:8" ht="15" thickBot="1" x14ac:dyDescent="0.3">
      <c r="A33" s="10" t="s">
        <v>262</v>
      </c>
      <c r="B33" s="11">
        <v>138.19999999999999</v>
      </c>
      <c r="C33" s="12">
        <v>97</v>
      </c>
      <c r="D33" s="12">
        <v>104</v>
      </c>
      <c r="E33" s="12">
        <v>97</v>
      </c>
      <c r="F33" s="12">
        <v>104</v>
      </c>
      <c r="H33" s="39"/>
    </row>
    <row r="34" spans="1:8" ht="15" thickBot="1" x14ac:dyDescent="0.3">
      <c r="A34" s="10" t="s">
        <v>409</v>
      </c>
      <c r="B34" s="11">
        <v>165.71</v>
      </c>
      <c r="C34" s="12">
        <v>116</v>
      </c>
      <c r="D34" s="12">
        <v>124</v>
      </c>
      <c r="E34" s="12">
        <v>116</v>
      </c>
      <c r="F34" s="12">
        <v>124</v>
      </c>
      <c r="H34" s="34"/>
    </row>
    <row r="35" spans="1:8" ht="15" thickBot="1" x14ac:dyDescent="0.3">
      <c r="A35" s="10" t="s">
        <v>410</v>
      </c>
      <c r="B35" s="11">
        <v>128.06</v>
      </c>
      <c r="C35" s="12">
        <v>90</v>
      </c>
      <c r="D35" s="12">
        <v>96</v>
      </c>
      <c r="E35" s="12">
        <v>90</v>
      </c>
      <c r="F35" s="12">
        <v>96</v>
      </c>
    </row>
    <row r="36" spans="1:8" ht="15" thickBot="1" x14ac:dyDescent="0.35">
      <c r="A36" s="10" t="s">
        <v>411</v>
      </c>
      <c r="B36" s="12">
        <v>582.01</v>
      </c>
      <c r="C36" s="12">
        <v>407</v>
      </c>
      <c r="D36" s="12" t="s">
        <v>412</v>
      </c>
      <c r="E36" s="13">
        <v>407</v>
      </c>
      <c r="F36" s="13">
        <v>437</v>
      </c>
    </row>
    <row r="37" spans="1:8" ht="13.8" x14ac:dyDescent="0.25">
      <c r="A37" s="14" t="s">
        <v>413</v>
      </c>
    </row>
    <row r="38" spans="1:8" ht="13.8" x14ac:dyDescent="0.25">
      <c r="A38" s="14" t="s">
        <v>414</v>
      </c>
    </row>
    <row r="42" spans="1:8" ht="15" thickBot="1" x14ac:dyDescent="0.3">
      <c r="A42" s="15" t="s">
        <v>415</v>
      </c>
    </row>
    <row r="43" spans="1:8" ht="43.8" thickBot="1" x14ac:dyDescent="0.3">
      <c r="A43" s="16" t="s">
        <v>287</v>
      </c>
      <c r="B43" s="17" t="s">
        <v>416</v>
      </c>
      <c r="C43" s="17" t="s">
        <v>417</v>
      </c>
    </row>
    <row r="44" spans="1:8" ht="15" thickBot="1" x14ac:dyDescent="0.3">
      <c r="A44" s="18" t="s">
        <v>288</v>
      </c>
      <c r="B44" s="11">
        <v>1600</v>
      </c>
      <c r="C44" s="12">
        <v>1120</v>
      </c>
    </row>
    <row r="45" spans="1:8" ht="15" thickBot="1" x14ac:dyDescent="0.3">
      <c r="A45" s="18" t="s">
        <v>289</v>
      </c>
      <c r="B45" s="11">
        <v>1900</v>
      </c>
      <c r="C45" s="12">
        <v>1330</v>
      </c>
    </row>
    <row r="46" spans="1:8" ht="15" thickBot="1" x14ac:dyDescent="0.3">
      <c r="A46" s="18" t="s">
        <v>290</v>
      </c>
      <c r="B46" s="11">
        <v>3850</v>
      </c>
      <c r="C46" s="12">
        <v>2695</v>
      </c>
    </row>
    <row r="47" spans="1:8" ht="15" thickBot="1" x14ac:dyDescent="0.3">
      <c r="A47" s="18" t="s">
        <v>291</v>
      </c>
      <c r="B47" s="11">
        <v>4050</v>
      </c>
      <c r="C47" s="12">
        <v>2835</v>
      </c>
    </row>
    <row r="48" spans="1:8" ht="15" thickBot="1" x14ac:dyDescent="0.3">
      <c r="A48" s="18" t="s">
        <v>292</v>
      </c>
      <c r="B48" s="11">
        <v>4300</v>
      </c>
      <c r="C48" s="12">
        <v>3010</v>
      </c>
    </row>
    <row r="49" spans="1:3" ht="15" thickBot="1" x14ac:dyDescent="0.3">
      <c r="A49" s="18" t="s">
        <v>293</v>
      </c>
      <c r="B49" s="11">
        <v>4900</v>
      </c>
      <c r="C49" s="12">
        <v>3430</v>
      </c>
    </row>
    <row r="50" spans="1:3" ht="15" thickBot="1" x14ac:dyDescent="0.3">
      <c r="A50" s="18" t="s">
        <v>294</v>
      </c>
      <c r="B50" s="11">
        <v>5800</v>
      </c>
      <c r="C50" s="12">
        <v>4060</v>
      </c>
    </row>
    <row r="53" spans="1:3" ht="15" thickBot="1" x14ac:dyDescent="0.3">
      <c r="A53" s="15" t="s">
        <v>418</v>
      </c>
    </row>
    <row r="54" spans="1:3" ht="43.8" thickBot="1" x14ac:dyDescent="0.3">
      <c r="A54" s="19" t="s">
        <v>287</v>
      </c>
      <c r="B54" s="20" t="s">
        <v>416</v>
      </c>
      <c r="C54" s="8" t="s">
        <v>417</v>
      </c>
    </row>
    <row r="55" spans="1:3" ht="15" thickBot="1" x14ac:dyDescent="0.3">
      <c r="A55" s="21" t="s">
        <v>288</v>
      </c>
      <c r="B55" s="22">
        <v>15000</v>
      </c>
      <c r="C55" s="23">
        <v>10500</v>
      </c>
    </row>
    <row r="56" spans="1:3" ht="15" thickBot="1" x14ac:dyDescent="0.3">
      <c r="A56" s="21" t="s">
        <v>289</v>
      </c>
      <c r="B56" s="22">
        <v>17200</v>
      </c>
      <c r="C56" s="23">
        <v>12040</v>
      </c>
    </row>
    <row r="57" spans="1:3" ht="15" thickBot="1" x14ac:dyDescent="0.3">
      <c r="A57" s="21" t="s">
        <v>290</v>
      </c>
      <c r="B57" s="22">
        <v>22200</v>
      </c>
      <c r="C57" s="23">
        <v>15540</v>
      </c>
    </row>
    <row r="58" spans="1:3" ht="15" thickBot="1" x14ac:dyDescent="0.3">
      <c r="A58" s="21" t="s">
        <v>291</v>
      </c>
      <c r="B58" s="22">
        <v>30750</v>
      </c>
      <c r="C58" s="23">
        <v>21525</v>
      </c>
    </row>
    <row r="59" spans="1:3" ht="15" thickBot="1" x14ac:dyDescent="0.3">
      <c r="A59" s="21" t="s">
        <v>292</v>
      </c>
      <c r="B59" s="22">
        <v>61800</v>
      </c>
      <c r="C59" s="23">
        <v>43260</v>
      </c>
    </row>
    <row r="60" spans="1:3" ht="15" thickBot="1" x14ac:dyDescent="0.3">
      <c r="A60" s="21" t="s">
        <v>293</v>
      </c>
      <c r="B60" s="22">
        <v>72000</v>
      </c>
      <c r="C60" s="23">
        <v>50400</v>
      </c>
    </row>
    <row r="61" spans="1:3" ht="15" thickBot="1" x14ac:dyDescent="0.3">
      <c r="A61" s="21" t="s">
        <v>294</v>
      </c>
      <c r="B61" s="22">
        <v>92250</v>
      </c>
      <c r="C61" s="23">
        <v>64575</v>
      </c>
    </row>
  </sheetData>
  <sheetProtection algorithmName="SHA-512" hashValue="Gqfe9lnqfr2RhrC2z13TonnAr9H8+EvIEnTl7f/UO5GXwDF8OU4Ou0NmOqcpDqGycjLoFoLdAdqT13NK+vy3xw==" saltValue="bT/ScJHlLWJHhmYiBBhEuw==" spinCount="100000" sheet="1" selectLockedCells="1" selectUnlockedCells="1"/>
  <mergeCells count="1">
    <mergeCell ref="C27:F27"/>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theme="7"/>
  </sheetPr>
  <dimension ref="A1:H5572"/>
  <sheetViews>
    <sheetView workbookViewId="0">
      <selection activeCell="F1" sqref="F1"/>
    </sheetView>
  </sheetViews>
  <sheetFormatPr baseColWidth="10" defaultColWidth="11.44140625" defaultRowHeight="13.2" x14ac:dyDescent="0.25"/>
  <cols>
    <col min="8" max="8" width="11.44140625" style="6" customWidth="1"/>
  </cols>
  <sheetData>
    <row r="1" spans="1:5" x14ac:dyDescent="0.25">
      <c r="A1" t="s">
        <v>4</v>
      </c>
      <c r="B1" s="3" t="s">
        <v>419</v>
      </c>
      <c r="D1" t="s">
        <v>420</v>
      </c>
      <c r="E1">
        <v>1747</v>
      </c>
    </row>
    <row r="2" spans="1:5" x14ac:dyDescent="0.25">
      <c r="A2" t="s">
        <v>421</v>
      </c>
      <c r="B2" s="6">
        <v>2087</v>
      </c>
      <c r="C2">
        <v>-8</v>
      </c>
    </row>
    <row r="3" spans="1:5" x14ac:dyDescent="0.25">
      <c r="A3" t="s">
        <v>422</v>
      </c>
      <c r="B3" s="6">
        <v>1988.9109999999998</v>
      </c>
      <c r="C3">
        <v>-8</v>
      </c>
    </row>
    <row r="4" spans="1:5" x14ac:dyDescent="0.25">
      <c r="A4" t="s">
        <v>423</v>
      </c>
      <c r="B4" s="6">
        <v>2087</v>
      </c>
      <c r="C4">
        <v>-8</v>
      </c>
    </row>
    <row r="5" spans="1:5" x14ac:dyDescent="0.25">
      <c r="A5" t="s">
        <v>423</v>
      </c>
      <c r="B5" s="6">
        <v>2087</v>
      </c>
      <c r="C5">
        <v>-8</v>
      </c>
    </row>
    <row r="6" spans="1:5" x14ac:dyDescent="0.25">
      <c r="A6" t="s">
        <v>424</v>
      </c>
      <c r="B6" s="6">
        <v>1988.9109999999998</v>
      </c>
      <c r="C6">
        <v>-8</v>
      </c>
    </row>
    <row r="7" spans="1:5" x14ac:dyDescent="0.25">
      <c r="A7" t="s">
        <v>425</v>
      </c>
      <c r="B7" s="6">
        <v>2087</v>
      </c>
      <c r="C7">
        <v>-8</v>
      </c>
    </row>
    <row r="8" spans="1:5" x14ac:dyDescent="0.25">
      <c r="A8" t="s">
        <v>426</v>
      </c>
      <c r="B8" s="6">
        <v>1988.9109999999998</v>
      </c>
      <c r="C8">
        <v>-8</v>
      </c>
    </row>
    <row r="9" spans="1:5" x14ac:dyDescent="0.25">
      <c r="A9" t="s">
        <v>427</v>
      </c>
      <c r="B9" s="6">
        <v>1988.9109999999998</v>
      </c>
      <c r="C9">
        <v>-8</v>
      </c>
    </row>
    <row r="10" spans="1:5" x14ac:dyDescent="0.25">
      <c r="A10" t="s">
        <v>428</v>
      </c>
      <c r="B10" s="6">
        <v>1988.9109999999998</v>
      </c>
      <c r="C10">
        <v>-8</v>
      </c>
    </row>
    <row r="11" spans="1:5" x14ac:dyDescent="0.25">
      <c r="A11" t="s">
        <v>429</v>
      </c>
      <c r="B11" s="6">
        <v>2281.0909999999999</v>
      </c>
      <c r="C11">
        <v>-10</v>
      </c>
    </row>
    <row r="12" spans="1:5" x14ac:dyDescent="0.25">
      <c r="A12" t="s">
        <v>430</v>
      </c>
      <c r="B12" s="6">
        <v>2087</v>
      </c>
      <c r="C12">
        <v>-9</v>
      </c>
    </row>
    <row r="13" spans="1:5" x14ac:dyDescent="0.25">
      <c r="A13" t="s">
        <v>431</v>
      </c>
      <c r="B13" s="6">
        <v>2185.0889999999999</v>
      </c>
      <c r="C13">
        <v>-9</v>
      </c>
    </row>
    <row r="14" spans="1:5" x14ac:dyDescent="0.25">
      <c r="A14" t="s">
        <v>432</v>
      </c>
      <c r="B14" s="6">
        <v>2281.0909999999999</v>
      </c>
      <c r="C14">
        <v>-10</v>
      </c>
    </row>
    <row r="15" spans="1:5" x14ac:dyDescent="0.25">
      <c r="A15" t="s">
        <v>433</v>
      </c>
      <c r="B15" s="6">
        <v>2281.0909999999999</v>
      </c>
      <c r="C15">
        <v>-10</v>
      </c>
    </row>
    <row r="16" spans="1:5" x14ac:dyDescent="0.25">
      <c r="A16" t="s">
        <v>434</v>
      </c>
      <c r="B16" s="6">
        <v>2185.0889999999999</v>
      </c>
      <c r="C16">
        <v>-9</v>
      </c>
    </row>
    <row r="17" spans="1:3" x14ac:dyDescent="0.25">
      <c r="A17" t="s">
        <v>435</v>
      </c>
      <c r="B17" s="6">
        <v>2281.0909999999999</v>
      </c>
      <c r="C17">
        <v>-9</v>
      </c>
    </row>
    <row r="18" spans="1:3" x14ac:dyDescent="0.25">
      <c r="A18" t="s">
        <v>436</v>
      </c>
      <c r="B18" s="6">
        <v>1988.9109999999998</v>
      </c>
      <c r="C18">
        <v>-8</v>
      </c>
    </row>
    <row r="19" spans="1:3" x14ac:dyDescent="0.25">
      <c r="A19" t="s">
        <v>437</v>
      </c>
      <c r="B19" s="6">
        <v>1892.9090000000001</v>
      </c>
      <c r="C19">
        <v>-7</v>
      </c>
    </row>
    <row r="20" spans="1:3" x14ac:dyDescent="0.25">
      <c r="A20" t="s">
        <v>438</v>
      </c>
      <c r="B20" s="6">
        <v>2087</v>
      </c>
      <c r="C20">
        <v>-8</v>
      </c>
    </row>
    <row r="21" spans="1:3" x14ac:dyDescent="0.25">
      <c r="A21" t="s">
        <v>439</v>
      </c>
      <c r="B21" s="6">
        <v>1988.9109999999998</v>
      </c>
      <c r="C21">
        <v>-8</v>
      </c>
    </row>
    <row r="22" spans="1:3" x14ac:dyDescent="0.25">
      <c r="A22" t="s">
        <v>440</v>
      </c>
      <c r="B22" s="6">
        <v>2379.1800000000003</v>
      </c>
      <c r="C22">
        <v>-10</v>
      </c>
    </row>
    <row r="23" spans="1:3" x14ac:dyDescent="0.25">
      <c r="A23" t="s">
        <v>441</v>
      </c>
      <c r="B23" s="6">
        <v>2185.0889999999999</v>
      </c>
      <c r="C23">
        <v>-9</v>
      </c>
    </row>
    <row r="24" spans="1:3" x14ac:dyDescent="0.25">
      <c r="A24" t="s">
        <v>442</v>
      </c>
      <c r="B24" s="6">
        <v>2185.0889999999999</v>
      </c>
      <c r="C24">
        <v>-9</v>
      </c>
    </row>
    <row r="25" spans="1:3" x14ac:dyDescent="0.25">
      <c r="A25" t="s">
        <v>443</v>
      </c>
      <c r="B25" s="6">
        <v>2281.0909999999999</v>
      </c>
      <c r="C25">
        <v>-9</v>
      </c>
    </row>
    <row r="26" spans="1:3" x14ac:dyDescent="0.25">
      <c r="A26" t="s">
        <v>444</v>
      </c>
      <c r="B26" s="6">
        <v>2281.0909999999999</v>
      </c>
      <c r="C26">
        <v>-9</v>
      </c>
    </row>
    <row r="27" spans="1:3" x14ac:dyDescent="0.25">
      <c r="A27" t="s">
        <v>445</v>
      </c>
      <c r="B27" s="6">
        <v>2281.0909999999999</v>
      </c>
      <c r="C27">
        <v>-9</v>
      </c>
    </row>
    <row r="28" spans="1:3" x14ac:dyDescent="0.25">
      <c r="A28" t="s">
        <v>446</v>
      </c>
      <c r="B28" s="6">
        <v>2087</v>
      </c>
      <c r="C28">
        <v>-8</v>
      </c>
    </row>
    <row r="29" spans="1:3" x14ac:dyDescent="0.25">
      <c r="A29" t="s">
        <v>447</v>
      </c>
      <c r="B29" s="6">
        <v>2790.319</v>
      </c>
      <c r="C29">
        <v>-11</v>
      </c>
    </row>
    <row r="30" spans="1:3" x14ac:dyDescent="0.25">
      <c r="A30" t="s">
        <v>448</v>
      </c>
      <c r="B30" s="6">
        <v>2185.0889999999999</v>
      </c>
      <c r="C30">
        <v>-9</v>
      </c>
    </row>
    <row r="31" spans="1:3" x14ac:dyDescent="0.25">
      <c r="A31" t="s">
        <v>449</v>
      </c>
      <c r="B31" s="6">
        <v>2087</v>
      </c>
      <c r="C31">
        <v>-8</v>
      </c>
    </row>
    <row r="32" spans="1:3" x14ac:dyDescent="0.25">
      <c r="A32" t="s">
        <v>450</v>
      </c>
      <c r="B32" s="6">
        <v>1892.9090000000001</v>
      </c>
      <c r="C32">
        <v>-8</v>
      </c>
    </row>
    <row r="33" spans="1:3" x14ac:dyDescent="0.25">
      <c r="A33" t="s">
        <v>451</v>
      </c>
      <c r="B33" s="6">
        <v>2281.0909999999999</v>
      </c>
      <c r="C33">
        <v>-9</v>
      </c>
    </row>
    <row r="34" spans="1:3" x14ac:dyDescent="0.25">
      <c r="A34" t="s">
        <v>452</v>
      </c>
      <c r="B34" s="6">
        <v>2548.2270000000003</v>
      </c>
      <c r="C34">
        <v>-11</v>
      </c>
    </row>
    <row r="35" spans="1:3" x14ac:dyDescent="0.25">
      <c r="A35" t="s">
        <v>453</v>
      </c>
      <c r="B35" s="6">
        <v>2379.1800000000003</v>
      </c>
      <c r="C35">
        <v>-10</v>
      </c>
    </row>
    <row r="36" spans="1:3" x14ac:dyDescent="0.25">
      <c r="A36" t="s">
        <v>454</v>
      </c>
      <c r="B36" s="6">
        <v>2185.0889999999999</v>
      </c>
      <c r="C36">
        <v>-9</v>
      </c>
    </row>
    <row r="37" spans="1:3" x14ac:dyDescent="0.25">
      <c r="A37" t="s">
        <v>455</v>
      </c>
      <c r="B37" s="6">
        <v>2961.453</v>
      </c>
      <c r="C37">
        <v>-11</v>
      </c>
    </row>
    <row r="38" spans="1:3" x14ac:dyDescent="0.25">
      <c r="A38" t="s">
        <v>456</v>
      </c>
      <c r="B38" s="6">
        <v>2379.1800000000003</v>
      </c>
      <c r="C38">
        <v>-10</v>
      </c>
    </row>
    <row r="39" spans="1:3" x14ac:dyDescent="0.25">
      <c r="A39" t="s">
        <v>457</v>
      </c>
      <c r="B39" s="6">
        <v>2087</v>
      </c>
      <c r="C39">
        <v>-8</v>
      </c>
    </row>
    <row r="40" spans="1:3" x14ac:dyDescent="0.25">
      <c r="A40" t="s">
        <v>458</v>
      </c>
      <c r="B40" s="6">
        <v>2281.0909999999999</v>
      </c>
      <c r="C40">
        <v>-9</v>
      </c>
    </row>
    <row r="41" spans="1:3" x14ac:dyDescent="0.25">
      <c r="A41" t="s">
        <v>459</v>
      </c>
      <c r="B41" s="6">
        <v>2281.0909999999999</v>
      </c>
      <c r="C41">
        <v>-9</v>
      </c>
    </row>
    <row r="42" spans="1:3" x14ac:dyDescent="0.25">
      <c r="A42" t="s">
        <v>460</v>
      </c>
      <c r="B42" s="6">
        <v>2087</v>
      </c>
      <c r="C42">
        <v>-8</v>
      </c>
    </row>
    <row r="43" spans="1:3" x14ac:dyDescent="0.25">
      <c r="A43" t="s">
        <v>461</v>
      </c>
      <c r="B43" s="6">
        <v>2185.0889999999999</v>
      </c>
      <c r="C43">
        <v>-9</v>
      </c>
    </row>
    <row r="44" spans="1:3" x14ac:dyDescent="0.25">
      <c r="A44" t="s">
        <v>462</v>
      </c>
      <c r="B44" s="6">
        <v>2379.1800000000003</v>
      </c>
      <c r="C44">
        <v>-10</v>
      </c>
    </row>
    <row r="45" spans="1:3" x14ac:dyDescent="0.25">
      <c r="A45" t="s">
        <v>463</v>
      </c>
      <c r="B45" s="6">
        <v>2281.0909999999999</v>
      </c>
      <c r="C45">
        <v>-9</v>
      </c>
    </row>
    <row r="46" spans="1:3" x14ac:dyDescent="0.25">
      <c r="A46" t="s">
        <v>464</v>
      </c>
      <c r="B46" s="6">
        <v>2087</v>
      </c>
      <c r="C46">
        <v>-8</v>
      </c>
    </row>
    <row r="47" spans="1:3" x14ac:dyDescent="0.25">
      <c r="A47" t="s">
        <v>465</v>
      </c>
      <c r="B47" s="6">
        <v>2087</v>
      </c>
      <c r="C47">
        <v>-8</v>
      </c>
    </row>
    <row r="48" spans="1:3" x14ac:dyDescent="0.25">
      <c r="A48" t="s">
        <v>466</v>
      </c>
      <c r="B48" s="6">
        <v>2281.0909999999999</v>
      </c>
      <c r="C48">
        <v>-10</v>
      </c>
    </row>
    <row r="49" spans="1:3" x14ac:dyDescent="0.25">
      <c r="A49" t="s">
        <v>467</v>
      </c>
      <c r="B49" s="6">
        <v>2790.319</v>
      </c>
      <c r="C49">
        <v>-11</v>
      </c>
    </row>
    <row r="50" spans="1:3" x14ac:dyDescent="0.25">
      <c r="A50" t="s">
        <v>468</v>
      </c>
      <c r="B50" s="6">
        <v>2790.319</v>
      </c>
      <c r="C50">
        <v>-11</v>
      </c>
    </row>
    <row r="51" spans="1:3" x14ac:dyDescent="0.25">
      <c r="A51" t="s">
        <v>469</v>
      </c>
      <c r="B51" s="6">
        <v>2281.0909999999999</v>
      </c>
      <c r="C51">
        <v>-10</v>
      </c>
    </row>
    <row r="52" spans="1:3" x14ac:dyDescent="0.25">
      <c r="A52" t="s">
        <v>470</v>
      </c>
      <c r="B52" s="6">
        <v>2185.0889999999999</v>
      </c>
      <c r="C52">
        <v>-9</v>
      </c>
    </row>
    <row r="53" spans="1:3" x14ac:dyDescent="0.25">
      <c r="A53" t="s">
        <v>471</v>
      </c>
      <c r="B53" s="6">
        <v>2281.0909999999999</v>
      </c>
      <c r="C53">
        <v>-10</v>
      </c>
    </row>
    <row r="54" spans="1:3" x14ac:dyDescent="0.25">
      <c r="A54" t="s">
        <v>472</v>
      </c>
      <c r="B54" s="6">
        <v>2087</v>
      </c>
      <c r="C54">
        <v>-8</v>
      </c>
    </row>
    <row r="55" spans="1:3" x14ac:dyDescent="0.25">
      <c r="A55" t="s">
        <v>473</v>
      </c>
      <c r="B55" s="6">
        <v>2281.0909999999999</v>
      </c>
      <c r="C55">
        <v>-10</v>
      </c>
    </row>
    <row r="56" spans="1:3" x14ac:dyDescent="0.25">
      <c r="A56" t="s">
        <v>474</v>
      </c>
      <c r="B56" s="6">
        <v>2185.0889999999999</v>
      </c>
      <c r="C56">
        <v>-9</v>
      </c>
    </row>
    <row r="57" spans="1:3" x14ac:dyDescent="0.25">
      <c r="A57" t="s">
        <v>475</v>
      </c>
      <c r="B57" s="6">
        <v>2281.0909999999999</v>
      </c>
      <c r="C57">
        <v>-9</v>
      </c>
    </row>
    <row r="58" spans="1:3" x14ac:dyDescent="0.25">
      <c r="A58" t="s">
        <v>476</v>
      </c>
      <c r="B58" s="6">
        <v>2087</v>
      </c>
      <c r="C58">
        <v>-8</v>
      </c>
    </row>
    <row r="59" spans="1:3" x14ac:dyDescent="0.25">
      <c r="A59" t="s">
        <v>477</v>
      </c>
      <c r="B59" s="6">
        <v>1988.9109999999998</v>
      </c>
      <c r="C59">
        <v>-8</v>
      </c>
    </row>
    <row r="60" spans="1:3" x14ac:dyDescent="0.25">
      <c r="A60" t="s">
        <v>478</v>
      </c>
      <c r="B60" s="6">
        <v>2087</v>
      </c>
      <c r="C60">
        <v>-8</v>
      </c>
    </row>
    <row r="61" spans="1:3" x14ac:dyDescent="0.25">
      <c r="A61" t="s">
        <v>479</v>
      </c>
      <c r="B61" s="6">
        <v>1988.9109999999998</v>
      </c>
      <c r="C61">
        <v>-8</v>
      </c>
    </row>
    <row r="62" spans="1:3" x14ac:dyDescent="0.25">
      <c r="A62" t="s">
        <v>480</v>
      </c>
      <c r="B62" s="6">
        <v>1988.9109999999998</v>
      </c>
      <c r="C62">
        <v>-8</v>
      </c>
    </row>
    <row r="63" spans="1:3" x14ac:dyDescent="0.25">
      <c r="A63" t="s">
        <v>481</v>
      </c>
      <c r="B63" s="6">
        <v>2087</v>
      </c>
      <c r="C63">
        <v>-8</v>
      </c>
    </row>
    <row r="64" spans="1:3" x14ac:dyDescent="0.25">
      <c r="A64" t="s">
        <v>482</v>
      </c>
      <c r="B64" s="6">
        <v>2087</v>
      </c>
      <c r="C64">
        <v>-8</v>
      </c>
    </row>
    <row r="65" spans="1:3" x14ac:dyDescent="0.25">
      <c r="A65" t="s">
        <v>482</v>
      </c>
      <c r="B65" s="6">
        <v>2281.0909999999999</v>
      </c>
      <c r="C65">
        <v>-9</v>
      </c>
    </row>
    <row r="66" spans="1:3" x14ac:dyDescent="0.25">
      <c r="A66" t="s">
        <v>483</v>
      </c>
      <c r="B66" s="6">
        <v>2548.2270000000003</v>
      </c>
      <c r="C66">
        <v>-11</v>
      </c>
    </row>
    <row r="67" spans="1:3" x14ac:dyDescent="0.25">
      <c r="A67" t="s">
        <v>484</v>
      </c>
      <c r="B67" s="6">
        <v>2087</v>
      </c>
      <c r="C67">
        <v>-8</v>
      </c>
    </row>
    <row r="68" spans="1:3" x14ac:dyDescent="0.25">
      <c r="A68" t="s">
        <v>485</v>
      </c>
      <c r="B68" s="6">
        <v>2087</v>
      </c>
      <c r="C68">
        <v>-8</v>
      </c>
    </row>
    <row r="69" spans="1:3" x14ac:dyDescent="0.25">
      <c r="A69" t="s">
        <v>486</v>
      </c>
      <c r="B69" s="6">
        <v>2087</v>
      </c>
      <c r="C69">
        <v>-8</v>
      </c>
    </row>
    <row r="70" spans="1:3" x14ac:dyDescent="0.25">
      <c r="A70" t="s">
        <v>487</v>
      </c>
      <c r="B70" s="6">
        <v>1988.9109999999998</v>
      </c>
      <c r="C70">
        <v>-8</v>
      </c>
    </row>
    <row r="71" spans="1:3" x14ac:dyDescent="0.25">
      <c r="A71" t="s">
        <v>488</v>
      </c>
      <c r="B71" s="6">
        <v>2185.0889999999999</v>
      </c>
      <c r="C71">
        <v>-9</v>
      </c>
    </row>
    <row r="72" spans="1:3" x14ac:dyDescent="0.25">
      <c r="A72" t="s">
        <v>489</v>
      </c>
      <c r="B72" s="6">
        <v>2281.0909999999999</v>
      </c>
      <c r="C72">
        <v>-9</v>
      </c>
    </row>
    <row r="73" spans="1:3" x14ac:dyDescent="0.25">
      <c r="A73" t="s">
        <v>490</v>
      </c>
      <c r="B73" s="6">
        <v>2548.2270000000003</v>
      </c>
      <c r="C73">
        <v>-11</v>
      </c>
    </row>
    <row r="74" spans="1:3" x14ac:dyDescent="0.25">
      <c r="A74" t="s">
        <v>491</v>
      </c>
      <c r="B74" s="6">
        <v>2087</v>
      </c>
      <c r="C74">
        <v>-9</v>
      </c>
    </row>
    <row r="75" spans="1:3" x14ac:dyDescent="0.25">
      <c r="A75" t="s">
        <v>492</v>
      </c>
      <c r="B75" s="6">
        <v>2185.0889999999999</v>
      </c>
      <c r="C75">
        <v>-9</v>
      </c>
    </row>
    <row r="76" spans="1:3" x14ac:dyDescent="0.25">
      <c r="A76" t="s">
        <v>493</v>
      </c>
      <c r="B76" s="6">
        <v>2548.2270000000003</v>
      </c>
      <c r="C76">
        <v>-10</v>
      </c>
    </row>
    <row r="77" spans="1:3" x14ac:dyDescent="0.25">
      <c r="A77" t="s">
        <v>494</v>
      </c>
      <c r="B77" s="6">
        <v>2087</v>
      </c>
      <c r="C77">
        <v>-9</v>
      </c>
    </row>
    <row r="78" spans="1:3" x14ac:dyDescent="0.25">
      <c r="A78" t="s">
        <v>495</v>
      </c>
      <c r="B78" s="6">
        <v>2087</v>
      </c>
      <c r="C78">
        <v>-8</v>
      </c>
    </row>
    <row r="79" spans="1:3" x14ac:dyDescent="0.25">
      <c r="A79" t="s">
        <v>496</v>
      </c>
      <c r="B79" s="6">
        <v>1988.9109999999998</v>
      </c>
      <c r="C79">
        <v>-8</v>
      </c>
    </row>
    <row r="80" spans="1:3" x14ac:dyDescent="0.25">
      <c r="A80" t="s">
        <v>497</v>
      </c>
      <c r="B80" s="6">
        <v>2185.0889999999999</v>
      </c>
      <c r="C80">
        <v>-8</v>
      </c>
    </row>
    <row r="81" spans="1:3" x14ac:dyDescent="0.25">
      <c r="A81" t="s">
        <v>498</v>
      </c>
      <c r="B81" s="6">
        <v>2087</v>
      </c>
      <c r="C81">
        <v>-8</v>
      </c>
    </row>
    <row r="82" spans="1:3" x14ac:dyDescent="0.25">
      <c r="A82" t="s">
        <v>499</v>
      </c>
      <c r="B82" s="6">
        <v>1988.9109999999998</v>
      </c>
      <c r="C82">
        <v>-8</v>
      </c>
    </row>
    <row r="83" spans="1:3" x14ac:dyDescent="0.25">
      <c r="A83" t="s">
        <v>500</v>
      </c>
      <c r="B83" s="6">
        <v>1988.9109999999998</v>
      </c>
      <c r="C83">
        <v>-8</v>
      </c>
    </row>
    <row r="84" spans="1:3" x14ac:dyDescent="0.25">
      <c r="A84" t="s">
        <v>501</v>
      </c>
      <c r="B84" s="6">
        <v>2790.319</v>
      </c>
      <c r="C84">
        <v>-11</v>
      </c>
    </row>
    <row r="85" spans="1:3" x14ac:dyDescent="0.25">
      <c r="A85" t="s">
        <v>502</v>
      </c>
      <c r="B85" s="6">
        <v>2087</v>
      </c>
      <c r="C85">
        <v>-9</v>
      </c>
    </row>
    <row r="86" spans="1:3" x14ac:dyDescent="0.25">
      <c r="A86" t="s">
        <v>503</v>
      </c>
      <c r="B86" s="6">
        <v>2281.0909999999999</v>
      </c>
      <c r="C86">
        <v>-10</v>
      </c>
    </row>
    <row r="87" spans="1:3" x14ac:dyDescent="0.25">
      <c r="A87" t="s">
        <v>504</v>
      </c>
      <c r="B87" s="6">
        <v>2087</v>
      </c>
      <c r="C87">
        <v>-8</v>
      </c>
    </row>
    <row r="88" spans="1:3" x14ac:dyDescent="0.25">
      <c r="A88" t="s">
        <v>505</v>
      </c>
      <c r="B88" s="6">
        <v>2087</v>
      </c>
      <c r="C88">
        <v>-8</v>
      </c>
    </row>
    <row r="89" spans="1:3" x14ac:dyDescent="0.25">
      <c r="A89" t="s">
        <v>506</v>
      </c>
      <c r="B89" s="6">
        <v>2185.0889999999999</v>
      </c>
      <c r="C89">
        <v>-8</v>
      </c>
    </row>
    <row r="90" spans="1:3" x14ac:dyDescent="0.25">
      <c r="A90" t="s">
        <v>507</v>
      </c>
      <c r="B90" s="6">
        <v>2379.1800000000003</v>
      </c>
      <c r="C90">
        <v>-10</v>
      </c>
    </row>
    <row r="91" spans="1:3" x14ac:dyDescent="0.25">
      <c r="A91" t="s">
        <v>508</v>
      </c>
      <c r="B91" s="6">
        <v>2087</v>
      </c>
      <c r="C91">
        <v>-8</v>
      </c>
    </row>
    <row r="92" spans="1:3" x14ac:dyDescent="0.25">
      <c r="A92" t="s">
        <v>509</v>
      </c>
      <c r="B92" s="6">
        <v>2087</v>
      </c>
      <c r="C92">
        <v>-8</v>
      </c>
    </row>
    <row r="93" spans="1:3" x14ac:dyDescent="0.25">
      <c r="A93" t="s">
        <v>510</v>
      </c>
      <c r="B93" s="6">
        <v>2548.2270000000003</v>
      </c>
      <c r="C93">
        <v>-11</v>
      </c>
    </row>
    <row r="94" spans="1:3" x14ac:dyDescent="0.25">
      <c r="A94" t="s">
        <v>511</v>
      </c>
      <c r="B94" s="6">
        <v>2087</v>
      </c>
      <c r="C94">
        <v>-8</v>
      </c>
    </row>
    <row r="95" spans="1:3" x14ac:dyDescent="0.25">
      <c r="A95" t="s">
        <v>512</v>
      </c>
      <c r="B95" s="6">
        <v>2379.1800000000003</v>
      </c>
      <c r="C95">
        <v>-10</v>
      </c>
    </row>
    <row r="96" spans="1:3" x14ac:dyDescent="0.25">
      <c r="A96" t="s">
        <v>513</v>
      </c>
      <c r="B96" s="6">
        <v>2087</v>
      </c>
      <c r="C96">
        <v>-8</v>
      </c>
    </row>
    <row r="97" spans="1:3" x14ac:dyDescent="0.25">
      <c r="A97" t="s">
        <v>514</v>
      </c>
      <c r="B97" s="6">
        <v>2281.0909999999999</v>
      </c>
      <c r="C97">
        <v>-10</v>
      </c>
    </row>
    <row r="98" spans="1:3" x14ac:dyDescent="0.25">
      <c r="A98" t="s">
        <v>515</v>
      </c>
      <c r="B98" s="6">
        <v>2379.1800000000003</v>
      </c>
      <c r="C98">
        <v>-10</v>
      </c>
    </row>
    <row r="99" spans="1:3" x14ac:dyDescent="0.25">
      <c r="A99" t="s">
        <v>516</v>
      </c>
      <c r="B99" s="6">
        <v>2790.319</v>
      </c>
      <c r="C99">
        <v>-11</v>
      </c>
    </row>
    <row r="100" spans="1:3" x14ac:dyDescent="0.25">
      <c r="A100" t="s">
        <v>517</v>
      </c>
      <c r="B100" s="6">
        <v>2087</v>
      </c>
      <c r="C100">
        <v>-8</v>
      </c>
    </row>
    <row r="101" spans="1:3" x14ac:dyDescent="0.25">
      <c r="A101" t="s">
        <v>518</v>
      </c>
      <c r="B101" s="6">
        <v>2087</v>
      </c>
      <c r="C101">
        <v>-8</v>
      </c>
    </row>
    <row r="102" spans="1:3" x14ac:dyDescent="0.25">
      <c r="A102" t="s">
        <v>519</v>
      </c>
      <c r="B102" s="6">
        <v>2185.0889999999999</v>
      </c>
      <c r="C102">
        <v>-9</v>
      </c>
    </row>
    <row r="103" spans="1:3" x14ac:dyDescent="0.25">
      <c r="A103" t="s">
        <v>520</v>
      </c>
      <c r="B103" s="6">
        <v>2548.2270000000003</v>
      </c>
      <c r="C103">
        <v>-11</v>
      </c>
    </row>
    <row r="104" spans="1:3" x14ac:dyDescent="0.25">
      <c r="A104" t="s">
        <v>521</v>
      </c>
      <c r="B104" s="6">
        <v>2087</v>
      </c>
      <c r="C104">
        <v>-8</v>
      </c>
    </row>
    <row r="105" spans="1:3" x14ac:dyDescent="0.25">
      <c r="A105" t="s">
        <v>522</v>
      </c>
      <c r="B105" s="6">
        <v>2185.0889999999999</v>
      </c>
      <c r="C105">
        <v>-8</v>
      </c>
    </row>
    <row r="106" spans="1:3" x14ac:dyDescent="0.25">
      <c r="A106" t="s">
        <v>523</v>
      </c>
      <c r="B106" s="6">
        <v>2185.0889999999999</v>
      </c>
      <c r="C106">
        <v>-9</v>
      </c>
    </row>
    <row r="107" spans="1:3" x14ac:dyDescent="0.25">
      <c r="A107" t="s">
        <v>524</v>
      </c>
      <c r="B107" s="6">
        <v>2548.2270000000003</v>
      </c>
      <c r="C107">
        <v>-10</v>
      </c>
    </row>
    <row r="108" spans="1:3" x14ac:dyDescent="0.25">
      <c r="A108" t="s">
        <v>525</v>
      </c>
      <c r="B108" s="6">
        <v>1892.9090000000001</v>
      </c>
      <c r="C108">
        <v>-7</v>
      </c>
    </row>
    <row r="109" spans="1:3" x14ac:dyDescent="0.25">
      <c r="A109" t="s">
        <v>526</v>
      </c>
      <c r="B109" s="6">
        <v>2087</v>
      </c>
      <c r="C109">
        <v>-8</v>
      </c>
    </row>
    <row r="110" spans="1:3" x14ac:dyDescent="0.25">
      <c r="A110" t="s">
        <v>527</v>
      </c>
      <c r="B110" s="6">
        <v>2185.0889999999999</v>
      </c>
      <c r="C110">
        <v>-9</v>
      </c>
    </row>
    <row r="111" spans="1:3" x14ac:dyDescent="0.25">
      <c r="A111" t="s">
        <v>528</v>
      </c>
      <c r="B111" s="6">
        <v>2087</v>
      </c>
      <c r="C111">
        <v>-9</v>
      </c>
    </row>
    <row r="112" spans="1:3" x14ac:dyDescent="0.25">
      <c r="A112" t="s">
        <v>529</v>
      </c>
      <c r="B112" s="6">
        <v>2087</v>
      </c>
      <c r="C112">
        <v>-9</v>
      </c>
    </row>
    <row r="113" spans="1:3" x14ac:dyDescent="0.25">
      <c r="A113" t="s">
        <v>530</v>
      </c>
      <c r="B113" s="6">
        <v>2185.0889999999999</v>
      </c>
      <c r="C113">
        <v>-9</v>
      </c>
    </row>
    <row r="114" spans="1:3" x14ac:dyDescent="0.25">
      <c r="A114" t="s">
        <v>531</v>
      </c>
      <c r="B114" s="6">
        <v>2185.0889999999999</v>
      </c>
      <c r="C114">
        <v>-9</v>
      </c>
    </row>
    <row r="115" spans="1:3" x14ac:dyDescent="0.25">
      <c r="A115" t="s">
        <v>532</v>
      </c>
      <c r="B115" s="6">
        <v>2548.2270000000003</v>
      </c>
      <c r="C115">
        <v>-10</v>
      </c>
    </row>
    <row r="116" spans="1:3" x14ac:dyDescent="0.25">
      <c r="A116" t="s">
        <v>533</v>
      </c>
      <c r="B116" s="6">
        <v>2281.0909999999999</v>
      </c>
      <c r="C116">
        <v>-9</v>
      </c>
    </row>
    <row r="117" spans="1:3" x14ac:dyDescent="0.25">
      <c r="A117" t="s">
        <v>534</v>
      </c>
      <c r="B117" s="6">
        <v>2379.1800000000003</v>
      </c>
      <c r="C117">
        <v>-10</v>
      </c>
    </row>
    <row r="118" spans="1:3" x14ac:dyDescent="0.25">
      <c r="A118" t="s">
        <v>535</v>
      </c>
      <c r="B118" s="6">
        <v>2281.0909999999999</v>
      </c>
      <c r="C118">
        <v>-10</v>
      </c>
    </row>
    <row r="119" spans="1:3" x14ac:dyDescent="0.25">
      <c r="A119" t="s">
        <v>536</v>
      </c>
      <c r="B119" s="6">
        <v>2379.1800000000003</v>
      </c>
      <c r="C119">
        <v>-10</v>
      </c>
    </row>
    <row r="120" spans="1:3" x14ac:dyDescent="0.25">
      <c r="A120" t="s">
        <v>537</v>
      </c>
      <c r="B120" s="6">
        <v>1988.9109999999998</v>
      </c>
      <c r="C120">
        <v>-8</v>
      </c>
    </row>
    <row r="121" spans="1:3" x14ac:dyDescent="0.25">
      <c r="A121" t="s">
        <v>538</v>
      </c>
      <c r="B121" s="6">
        <v>2087</v>
      </c>
      <c r="C121">
        <v>-8</v>
      </c>
    </row>
    <row r="122" spans="1:3" x14ac:dyDescent="0.25">
      <c r="A122" t="s">
        <v>539</v>
      </c>
      <c r="B122" s="6">
        <v>2087</v>
      </c>
      <c r="C122">
        <v>-8</v>
      </c>
    </row>
    <row r="123" spans="1:3" x14ac:dyDescent="0.25">
      <c r="A123" t="s">
        <v>540</v>
      </c>
      <c r="B123" s="6">
        <v>2185.0889999999999</v>
      </c>
      <c r="C123">
        <v>-9</v>
      </c>
    </row>
    <row r="124" spans="1:3" x14ac:dyDescent="0.25">
      <c r="A124" t="s">
        <v>541</v>
      </c>
      <c r="B124" s="6">
        <v>1988.9109999999998</v>
      </c>
      <c r="C124">
        <v>-8</v>
      </c>
    </row>
    <row r="125" spans="1:3" x14ac:dyDescent="0.25">
      <c r="A125" t="s">
        <v>542</v>
      </c>
      <c r="B125" s="6">
        <v>1988.9109999999998</v>
      </c>
      <c r="C125">
        <v>-8</v>
      </c>
    </row>
    <row r="126" spans="1:3" x14ac:dyDescent="0.25">
      <c r="A126" t="s">
        <v>543</v>
      </c>
      <c r="B126" s="6">
        <v>2379.1800000000003</v>
      </c>
      <c r="C126">
        <v>-10</v>
      </c>
    </row>
    <row r="127" spans="1:3" x14ac:dyDescent="0.25">
      <c r="A127" t="s">
        <v>544</v>
      </c>
      <c r="B127" s="6">
        <v>2548.2270000000003</v>
      </c>
      <c r="C127">
        <v>-11</v>
      </c>
    </row>
    <row r="128" spans="1:3" x14ac:dyDescent="0.25">
      <c r="A128" t="s">
        <v>545</v>
      </c>
      <c r="B128" s="6">
        <v>2379.1800000000003</v>
      </c>
      <c r="C128">
        <v>-10</v>
      </c>
    </row>
    <row r="129" spans="1:3" x14ac:dyDescent="0.25">
      <c r="A129" t="s">
        <v>546</v>
      </c>
      <c r="B129" s="6">
        <v>2281.0909999999999</v>
      </c>
      <c r="C129">
        <v>-10</v>
      </c>
    </row>
    <row r="130" spans="1:3" x14ac:dyDescent="0.25">
      <c r="A130" t="s">
        <v>547</v>
      </c>
      <c r="B130" s="6">
        <v>2790.319</v>
      </c>
      <c r="C130">
        <v>-11</v>
      </c>
    </row>
    <row r="131" spans="1:3" x14ac:dyDescent="0.25">
      <c r="A131" t="s">
        <v>548</v>
      </c>
      <c r="B131" s="6">
        <v>2087</v>
      </c>
      <c r="C131">
        <v>-8</v>
      </c>
    </row>
    <row r="132" spans="1:3" x14ac:dyDescent="0.25">
      <c r="A132" t="s">
        <v>549</v>
      </c>
      <c r="B132" s="6">
        <v>2379.1800000000003</v>
      </c>
      <c r="C132">
        <v>-10</v>
      </c>
    </row>
    <row r="133" spans="1:3" x14ac:dyDescent="0.25">
      <c r="A133" t="s">
        <v>550</v>
      </c>
      <c r="B133" s="6">
        <v>2087</v>
      </c>
      <c r="C133">
        <v>-8</v>
      </c>
    </row>
    <row r="134" spans="1:3" x14ac:dyDescent="0.25">
      <c r="A134" t="s">
        <v>551</v>
      </c>
      <c r="B134" s="6">
        <v>2185.0889999999999</v>
      </c>
      <c r="C134">
        <v>-9</v>
      </c>
    </row>
    <row r="135" spans="1:3" x14ac:dyDescent="0.25">
      <c r="A135" t="s">
        <v>552</v>
      </c>
      <c r="B135" s="6">
        <v>2185.0889999999999</v>
      </c>
      <c r="C135">
        <v>-9</v>
      </c>
    </row>
    <row r="136" spans="1:3" x14ac:dyDescent="0.25">
      <c r="A136" t="s">
        <v>553</v>
      </c>
      <c r="B136" s="6">
        <v>1988.9109999999998</v>
      </c>
      <c r="C136">
        <v>-8</v>
      </c>
    </row>
    <row r="137" spans="1:3" x14ac:dyDescent="0.25">
      <c r="A137" t="s">
        <v>554</v>
      </c>
      <c r="B137" s="6">
        <v>2185.0889999999999</v>
      </c>
      <c r="C137">
        <v>-9</v>
      </c>
    </row>
    <row r="138" spans="1:3" x14ac:dyDescent="0.25">
      <c r="A138" t="s">
        <v>555</v>
      </c>
      <c r="B138" s="6">
        <v>2087</v>
      </c>
      <c r="C138">
        <v>-8</v>
      </c>
    </row>
    <row r="139" spans="1:3" x14ac:dyDescent="0.25">
      <c r="A139" t="s">
        <v>556</v>
      </c>
      <c r="B139" s="6">
        <v>2379.1800000000003</v>
      </c>
      <c r="C139">
        <v>-10</v>
      </c>
    </row>
    <row r="140" spans="1:3" x14ac:dyDescent="0.25">
      <c r="A140" t="s">
        <v>557</v>
      </c>
      <c r="B140" s="6">
        <v>2281.0909999999999</v>
      </c>
      <c r="C140">
        <v>-9</v>
      </c>
    </row>
    <row r="141" spans="1:3" x14ac:dyDescent="0.25">
      <c r="A141" t="s">
        <v>558</v>
      </c>
      <c r="B141" s="6">
        <v>2281.0909999999999</v>
      </c>
      <c r="C141">
        <v>-9</v>
      </c>
    </row>
    <row r="142" spans="1:3" x14ac:dyDescent="0.25">
      <c r="A142" t="s">
        <v>559</v>
      </c>
      <c r="B142" s="6">
        <v>2379.1800000000003</v>
      </c>
      <c r="C142">
        <v>-10</v>
      </c>
    </row>
    <row r="143" spans="1:3" x14ac:dyDescent="0.25">
      <c r="A143" t="s">
        <v>560</v>
      </c>
      <c r="B143" s="6">
        <v>2087</v>
      </c>
      <c r="C143">
        <v>-8</v>
      </c>
    </row>
    <row r="144" spans="1:3" x14ac:dyDescent="0.25">
      <c r="A144" t="s">
        <v>561</v>
      </c>
      <c r="B144" s="6">
        <v>2379.1800000000003</v>
      </c>
      <c r="C144">
        <v>-10</v>
      </c>
    </row>
    <row r="145" spans="1:3" x14ac:dyDescent="0.25">
      <c r="A145" t="s">
        <v>562</v>
      </c>
      <c r="B145" s="6">
        <v>2379.1800000000003</v>
      </c>
      <c r="C145">
        <v>-10</v>
      </c>
    </row>
    <row r="146" spans="1:3" x14ac:dyDescent="0.25">
      <c r="A146" t="s">
        <v>563</v>
      </c>
      <c r="B146" s="6">
        <v>1988.9109999999998</v>
      </c>
      <c r="C146">
        <v>-8</v>
      </c>
    </row>
    <row r="147" spans="1:3" x14ac:dyDescent="0.25">
      <c r="A147" t="s">
        <v>564</v>
      </c>
      <c r="B147" s="6">
        <v>2281.0909999999999</v>
      </c>
      <c r="C147">
        <v>-9</v>
      </c>
    </row>
    <row r="148" spans="1:3" x14ac:dyDescent="0.25">
      <c r="A148" t="s">
        <v>565</v>
      </c>
      <c r="B148" s="6">
        <v>2087</v>
      </c>
      <c r="C148">
        <v>-8</v>
      </c>
    </row>
    <row r="149" spans="1:3" x14ac:dyDescent="0.25">
      <c r="A149" t="s">
        <v>566</v>
      </c>
      <c r="B149" s="6">
        <v>2379.1800000000003</v>
      </c>
      <c r="C149">
        <v>-10</v>
      </c>
    </row>
    <row r="150" spans="1:3" x14ac:dyDescent="0.25">
      <c r="A150" t="s">
        <v>567</v>
      </c>
      <c r="B150" s="6">
        <v>2185.0889999999999</v>
      </c>
      <c r="C150">
        <v>-8</v>
      </c>
    </row>
    <row r="151" spans="1:3" x14ac:dyDescent="0.25">
      <c r="A151" t="s">
        <v>568</v>
      </c>
      <c r="B151" s="6">
        <v>1988.9109999999998</v>
      </c>
      <c r="C151">
        <v>-8</v>
      </c>
    </row>
    <row r="152" spans="1:3" x14ac:dyDescent="0.25">
      <c r="A152" t="s">
        <v>569</v>
      </c>
      <c r="B152" s="6">
        <v>2087</v>
      </c>
      <c r="C152">
        <v>-8</v>
      </c>
    </row>
    <row r="153" spans="1:3" x14ac:dyDescent="0.25">
      <c r="A153" t="s">
        <v>570</v>
      </c>
      <c r="B153" s="6">
        <v>2790.319</v>
      </c>
      <c r="C153">
        <v>-11</v>
      </c>
    </row>
    <row r="154" spans="1:3" x14ac:dyDescent="0.25">
      <c r="A154" t="s">
        <v>571</v>
      </c>
      <c r="B154" s="6">
        <v>2087</v>
      </c>
      <c r="C154">
        <v>-8</v>
      </c>
    </row>
    <row r="155" spans="1:3" x14ac:dyDescent="0.25">
      <c r="A155" t="s">
        <v>572</v>
      </c>
      <c r="B155" s="6">
        <v>2281.0909999999999</v>
      </c>
      <c r="C155">
        <v>-10</v>
      </c>
    </row>
    <row r="156" spans="1:3" x14ac:dyDescent="0.25">
      <c r="A156" t="s">
        <v>573</v>
      </c>
      <c r="B156" s="6">
        <v>2185.0889999999999</v>
      </c>
      <c r="C156">
        <v>-8</v>
      </c>
    </row>
    <row r="157" spans="1:3" x14ac:dyDescent="0.25">
      <c r="A157" t="s">
        <v>574</v>
      </c>
      <c r="B157" s="6">
        <v>2087</v>
      </c>
      <c r="C157">
        <v>-8</v>
      </c>
    </row>
    <row r="158" spans="1:3" x14ac:dyDescent="0.25">
      <c r="A158" t="s">
        <v>575</v>
      </c>
      <c r="B158" s="6">
        <v>2087</v>
      </c>
      <c r="C158">
        <v>-8</v>
      </c>
    </row>
    <row r="159" spans="1:3" x14ac:dyDescent="0.25">
      <c r="A159" t="s">
        <v>576</v>
      </c>
      <c r="B159" s="6">
        <v>2087</v>
      </c>
      <c r="C159">
        <v>-8</v>
      </c>
    </row>
    <row r="160" spans="1:3" x14ac:dyDescent="0.25">
      <c r="A160" t="s">
        <v>577</v>
      </c>
      <c r="B160" s="6">
        <v>2087</v>
      </c>
      <c r="C160">
        <v>-9</v>
      </c>
    </row>
    <row r="161" spans="1:3" x14ac:dyDescent="0.25">
      <c r="A161" t="s">
        <v>578</v>
      </c>
      <c r="B161" s="6">
        <v>2087</v>
      </c>
      <c r="C161">
        <v>-8</v>
      </c>
    </row>
    <row r="162" spans="1:3" x14ac:dyDescent="0.25">
      <c r="A162" t="s">
        <v>579</v>
      </c>
      <c r="B162" s="6">
        <v>1988.9109999999998</v>
      </c>
      <c r="C162">
        <v>-8</v>
      </c>
    </row>
    <row r="163" spans="1:3" x14ac:dyDescent="0.25">
      <c r="A163" t="s">
        <v>580</v>
      </c>
      <c r="B163" s="6">
        <v>1988.9109999999998</v>
      </c>
      <c r="C163">
        <v>-8</v>
      </c>
    </row>
    <row r="164" spans="1:3" x14ac:dyDescent="0.25">
      <c r="A164" t="s">
        <v>581</v>
      </c>
      <c r="B164" s="6">
        <v>2281.0909999999999</v>
      </c>
      <c r="C164">
        <v>-9</v>
      </c>
    </row>
    <row r="165" spans="1:3" x14ac:dyDescent="0.25">
      <c r="A165" t="s">
        <v>582</v>
      </c>
      <c r="B165" s="6">
        <v>2281.0909999999999</v>
      </c>
      <c r="C165">
        <v>-9</v>
      </c>
    </row>
    <row r="166" spans="1:3" x14ac:dyDescent="0.25">
      <c r="A166" t="s">
        <v>583</v>
      </c>
      <c r="B166" s="6">
        <v>2379.1800000000003</v>
      </c>
      <c r="C166">
        <v>-10</v>
      </c>
    </row>
    <row r="167" spans="1:3" x14ac:dyDescent="0.25">
      <c r="A167" t="s">
        <v>584</v>
      </c>
      <c r="B167" s="6">
        <v>2548.2270000000003</v>
      </c>
      <c r="C167">
        <v>-10</v>
      </c>
    </row>
    <row r="168" spans="1:3" x14ac:dyDescent="0.25">
      <c r="A168" t="s">
        <v>585</v>
      </c>
      <c r="B168" s="6">
        <v>2087</v>
      </c>
      <c r="C168">
        <v>-8</v>
      </c>
    </row>
    <row r="169" spans="1:3" x14ac:dyDescent="0.25">
      <c r="A169" t="s">
        <v>586</v>
      </c>
      <c r="B169" s="6">
        <v>1892.9090000000001</v>
      </c>
      <c r="C169">
        <v>-8</v>
      </c>
    </row>
    <row r="170" spans="1:3" x14ac:dyDescent="0.25">
      <c r="A170" t="s">
        <v>587</v>
      </c>
      <c r="B170" s="6">
        <v>2379.1800000000003</v>
      </c>
      <c r="C170">
        <v>-11</v>
      </c>
    </row>
    <row r="171" spans="1:3" x14ac:dyDescent="0.25">
      <c r="A171" t="s">
        <v>588</v>
      </c>
      <c r="B171" s="6">
        <v>2087</v>
      </c>
      <c r="C171">
        <v>-8</v>
      </c>
    </row>
    <row r="172" spans="1:3" x14ac:dyDescent="0.25">
      <c r="A172" t="s">
        <v>589</v>
      </c>
      <c r="B172" s="6">
        <v>2185.0889999999999</v>
      </c>
      <c r="C172">
        <v>-9</v>
      </c>
    </row>
    <row r="173" spans="1:3" x14ac:dyDescent="0.25">
      <c r="A173" t="s">
        <v>590</v>
      </c>
      <c r="B173" s="6">
        <v>2087</v>
      </c>
      <c r="C173">
        <v>-8</v>
      </c>
    </row>
    <row r="174" spans="1:3" x14ac:dyDescent="0.25">
      <c r="A174" t="s">
        <v>591</v>
      </c>
      <c r="B174" s="6">
        <v>1988.9109999999998</v>
      </c>
      <c r="C174">
        <v>-8</v>
      </c>
    </row>
    <row r="175" spans="1:3" x14ac:dyDescent="0.25">
      <c r="A175" t="s">
        <v>592</v>
      </c>
      <c r="B175" s="6">
        <v>2087</v>
      </c>
      <c r="C175">
        <v>-9</v>
      </c>
    </row>
    <row r="176" spans="1:3" x14ac:dyDescent="0.25">
      <c r="A176" t="s">
        <v>593</v>
      </c>
      <c r="B176" s="6">
        <v>2087</v>
      </c>
      <c r="C176">
        <v>-8</v>
      </c>
    </row>
    <row r="177" spans="1:3" x14ac:dyDescent="0.25">
      <c r="A177" t="s">
        <v>594</v>
      </c>
      <c r="B177" s="6">
        <v>1988.9109999999998</v>
      </c>
      <c r="C177">
        <v>-8</v>
      </c>
    </row>
    <row r="178" spans="1:3" x14ac:dyDescent="0.25">
      <c r="A178" t="s">
        <v>595</v>
      </c>
      <c r="B178" s="6">
        <v>2087</v>
      </c>
      <c r="C178">
        <v>-8</v>
      </c>
    </row>
    <row r="179" spans="1:3" x14ac:dyDescent="0.25">
      <c r="A179" t="s">
        <v>596</v>
      </c>
      <c r="B179" s="6">
        <v>1988.9109999999998</v>
      </c>
      <c r="C179">
        <v>-8</v>
      </c>
    </row>
    <row r="180" spans="1:3" x14ac:dyDescent="0.25">
      <c r="A180" t="s">
        <v>597</v>
      </c>
      <c r="B180" s="6">
        <v>2087</v>
      </c>
      <c r="C180">
        <v>-8</v>
      </c>
    </row>
    <row r="181" spans="1:3" x14ac:dyDescent="0.25">
      <c r="A181" t="s">
        <v>598</v>
      </c>
      <c r="B181" s="6">
        <v>2281.0909999999999</v>
      </c>
      <c r="C181">
        <v>-9</v>
      </c>
    </row>
    <row r="182" spans="1:3" x14ac:dyDescent="0.25">
      <c r="A182" t="s">
        <v>599</v>
      </c>
      <c r="B182" s="6">
        <v>2379.1800000000003</v>
      </c>
      <c r="C182">
        <v>-10</v>
      </c>
    </row>
    <row r="183" spans="1:3" x14ac:dyDescent="0.25">
      <c r="A183" t="s">
        <v>600</v>
      </c>
      <c r="B183" s="6">
        <v>2087</v>
      </c>
      <c r="C183">
        <v>-9</v>
      </c>
    </row>
    <row r="184" spans="1:3" x14ac:dyDescent="0.25">
      <c r="A184" t="s">
        <v>601</v>
      </c>
      <c r="B184" s="6">
        <v>2548.2270000000003</v>
      </c>
      <c r="C184">
        <v>-11</v>
      </c>
    </row>
    <row r="185" spans="1:3" x14ac:dyDescent="0.25">
      <c r="A185" t="s">
        <v>602</v>
      </c>
      <c r="B185" s="6">
        <v>2087</v>
      </c>
      <c r="C185">
        <v>-8</v>
      </c>
    </row>
    <row r="186" spans="1:3" x14ac:dyDescent="0.25">
      <c r="A186" t="s">
        <v>603</v>
      </c>
      <c r="B186" s="6">
        <v>1988.9109999999998</v>
      </c>
      <c r="C186">
        <v>-8</v>
      </c>
    </row>
    <row r="187" spans="1:3" x14ac:dyDescent="0.25">
      <c r="A187" t="s">
        <v>604</v>
      </c>
      <c r="B187" s="6">
        <v>2087</v>
      </c>
      <c r="C187">
        <v>-8</v>
      </c>
    </row>
    <row r="188" spans="1:3" x14ac:dyDescent="0.25">
      <c r="A188" t="s">
        <v>605</v>
      </c>
      <c r="B188" s="6">
        <v>2087</v>
      </c>
      <c r="C188">
        <v>-9</v>
      </c>
    </row>
    <row r="189" spans="1:3" x14ac:dyDescent="0.25">
      <c r="A189" t="s">
        <v>606</v>
      </c>
      <c r="B189" s="6">
        <v>2185.0889999999999</v>
      </c>
      <c r="C189">
        <v>-9</v>
      </c>
    </row>
    <row r="190" spans="1:3" x14ac:dyDescent="0.25">
      <c r="A190" t="s">
        <v>607</v>
      </c>
      <c r="B190" s="6">
        <v>2281.0909999999999</v>
      </c>
      <c r="C190">
        <v>-9</v>
      </c>
    </row>
    <row r="191" spans="1:3" x14ac:dyDescent="0.25">
      <c r="A191" t="s">
        <v>608</v>
      </c>
      <c r="B191" s="6">
        <v>2185.0889999999999</v>
      </c>
      <c r="C191">
        <v>-9</v>
      </c>
    </row>
    <row r="192" spans="1:3" x14ac:dyDescent="0.25">
      <c r="A192" t="s">
        <v>609</v>
      </c>
      <c r="B192" s="6">
        <v>2548.2270000000003</v>
      </c>
      <c r="C192">
        <v>-11</v>
      </c>
    </row>
    <row r="193" spans="1:3" x14ac:dyDescent="0.25">
      <c r="A193" t="s">
        <v>609</v>
      </c>
      <c r="B193" s="6">
        <v>2548.2270000000003</v>
      </c>
      <c r="C193">
        <v>-10</v>
      </c>
    </row>
    <row r="194" spans="1:3" x14ac:dyDescent="0.25">
      <c r="A194" t="s">
        <v>610</v>
      </c>
      <c r="B194" s="6">
        <v>1988.9109999999998</v>
      </c>
      <c r="C194">
        <v>-8</v>
      </c>
    </row>
    <row r="195" spans="1:3" x14ac:dyDescent="0.25">
      <c r="A195" t="s">
        <v>611</v>
      </c>
      <c r="B195" s="6">
        <v>1988.9109999999998</v>
      </c>
      <c r="C195">
        <v>-8</v>
      </c>
    </row>
    <row r="196" spans="1:3" x14ac:dyDescent="0.25">
      <c r="A196" t="s">
        <v>612</v>
      </c>
      <c r="B196" s="6">
        <v>2790.319</v>
      </c>
      <c r="C196">
        <v>-10</v>
      </c>
    </row>
    <row r="197" spans="1:3" x14ac:dyDescent="0.25">
      <c r="A197" t="s">
        <v>613</v>
      </c>
      <c r="B197" s="6">
        <v>2790.319</v>
      </c>
      <c r="C197">
        <v>-11</v>
      </c>
    </row>
    <row r="198" spans="1:3" x14ac:dyDescent="0.25">
      <c r="A198" t="s">
        <v>614</v>
      </c>
      <c r="B198" s="6">
        <v>2087</v>
      </c>
      <c r="C198">
        <v>-8</v>
      </c>
    </row>
    <row r="199" spans="1:3" x14ac:dyDescent="0.25">
      <c r="A199" t="s">
        <v>615</v>
      </c>
      <c r="B199" s="6">
        <v>2087</v>
      </c>
      <c r="C199">
        <v>-8</v>
      </c>
    </row>
    <row r="200" spans="1:3" x14ac:dyDescent="0.25">
      <c r="A200" t="s">
        <v>616</v>
      </c>
      <c r="B200" s="6">
        <v>1988.9109999999998</v>
      </c>
      <c r="C200">
        <v>-8</v>
      </c>
    </row>
    <row r="201" spans="1:3" x14ac:dyDescent="0.25">
      <c r="A201" t="s">
        <v>617</v>
      </c>
      <c r="B201" s="6">
        <v>2281.0909999999999</v>
      </c>
      <c r="C201">
        <v>-9</v>
      </c>
    </row>
    <row r="202" spans="1:3" x14ac:dyDescent="0.25">
      <c r="A202" t="s">
        <v>618</v>
      </c>
      <c r="B202" s="6">
        <v>2281.0909999999999</v>
      </c>
      <c r="C202">
        <v>-10</v>
      </c>
    </row>
    <row r="203" spans="1:3" x14ac:dyDescent="0.25">
      <c r="A203" t="s">
        <v>619</v>
      </c>
      <c r="B203" s="6">
        <v>2087</v>
      </c>
      <c r="C203">
        <v>-9</v>
      </c>
    </row>
    <row r="204" spans="1:3" x14ac:dyDescent="0.25">
      <c r="A204" t="s">
        <v>620</v>
      </c>
      <c r="B204" s="6">
        <v>2087</v>
      </c>
      <c r="C204">
        <v>-8</v>
      </c>
    </row>
    <row r="205" spans="1:3" x14ac:dyDescent="0.25">
      <c r="A205" t="s">
        <v>621</v>
      </c>
      <c r="B205" s="6">
        <v>1988.9109999999998</v>
      </c>
      <c r="C205">
        <v>-8</v>
      </c>
    </row>
    <row r="206" spans="1:3" x14ac:dyDescent="0.25">
      <c r="A206" t="s">
        <v>621</v>
      </c>
      <c r="B206" s="6">
        <v>2087</v>
      </c>
      <c r="C206">
        <v>-8</v>
      </c>
    </row>
    <row r="207" spans="1:3" x14ac:dyDescent="0.25">
      <c r="A207" t="s">
        <v>622</v>
      </c>
      <c r="B207" s="6">
        <v>1988.9109999999998</v>
      </c>
      <c r="C207">
        <v>-8</v>
      </c>
    </row>
    <row r="208" spans="1:3" x14ac:dyDescent="0.25">
      <c r="A208" t="s">
        <v>623</v>
      </c>
      <c r="B208" s="6">
        <v>2087</v>
      </c>
      <c r="C208">
        <v>-8</v>
      </c>
    </row>
    <row r="209" spans="1:3" x14ac:dyDescent="0.25">
      <c r="A209" t="s">
        <v>623</v>
      </c>
      <c r="B209" s="6">
        <v>2087</v>
      </c>
      <c r="C209">
        <v>-8</v>
      </c>
    </row>
    <row r="210" spans="1:3" x14ac:dyDescent="0.25">
      <c r="A210" t="s">
        <v>624</v>
      </c>
      <c r="B210" s="6">
        <v>2087</v>
      </c>
      <c r="C210">
        <v>-8</v>
      </c>
    </row>
    <row r="211" spans="1:3" x14ac:dyDescent="0.25">
      <c r="A211" t="s">
        <v>625</v>
      </c>
      <c r="B211" s="6">
        <v>2087</v>
      </c>
      <c r="C211">
        <v>-9</v>
      </c>
    </row>
    <row r="212" spans="1:3" x14ac:dyDescent="0.25">
      <c r="A212" t="s">
        <v>626</v>
      </c>
      <c r="B212" s="6">
        <v>1988.9109999999998</v>
      </c>
      <c r="C212">
        <v>-8</v>
      </c>
    </row>
    <row r="213" spans="1:3" x14ac:dyDescent="0.25">
      <c r="A213" t="s">
        <v>627</v>
      </c>
      <c r="B213" s="6">
        <v>1988.9109999999998</v>
      </c>
      <c r="C213">
        <v>-8</v>
      </c>
    </row>
    <row r="214" spans="1:3" x14ac:dyDescent="0.25">
      <c r="A214" t="s">
        <v>628</v>
      </c>
      <c r="B214" s="6">
        <v>2087</v>
      </c>
      <c r="C214">
        <v>-8</v>
      </c>
    </row>
    <row r="215" spans="1:3" x14ac:dyDescent="0.25">
      <c r="A215" t="s">
        <v>629</v>
      </c>
      <c r="B215" s="6">
        <v>2185.0889999999999</v>
      </c>
      <c r="C215">
        <v>-9</v>
      </c>
    </row>
    <row r="216" spans="1:3" x14ac:dyDescent="0.25">
      <c r="A216" t="s">
        <v>630</v>
      </c>
      <c r="B216" s="6">
        <v>2185.0889999999999</v>
      </c>
      <c r="C216">
        <v>-9</v>
      </c>
    </row>
    <row r="217" spans="1:3" x14ac:dyDescent="0.25">
      <c r="A217" t="s">
        <v>631</v>
      </c>
      <c r="B217" s="6">
        <v>2087</v>
      </c>
      <c r="C217">
        <v>-8</v>
      </c>
    </row>
    <row r="218" spans="1:3" x14ac:dyDescent="0.25">
      <c r="A218" t="s">
        <v>632</v>
      </c>
      <c r="B218" s="6">
        <v>2281.0909999999999</v>
      </c>
      <c r="C218">
        <v>-9</v>
      </c>
    </row>
    <row r="219" spans="1:3" x14ac:dyDescent="0.25">
      <c r="A219" t="s">
        <v>633</v>
      </c>
      <c r="B219" s="6">
        <v>2087</v>
      </c>
      <c r="C219">
        <v>-8</v>
      </c>
    </row>
    <row r="220" spans="1:3" x14ac:dyDescent="0.25">
      <c r="A220" t="s">
        <v>634</v>
      </c>
      <c r="B220" s="6">
        <v>2548.2270000000003</v>
      </c>
      <c r="C220">
        <v>-11</v>
      </c>
    </row>
    <row r="221" spans="1:3" x14ac:dyDescent="0.25">
      <c r="A221" t="s">
        <v>635</v>
      </c>
      <c r="B221" s="6">
        <v>2087</v>
      </c>
      <c r="C221">
        <v>-9</v>
      </c>
    </row>
    <row r="222" spans="1:3" x14ac:dyDescent="0.25">
      <c r="A222" t="s">
        <v>636</v>
      </c>
      <c r="B222" s="6">
        <v>2790.319</v>
      </c>
      <c r="C222">
        <v>-11</v>
      </c>
    </row>
    <row r="223" spans="1:3" x14ac:dyDescent="0.25">
      <c r="A223" t="s">
        <v>637</v>
      </c>
      <c r="B223" s="6">
        <v>2281.0909999999999</v>
      </c>
      <c r="C223">
        <v>-9</v>
      </c>
    </row>
    <row r="224" spans="1:3" x14ac:dyDescent="0.25">
      <c r="A224" t="s">
        <v>638</v>
      </c>
      <c r="B224" s="6">
        <v>1988.9109999999998</v>
      </c>
      <c r="C224">
        <v>-8</v>
      </c>
    </row>
    <row r="225" spans="1:3" x14ac:dyDescent="0.25">
      <c r="A225" t="s">
        <v>639</v>
      </c>
      <c r="B225" s="6">
        <v>2087</v>
      </c>
      <c r="C225">
        <v>-8</v>
      </c>
    </row>
    <row r="226" spans="1:3" x14ac:dyDescent="0.25">
      <c r="A226" t="s">
        <v>640</v>
      </c>
      <c r="B226" s="6">
        <v>2185.0889999999999</v>
      </c>
      <c r="C226">
        <v>-9</v>
      </c>
    </row>
    <row r="227" spans="1:3" x14ac:dyDescent="0.25">
      <c r="A227" t="s">
        <v>641</v>
      </c>
      <c r="B227" s="6">
        <v>2185.0889999999999</v>
      </c>
      <c r="C227">
        <v>-9</v>
      </c>
    </row>
    <row r="228" spans="1:3" x14ac:dyDescent="0.25">
      <c r="A228" t="s">
        <v>642</v>
      </c>
      <c r="B228" s="6">
        <v>2087</v>
      </c>
      <c r="C228">
        <v>-9</v>
      </c>
    </row>
    <row r="229" spans="1:3" x14ac:dyDescent="0.25">
      <c r="A229" t="s">
        <v>643</v>
      </c>
      <c r="B229" s="6">
        <v>2087</v>
      </c>
      <c r="C229">
        <v>-8</v>
      </c>
    </row>
    <row r="230" spans="1:3" x14ac:dyDescent="0.25">
      <c r="A230" t="s">
        <v>644</v>
      </c>
      <c r="B230" s="6">
        <v>2548.2270000000003</v>
      </c>
      <c r="C230">
        <v>-11</v>
      </c>
    </row>
    <row r="231" spans="1:3" x14ac:dyDescent="0.25">
      <c r="A231" t="s">
        <v>645</v>
      </c>
      <c r="B231" s="6">
        <v>2087</v>
      </c>
      <c r="C231">
        <v>-8</v>
      </c>
    </row>
    <row r="232" spans="1:3" x14ac:dyDescent="0.25">
      <c r="A232" t="s">
        <v>646</v>
      </c>
      <c r="B232" s="6">
        <v>1988.9109999999998</v>
      </c>
      <c r="C232">
        <v>-8</v>
      </c>
    </row>
    <row r="233" spans="1:3" x14ac:dyDescent="0.25">
      <c r="A233" t="s">
        <v>646</v>
      </c>
      <c r="B233" s="6">
        <v>1892.9090000000001</v>
      </c>
      <c r="C233">
        <v>-8</v>
      </c>
    </row>
    <row r="234" spans="1:3" x14ac:dyDescent="0.25">
      <c r="A234" t="s">
        <v>646</v>
      </c>
      <c r="B234" s="6">
        <v>1988.9109999999998</v>
      </c>
      <c r="C234">
        <v>-8</v>
      </c>
    </row>
    <row r="235" spans="1:3" x14ac:dyDescent="0.25">
      <c r="A235" t="s">
        <v>646</v>
      </c>
      <c r="B235" s="6">
        <v>1988.9109999999998</v>
      </c>
      <c r="C235">
        <v>-8</v>
      </c>
    </row>
    <row r="236" spans="1:3" x14ac:dyDescent="0.25">
      <c r="A236" t="s">
        <v>647</v>
      </c>
      <c r="B236" s="6">
        <v>2087</v>
      </c>
      <c r="C236">
        <v>-9</v>
      </c>
    </row>
    <row r="237" spans="1:3" x14ac:dyDescent="0.25">
      <c r="A237" t="s">
        <v>648</v>
      </c>
      <c r="B237" s="6">
        <v>2087</v>
      </c>
      <c r="C237">
        <v>-8</v>
      </c>
    </row>
    <row r="238" spans="1:3" x14ac:dyDescent="0.25">
      <c r="A238" t="s">
        <v>649</v>
      </c>
      <c r="B238" s="6">
        <v>2281.0909999999999</v>
      </c>
      <c r="C238">
        <v>-9</v>
      </c>
    </row>
    <row r="239" spans="1:3" x14ac:dyDescent="0.25">
      <c r="A239" t="s">
        <v>650</v>
      </c>
      <c r="B239" s="6">
        <v>2185.0889999999999</v>
      </c>
      <c r="C239">
        <v>-9</v>
      </c>
    </row>
    <row r="240" spans="1:3" x14ac:dyDescent="0.25">
      <c r="A240" t="s">
        <v>651</v>
      </c>
      <c r="B240" s="6">
        <v>2087</v>
      </c>
      <c r="C240">
        <v>-8</v>
      </c>
    </row>
    <row r="241" spans="1:3" x14ac:dyDescent="0.25">
      <c r="A241" t="s">
        <v>652</v>
      </c>
      <c r="B241" s="6">
        <v>2281.0909999999999</v>
      </c>
      <c r="C241">
        <v>-9</v>
      </c>
    </row>
    <row r="242" spans="1:3" x14ac:dyDescent="0.25">
      <c r="A242" t="s">
        <v>653</v>
      </c>
      <c r="B242" s="6">
        <v>2087</v>
      </c>
      <c r="C242">
        <v>-8</v>
      </c>
    </row>
    <row r="243" spans="1:3" x14ac:dyDescent="0.25">
      <c r="A243" t="s">
        <v>654</v>
      </c>
      <c r="B243" s="6">
        <v>2087</v>
      </c>
      <c r="C243">
        <v>-8</v>
      </c>
    </row>
    <row r="244" spans="1:3" x14ac:dyDescent="0.25">
      <c r="A244" t="s">
        <v>655</v>
      </c>
      <c r="B244" s="6">
        <v>2185.0889999999999</v>
      </c>
      <c r="C244">
        <v>-9</v>
      </c>
    </row>
    <row r="245" spans="1:3" x14ac:dyDescent="0.25">
      <c r="A245" t="s">
        <v>656</v>
      </c>
      <c r="B245" s="6">
        <v>2185.0889999999999</v>
      </c>
      <c r="C245">
        <v>-9</v>
      </c>
    </row>
    <row r="246" spans="1:3" x14ac:dyDescent="0.25">
      <c r="A246" t="s">
        <v>657</v>
      </c>
      <c r="B246" s="6">
        <v>2281.0909999999999</v>
      </c>
      <c r="C246">
        <v>-10</v>
      </c>
    </row>
    <row r="247" spans="1:3" x14ac:dyDescent="0.25">
      <c r="A247" t="s">
        <v>658</v>
      </c>
      <c r="B247" s="6">
        <v>2281.0909999999999</v>
      </c>
      <c r="C247">
        <v>-9</v>
      </c>
    </row>
    <row r="248" spans="1:3" x14ac:dyDescent="0.25">
      <c r="A248" t="s">
        <v>659</v>
      </c>
      <c r="B248" s="6">
        <v>2281.0909999999999</v>
      </c>
      <c r="C248">
        <v>-10</v>
      </c>
    </row>
    <row r="249" spans="1:3" x14ac:dyDescent="0.25">
      <c r="A249" t="s">
        <v>660</v>
      </c>
      <c r="B249" s="6">
        <v>2548.2270000000003</v>
      </c>
      <c r="C249">
        <v>-11</v>
      </c>
    </row>
    <row r="250" spans="1:3" x14ac:dyDescent="0.25">
      <c r="A250" t="s">
        <v>661</v>
      </c>
      <c r="B250" s="6">
        <v>2087</v>
      </c>
      <c r="C250">
        <v>-8</v>
      </c>
    </row>
    <row r="251" spans="1:3" x14ac:dyDescent="0.25">
      <c r="A251" t="s">
        <v>662</v>
      </c>
      <c r="B251" s="6">
        <v>2548.2270000000003</v>
      </c>
      <c r="C251">
        <v>-11</v>
      </c>
    </row>
    <row r="252" spans="1:3" x14ac:dyDescent="0.25">
      <c r="A252" t="s">
        <v>663</v>
      </c>
      <c r="B252" s="6">
        <v>1988.9109999999998</v>
      </c>
      <c r="C252">
        <v>-8</v>
      </c>
    </row>
    <row r="253" spans="1:3" x14ac:dyDescent="0.25">
      <c r="A253" t="s">
        <v>664</v>
      </c>
      <c r="B253" s="6">
        <v>2379.1800000000003</v>
      </c>
      <c r="C253">
        <v>-10</v>
      </c>
    </row>
    <row r="254" spans="1:3" x14ac:dyDescent="0.25">
      <c r="A254" t="s">
        <v>665</v>
      </c>
      <c r="B254" s="6">
        <v>2087</v>
      </c>
      <c r="C254">
        <v>-8</v>
      </c>
    </row>
    <row r="255" spans="1:3" x14ac:dyDescent="0.25">
      <c r="A255" t="s">
        <v>666</v>
      </c>
      <c r="B255" s="6">
        <v>2185.0889999999999</v>
      </c>
      <c r="C255">
        <v>-9</v>
      </c>
    </row>
    <row r="256" spans="1:3" x14ac:dyDescent="0.25">
      <c r="A256" t="s">
        <v>667</v>
      </c>
      <c r="B256" s="6">
        <v>2087</v>
      </c>
      <c r="C256">
        <v>-8</v>
      </c>
    </row>
    <row r="257" spans="1:3" x14ac:dyDescent="0.25">
      <c r="A257" t="s">
        <v>668</v>
      </c>
      <c r="B257" s="6">
        <v>2087</v>
      </c>
      <c r="C257">
        <v>-8</v>
      </c>
    </row>
    <row r="258" spans="1:3" x14ac:dyDescent="0.25">
      <c r="A258" t="s">
        <v>669</v>
      </c>
      <c r="B258" s="6">
        <v>2281.0909999999999</v>
      </c>
      <c r="C258">
        <v>-10</v>
      </c>
    </row>
    <row r="259" spans="1:3" x14ac:dyDescent="0.25">
      <c r="A259" t="s">
        <v>670</v>
      </c>
      <c r="B259" s="6">
        <v>1988.9109999999998</v>
      </c>
      <c r="C259">
        <v>-8</v>
      </c>
    </row>
    <row r="260" spans="1:3" x14ac:dyDescent="0.25">
      <c r="A260" t="s">
        <v>671</v>
      </c>
      <c r="B260" s="6">
        <v>1988.9109999999998</v>
      </c>
      <c r="C260">
        <v>-8</v>
      </c>
    </row>
    <row r="261" spans="1:3" x14ac:dyDescent="0.25">
      <c r="A261" t="s">
        <v>672</v>
      </c>
      <c r="B261" s="6">
        <v>2379.1800000000003</v>
      </c>
      <c r="C261">
        <v>-10</v>
      </c>
    </row>
    <row r="262" spans="1:3" x14ac:dyDescent="0.25">
      <c r="A262" t="s">
        <v>673</v>
      </c>
      <c r="B262" s="6">
        <v>2087</v>
      </c>
      <c r="C262">
        <v>-8</v>
      </c>
    </row>
    <row r="263" spans="1:3" x14ac:dyDescent="0.25">
      <c r="A263" t="s">
        <v>674</v>
      </c>
      <c r="B263" s="6">
        <v>2087</v>
      </c>
      <c r="C263">
        <v>-8</v>
      </c>
    </row>
    <row r="264" spans="1:3" x14ac:dyDescent="0.25">
      <c r="A264" t="s">
        <v>675</v>
      </c>
      <c r="B264" s="6">
        <v>1892.9090000000001</v>
      </c>
      <c r="C264">
        <v>-7</v>
      </c>
    </row>
    <row r="265" spans="1:3" x14ac:dyDescent="0.25">
      <c r="A265" t="s">
        <v>676</v>
      </c>
      <c r="B265" s="6">
        <v>2185.0889999999999</v>
      </c>
      <c r="C265">
        <v>-9</v>
      </c>
    </row>
    <row r="266" spans="1:3" x14ac:dyDescent="0.25">
      <c r="A266" t="s">
        <v>677</v>
      </c>
      <c r="B266" s="6">
        <v>2087</v>
      </c>
      <c r="C266">
        <v>-8</v>
      </c>
    </row>
    <row r="267" spans="1:3" x14ac:dyDescent="0.25">
      <c r="A267" t="s">
        <v>678</v>
      </c>
      <c r="B267" s="6">
        <v>2185.0889999999999</v>
      </c>
      <c r="C267">
        <v>-8</v>
      </c>
    </row>
    <row r="268" spans="1:3" x14ac:dyDescent="0.25">
      <c r="A268" t="s">
        <v>679</v>
      </c>
      <c r="B268" s="6">
        <v>2281.0909999999999</v>
      </c>
      <c r="C268">
        <v>-9</v>
      </c>
    </row>
    <row r="269" spans="1:3" x14ac:dyDescent="0.25">
      <c r="A269" t="s">
        <v>680</v>
      </c>
      <c r="B269" s="6">
        <v>2087</v>
      </c>
      <c r="C269">
        <v>-8</v>
      </c>
    </row>
    <row r="270" spans="1:3" x14ac:dyDescent="0.25">
      <c r="A270" t="s">
        <v>681</v>
      </c>
      <c r="B270" s="6">
        <v>2185.0889999999999</v>
      </c>
      <c r="C270">
        <v>-9</v>
      </c>
    </row>
    <row r="271" spans="1:3" x14ac:dyDescent="0.25">
      <c r="A271" t="s">
        <v>682</v>
      </c>
      <c r="B271" s="6">
        <v>2379.1800000000003</v>
      </c>
      <c r="C271">
        <v>-10</v>
      </c>
    </row>
    <row r="272" spans="1:3" x14ac:dyDescent="0.25">
      <c r="A272" t="s">
        <v>683</v>
      </c>
      <c r="B272" s="6">
        <v>2185.0889999999999</v>
      </c>
      <c r="C272">
        <v>-9</v>
      </c>
    </row>
    <row r="273" spans="1:3" x14ac:dyDescent="0.25">
      <c r="A273" t="s">
        <v>684</v>
      </c>
      <c r="B273" s="6">
        <v>2087</v>
      </c>
      <c r="C273">
        <v>-8</v>
      </c>
    </row>
    <row r="274" spans="1:3" x14ac:dyDescent="0.25">
      <c r="A274" t="s">
        <v>685</v>
      </c>
      <c r="B274" s="6">
        <v>2185.0889999999999</v>
      </c>
      <c r="C274">
        <v>-9</v>
      </c>
    </row>
    <row r="275" spans="1:3" x14ac:dyDescent="0.25">
      <c r="A275" t="s">
        <v>686</v>
      </c>
      <c r="B275" s="6">
        <v>1988.9109999999998</v>
      </c>
      <c r="C275">
        <v>-8</v>
      </c>
    </row>
    <row r="276" spans="1:3" x14ac:dyDescent="0.25">
      <c r="A276" t="s">
        <v>687</v>
      </c>
      <c r="B276" s="6">
        <v>2087</v>
      </c>
      <c r="C276">
        <v>-9</v>
      </c>
    </row>
    <row r="277" spans="1:3" x14ac:dyDescent="0.25">
      <c r="A277" t="s">
        <v>688</v>
      </c>
      <c r="B277" s="6">
        <v>1988.9109999999998</v>
      </c>
      <c r="C277">
        <v>-8</v>
      </c>
    </row>
    <row r="278" spans="1:3" x14ac:dyDescent="0.25">
      <c r="A278" t="s">
        <v>689</v>
      </c>
      <c r="B278" s="6">
        <v>2185.0889999999999</v>
      </c>
      <c r="C278">
        <v>-9</v>
      </c>
    </row>
    <row r="279" spans="1:3" x14ac:dyDescent="0.25">
      <c r="A279" t="s">
        <v>690</v>
      </c>
      <c r="B279" s="6">
        <v>1988.9109999999998</v>
      </c>
      <c r="C279">
        <v>-8</v>
      </c>
    </row>
    <row r="280" spans="1:3" x14ac:dyDescent="0.25">
      <c r="A280" t="s">
        <v>691</v>
      </c>
      <c r="B280" s="6">
        <v>2087</v>
      </c>
      <c r="C280">
        <v>-8</v>
      </c>
    </row>
    <row r="281" spans="1:3" x14ac:dyDescent="0.25">
      <c r="A281" t="s">
        <v>692</v>
      </c>
      <c r="B281" s="6">
        <v>2548.2270000000003</v>
      </c>
      <c r="C281">
        <v>-11</v>
      </c>
    </row>
    <row r="282" spans="1:3" x14ac:dyDescent="0.25">
      <c r="A282" t="s">
        <v>693</v>
      </c>
      <c r="B282" s="6">
        <v>2185.0889999999999</v>
      </c>
      <c r="C282">
        <v>-9</v>
      </c>
    </row>
    <row r="283" spans="1:3" x14ac:dyDescent="0.25">
      <c r="A283" t="s">
        <v>694</v>
      </c>
      <c r="B283" s="6">
        <v>2185.0889999999999</v>
      </c>
      <c r="C283">
        <v>-8</v>
      </c>
    </row>
    <row r="284" spans="1:3" x14ac:dyDescent="0.25">
      <c r="A284" t="s">
        <v>695</v>
      </c>
      <c r="B284" s="6">
        <v>2281.0909999999999</v>
      </c>
      <c r="C284">
        <v>-10</v>
      </c>
    </row>
    <row r="285" spans="1:3" x14ac:dyDescent="0.25">
      <c r="A285" t="s">
        <v>696</v>
      </c>
      <c r="B285" s="6">
        <v>2087</v>
      </c>
      <c r="C285">
        <v>-8</v>
      </c>
    </row>
    <row r="286" spans="1:3" x14ac:dyDescent="0.25">
      <c r="A286" t="s">
        <v>697</v>
      </c>
      <c r="B286" s="6">
        <v>2185.0889999999999</v>
      </c>
      <c r="C286">
        <v>-9</v>
      </c>
    </row>
    <row r="287" spans="1:3" x14ac:dyDescent="0.25">
      <c r="A287" t="s">
        <v>698</v>
      </c>
      <c r="B287" s="6">
        <v>2281.0909999999999</v>
      </c>
      <c r="C287">
        <v>-9</v>
      </c>
    </row>
    <row r="288" spans="1:3" x14ac:dyDescent="0.25">
      <c r="A288" t="s">
        <v>699</v>
      </c>
      <c r="B288" s="6">
        <v>2185.0889999999999</v>
      </c>
      <c r="C288">
        <v>-9</v>
      </c>
    </row>
    <row r="289" spans="1:3" x14ac:dyDescent="0.25">
      <c r="A289" t="s">
        <v>700</v>
      </c>
      <c r="B289" s="6">
        <v>2281.0909999999999</v>
      </c>
      <c r="C289">
        <v>-10</v>
      </c>
    </row>
    <row r="290" spans="1:3" x14ac:dyDescent="0.25">
      <c r="A290" t="s">
        <v>701</v>
      </c>
      <c r="B290" s="6">
        <v>2379.1800000000003</v>
      </c>
      <c r="C290">
        <v>-10</v>
      </c>
    </row>
    <row r="291" spans="1:3" x14ac:dyDescent="0.25">
      <c r="A291" t="s">
        <v>701</v>
      </c>
      <c r="B291" s="6">
        <v>2087</v>
      </c>
      <c r="C291">
        <v>-8</v>
      </c>
    </row>
    <row r="292" spans="1:3" x14ac:dyDescent="0.25">
      <c r="A292" t="s">
        <v>702</v>
      </c>
      <c r="B292" s="6">
        <v>2185.0889999999999</v>
      </c>
      <c r="C292">
        <v>-9</v>
      </c>
    </row>
    <row r="293" spans="1:3" x14ac:dyDescent="0.25">
      <c r="A293" t="s">
        <v>703</v>
      </c>
      <c r="B293" s="6">
        <v>2087</v>
      </c>
      <c r="C293">
        <v>-8</v>
      </c>
    </row>
    <row r="294" spans="1:3" x14ac:dyDescent="0.25">
      <c r="A294" t="s">
        <v>704</v>
      </c>
      <c r="B294" s="6">
        <v>2087</v>
      </c>
      <c r="C294">
        <v>-8</v>
      </c>
    </row>
    <row r="295" spans="1:3" x14ac:dyDescent="0.25">
      <c r="A295" t="s">
        <v>705</v>
      </c>
      <c r="B295" s="6">
        <v>2281.0909999999999</v>
      </c>
      <c r="C295">
        <v>-9</v>
      </c>
    </row>
    <row r="296" spans="1:3" x14ac:dyDescent="0.25">
      <c r="A296" t="s">
        <v>706</v>
      </c>
      <c r="B296" s="6">
        <v>2185.0889999999999</v>
      </c>
      <c r="C296">
        <v>-9</v>
      </c>
    </row>
    <row r="297" spans="1:3" x14ac:dyDescent="0.25">
      <c r="A297" t="s">
        <v>707</v>
      </c>
      <c r="B297" s="6">
        <v>1988.9109999999998</v>
      </c>
      <c r="C297">
        <v>-8</v>
      </c>
    </row>
    <row r="298" spans="1:3" x14ac:dyDescent="0.25">
      <c r="A298" t="s">
        <v>708</v>
      </c>
      <c r="B298" s="6">
        <v>2281.0909999999999</v>
      </c>
      <c r="C298">
        <v>-9</v>
      </c>
    </row>
    <row r="299" spans="1:3" x14ac:dyDescent="0.25">
      <c r="A299" t="s">
        <v>709</v>
      </c>
      <c r="B299" s="6">
        <v>2087</v>
      </c>
      <c r="C299">
        <v>-8</v>
      </c>
    </row>
    <row r="300" spans="1:3" x14ac:dyDescent="0.25">
      <c r="A300" t="s">
        <v>710</v>
      </c>
      <c r="B300" s="6">
        <v>2548.2270000000003</v>
      </c>
      <c r="C300">
        <v>-11</v>
      </c>
    </row>
    <row r="301" spans="1:3" x14ac:dyDescent="0.25">
      <c r="A301" t="s">
        <v>711</v>
      </c>
      <c r="B301" s="6">
        <v>2281.0909999999999</v>
      </c>
      <c r="C301">
        <v>-9</v>
      </c>
    </row>
    <row r="302" spans="1:3" x14ac:dyDescent="0.25">
      <c r="A302" t="s">
        <v>712</v>
      </c>
      <c r="B302" s="6">
        <v>2379.1800000000003</v>
      </c>
      <c r="C302">
        <v>-10</v>
      </c>
    </row>
    <row r="303" spans="1:3" x14ac:dyDescent="0.25">
      <c r="A303" t="s">
        <v>713</v>
      </c>
      <c r="B303" s="6">
        <v>2087</v>
      </c>
      <c r="C303">
        <v>-9</v>
      </c>
    </row>
    <row r="304" spans="1:3" x14ac:dyDescent="0.25">
      <c r="A304" t="s">
        <v>714</v>
      </c>
      <c r="B304" s="6">
        <v>1892.9090000000001</v>
      </c>
      <c r="C304">
        <v>-7</v>
      </c>
    </row>
    <row r="305" spans="1:3" x14ac:dyDescent="0.25">
      <c r="A305" t="s">
        <v>715</v>
      </c>
      <c r="B305" s="6">
        <v>1988.9109999999998</v>
      </c>
      <c r="C305">
        <v>-8</v>
      </c>
    </row>
    <row r="306" spans="1:3" x14ac:dyDescent="0.25">
      <c r="A306" t="s">
        <v>716</v>
      </c>
      <c r="B306" s="6">
        <v>2185.0889999999999</v>
      </c>
      <c r="C306">
        <v>-8</v>
      </c>
    </row>
    <row r="307" spans="1:3" x14ac:dyDescent="0.25">
      <c r="A307" t="s">
        <v>717</v>
      </c>
      <c r="B307" s="6">
        <v>1988.9109999999998</v>
      </c>
      <c r="C307">
        <v>-8</v>
      </c>
    </row>
    <row r="308" spans="1:3" x14ac:dyDescent="0.25">
      <c r="A308" t="s">
        <v>718</v>
      </c>
      <c r="B308" s="6">
        <v>2087</v>
      </c>
      <c r="C308">
        <v>-8</v>
      </c>
    </row>
    <row r="309" spans="1:3" x14ac:dyDescent="0.25">
      <c r="A309" t="s">
        <v>719</v>
      </c>
      <c r="B309" s="6">
        <v>1988.9109999999998</v>
      </c>
      <c r="C309">
        <v>-8</v>
      </c>
    </row>
    <row r="310" spans="1:3" x14ac:dyDescent="0.25">
      <c r="A310" t="s">
        <v>720</v>
      </c>
      <c r="B310" s="6">
        <v>2087</v>
      </c>
      <c r="C310">
        <v>-8</v>
      </c>
    </row>
    <row r="311" spans="1:3" x14ac:dyDescent="0.25">
      <c r="A311" t="s">
        <v>721</v>
      </c>
      <c r="B311" s="6">
        <v>2185.0889999999999</v>
      </c>
      <c r="C311">
        <v>-9</v>
      </c>
    </row>
    <row r="312" spans="1:3" x14ac:dyDescent="0.25">
      <c r="A312" t="s">
        <v>722</v>
      </c>
      <c r="B312" s="6">
        <v>2087</v>
      </c>
      <c r="C312">
        <v>-9</v>
      </c>
    </row>
    <row r="313" spans="1:3" x14ac:dyDescent="0.25">
      <c r="A313" t="s">
        <v>723</v>
      </c>
      <c r="B313" s="6">
        <v>2379.1800000000003</v>
      </c>
      <c r="C313">
        <v>-10</v>
      </c>
    </row>
    <row r="314" spans="1:3" x14ac:dyDescent="0.25">
      <c r="A314" t="s">
        <v>724</v>
      </c>
      <c r="B314" s="6">
        <v>1988.9109999999998</v>
      </c>
      <c r="C314">
        <v>-8</v>
      </c>
    </row>
    <row r="315" spans="1:3" x14ac:dyDescent="0.25">
      <c r="A315" t="s">
        <v>725</v>
      </c>
      <c r="B315" s="6">
        <v>2087</v>
      </c>
      <c r="C315">
        <v>-9</v>
      </c>
    </row>
    <row r="316" spans="1:3" x14ac:dyDescent="0.25">
      <c r="A316" t="s">
        <v>726</v>
      </c>
      <c r="B316" s="6">
        <v>1988.9109999999998</v>
      </c>
      <c r="C316">
        <v>-8</v>
      </c>
    </row>
    <row r="317" spans="1:3" x14ac:dyDescent="0.25">
      <c r="A317" t="s">
        <v>727</v>
      </c>
      <c r="B317" s="6">
        <v>2087</v>
      </c>
      <c r="C317">
        <v>-8</v>
      </c>
    </row>
    <row r="318" spans="1:3" x14ac:dyDescent="0.25">
      <c r="A318" t="s">
        <v>728</v>
      </c>
      <c r="B318" s="6">
        <v>2185.0889999999999</v>
      </c>
      <c r="C318">
        <v>-9</v>
      </c>
    </row>
    <row r="319" spans="1:3" x14ac:dyDescent="0.25">
      <c r="A319" t="s">
        <v>729</v>
      </c>
      <c r="B319" s="6">
        <v>2087</v>
      </c>
      <c r="C319">
        <v>-8</v>
      </c>
    </row>
    <row r="320" spans="1:3" x14ac:dyDescent="0.25">
      <c r="A320" t="s">
        <v>730</v>
      </c>
      <c r="B320" s="6">
        <v>2087</v>
      </c>
      <c r="C320">
        <v>-8</v>
      </c>
    </row>
    <row r="321" spans="1:3" x14ac:dyDescent="0.25">
      <c r="A321" t="s">
        <v>731</v>
      </c>
      <c r="B321" s="6">
        <v>2087</v>
      </c>
      <c r="C321">
        <v>-8</v>
      </c>
    </row>
    <row r="322" spans="1:3" x14ac:dyDescent="0.25">
      <c r="A322" t="s">
        <v>732</v>
      </c>
      <c r="B322" s="6">
        <v>2185.0889999999999</v>
      </c>
      <c r="C322">
        <v>-9</v>
      </c>
    </row>
    <row r="323" spans="1:3" x14ac:dyDescent="0.25">
      <c r="A323" t="s">
        <v>733</v>
      </c>
      <c r="B323" s="6">
        <v>1988.9109999999998</v>
      </c>
      <c r="C323">
        <v>-8</v>
      </c>
    </row>
    <row r="324" spans="1:3" x14ac:dyDescent="0.25">
      <c r="A324" t="s">
        <v>734</v>
      </c>
      <c r="B324" s="6">
        <v>2281.0909999999999</v>
      </c>
      <c r="C324">
        <v>-9</v>
      </c>
    </row>
    <row r="325" spans="1:3" x14ac:dyDescent="0.25">
      <c r="A325" t="s">
        <v>735</v>
      </c>
      <c r="B325" s="6">
        <v>2185.0889999999999</v>
      </c>
      <c r="C325">
        <v>-9</v>
      </c>
    </row>
    <row r="326" spans="1:3" x14ac:dyDescent="0.25">
      <c r="A326" t="s">
        <v>736</v>
      </c>
      <c r="B326" s="6">
        <v>2185.0889999999999</v>
      </c>
      <c r="C326">
        <v>-8</v>
      </c>
    </row>
    <row r="327" spans="1:3" x14ac:dyDescent="0.25">
      <c r="A327" t="s">
        <v>737</v>
      </c>
      <c r="B327" s="6">
        <v>2790.319</v>
      </c>
      <c r="C327">
        <v>-10</v>
      </c>
    </row>
    <row r="328" spans="1:3" x14ac:dyDescent="0.25">
      <c r="A328" t="s">
        <v>738</v>
      </c>
      <c r="B328" s="6">
        <v>2379.1800000000003</v>
      </c>
      <c r="C328">
        <v>-10</v>
      </c>
    </row>
    <row r="329" spans="1:3" x14ac:dyDescent="0.25">
      <c r="A329" t="s">
        <v>739</v>
      </c>
      <c r="B329" s="6">
        <v>2548.2270000000003</v>
      </c>
      <c r="C329">
        <v>-10</v>
      </c>
    </row>
    <row r="330" spans="1:3" x14ac:dyDescent="0.25">
      <c r="A330" t="s">
        <v>740</v>
      </c>
      <c r="B330" s="6">
        <v>2548.2270000000003</v>
      </c>
      <c r="C330">
        <v>-10</v>
      </c>
    </row>
    <row r="331" spans="1:3" x14ac:dyDescent="0.25">
      <c r="A331" t="s">
        <v>741</v>
      </c>
      <c r="B331" s="6">
        <v>2185.0889999999999</v>
      </c>
      <c r="C331">
        <v>-8</v>
      </c>
    </row>
    <row r="332" spans="1:3" x14ac:dyDescent="0.25">
      <c r="A332" t="s">
        <v>742</v>
      </c>
      <c r="B332" s="6">
        <v>2087</v>
      </c>
      <c r="C332">
        <v>-8</v>
      </c>
    </row>
    <row r="333" spans="1:3" x14ac:dyDescent="0.25">
      <c r="A333" t="s">
        <v>743</v>
      </c>
      <c r="B333" s="6">
        <v>2379.1800000000003</v>
      </c>
      <c r="C333">
        <v>-10</v>
      </c>
    </row>
    <row r="334" spans="1:3" x14ac:dyDescent="0.25">
      <c r="A334" t="s">
        <v>744</v>
      </c>
      <c r="B334" s="6">
        <v>2281.0909999999999</v>
      </c>
      <c r="C334">
        <v>-9</v>
      </c>
    </row>
    <row r="335" spans="1:3" x14ac:dyDescent="0.25">
      <c r="A335" t="s">
        <v>745</v>
      </c>
      <c r="B335" s="6">
        <v>2185.0889999999999</v>
      </c>
      <c r="C335">
        <v>-8</v>
      </c>
    </row>
    <row r="336" spans="1:3" x14ac:dyDescent="0.25">
      <c r="A336" t="s">
        <v>746</v>
      </c>
      <c r="B336" s="6">
        <v>2087</v>
      </c>
      <c r="C336">
        <v>-8</v>
      </c>
    </row>
    <row r="337" spans="1:3" x14ac:dyDescent="0.25">
      <c r="A337" t="s">
        <v>747</v>
      </c>
      <c r="B337" s="6">
        <v>2281.0909999999999</v>
      </c>
      <c r="C337">
        <v>-10</v>
      </c>
    </row>
    <row r="338" spans="1:3" x14ac:dyDescent="0.25">
      <c r="A338" t="s">
        <v>748</v>
      </c>
      <c r="B338" s="6">
        <v>2087</v>
      </c>
      <c r="C338">
        <v>-8</v>
      </c>
    </row>
    <row r="339" spans="1:3" x14ac:dyDescent="0.25">
      <c r="A339" t="s">
        <v>749</v>
      </c>
      <c r="B339" s="6">
        <v>2087</v>
      </c>
      <c r="C339">
        <v>-9</v>
      </c>
    </row>
    <row r="340" spans="1:3" x14ac:dyDescent="0.25">
      <c r="A340" t="s">
        <v>750</v>
      </c>
      <c r="B340" s="6">
        <v>1988.9109999999998</v>
      </c>
      <c r="C340">
        <v>-8</v>
      </c>
    </row>
    <row r="341" spans="1:3" x14ac:dyDescent="0.25">
      <c r="A341" t="s">
        <v>751</v>
      </c>
      <c r="B341" s="6">
        <v>2087</v>
      </c>
      <c r="C341">
        <v>-8</v>
      </c>
    </row>
    <row r="342" spans="1:3" x14ac:dyDescent="0.25">
      <c r="A342" t="s">
        <v>752</v>
      </c>
      <c r="B342" s="6">
        <v>2185.0889999999999</v>
      </c>
      <c r="C342">
        <v>-9</v>
      </c>
    </row>
    <row r="343" spans="1:3" x14ac:dyDescent="0.25">
      <c r="A343" t="s">
        <v>753</v>
      </c>
      <c r="B343" s="6">
        <v>2185.0889999999999</v>
      </c>
      <c r="C343">
        <v>-9</v>
      </c>
    </row>
    <row r="344" spans="1:3" x14ac:dyDescent="0.25">
      <c r="A344" t="s">
        <v>754</v>
      </c>
      <c r="B344" s="6">
        <v>2548.2270000000003</v>
      </c>
      <c r="C344">
        <v>-11</v>
      </c>
    </row>
    <row r="345" spans="1:3" x14ac:dyDescent="0.25">
      <c r="A345" t="s">
        <v>755</v>
      </c>
      <c r="B345" s="6">
        <v>2379.1800000000003</v>
      </c>
      <c r="C345">
        <v>-11</v>
      </c>
    </row>
    <row r="346" spans="1:3" x14ac:dyDescent="0.25">
      <c r="A346" t="s">
        <v>756</v>
      </c>
      <c r="B346" s="6">
        <v>2087</v>
      </c>
      <c r="C346">
        <v>-8</v>
      </c>
    </row>
    <row r="347" spans="1:3" x14ac:dyDescent="0.25">
      <c r="A347" t="s">
        <v>757</v>
      </c>
      <c r="B347" s="6">
        <v>2281.0909999999999</v>
      </c>
      <c r="C347">
        <v>-10</v>
      </c>
    </row>
    <row r="348" spans="1:3" x14ac:dyDescent="0.25">
      <c r="A348" t="s">
        <v>758</v>
      </c>
      <c r="B348" s="6">
        <v>2087</v>
      </c>
      <c r="C348">
        <v>-9</v>
      </c>
    </row>
    <row r="349" spans="1:3" x14ac:dyDescent="0.25">
      <c r="A349" t="s">
        <v>759</v>
      </c>
      <c r="B349" s="6">
        <v>2087</v>
      </c>
      <c r="C349">
        <v>-8</v>
      </c>
    </row>
    <row r="350" spans="1:3" x14ac:dyDescent="0.25">
      <c r="A350" t="s">
        <v>760</v>
      </c>
      <c r="B350" s="6">
        <v>2087</v>
      </c>
      <c r="C350">
        <v>-8</v>
      </c>
    </row>
    <row r="351" spans="1:3" x14ac:dyDescent="0.25">
      <c r="A351" t="s">
        <v>761</v>
      </c>
      <c r="B351" s="6">
        <v>2185.0889999999999</v>
      </c>
      <c r="C351">
        <v>-9</v>
      </c>
    </row>
    <row r="352" spans="1:3" x14ac:dyDescent="0.25">
      <c r="A352" t="s">
        <v>762</v>
      </c>
      <c r="B352" s="6">
        <v>2087</v>
      </c>
      <c r="C352">
        <v>-8</v>
      </c>
    </row>
    <row r="353" spans="1:3" x14ac:dyDescent="0.25">
      <c r="A353" t="s">
        <v>763</v>
      </c>
      <c r="B353" s="6">
        <v>2185.0889999999999</v>
      </c>
      <c r="C353">
        <v>-9</v>
      </c>
    </row>
    <row r="354" spans="1:3" x14ac:dyDescent="0.25">
      <c r="A354" t="s">
        <v>764</v>
      </c>
      <c r="B354" s="6">
        <v>2548.2270000000003</v>
      </c>
      <c r="C354">
        <v>-11</v>
      </c>
    </row>
    <row r="355" spans="1:3" x14ac:dyDescent="0.25">
      <c r="A355" t="s">
        <v>765</v>
      </c>
      <c r="B355" s="6">
        <v>2087</v>
      </c>
      <c r="C355">
        <v>-8</v>
      </c>
    </row>
    <row r="356" spans="1:3" x14ac:dyDescent="0.25">
      <c r="A356" t="s">
        <v>766</v>
      </c>
      <c r="B356" s="6">
        <v>2087</v>
      </c>
      <c r="C356">
        <v>-9</v>
      </c>
    </row>
    <row r="357" spans="1:3" x14ac:dyDescent="0.25">
      <c r="A357" t="s">
        <v>767</v>
      </c>
      <c r="B357" s="6">
        <v>2185.0889999999999</v>
      </c>
      <c r="C357">
        <v>-8</v>
      </c>
    </row>
    <row r="358" spans="1:3" x14ac:dyDescent="0.25">
      <c r="A358" t="s">
        <v>768</v>
      </c>
      <c r="B358" s="6">
        <v>2087</v>
      </c>
      <c r="C358">
        <v>-9</v>
      </c>
    </row>
    <row r="359" spans="1:3" x14ac:dyDescent="0.25">
      <c r="A359" t="s">
        <v>769</v>
      </c>
      <c r="B359" s="6">
        <v>1892.9090000000001</v>
      </c>
      <c r="C359">
        <v>-7</v>
      </c>
    </row>
    <row r="360" spans="1:3" x14ac:dyDescent="0.25">
      <c r="A360" t="s">
        <v>770</v>
      </c>
      <c r="B360" s="6">
        <v>2185.0889999999999</v>
      </c>
      <c r="C360">
        <v>-9</v>
      </c>
    </row>
    <row r="361" spans="1:3" x14ac:dyDescent="0.25">
      <c r="A361" t="s">
        <v>771</v>
      </c>
      <c r="B361" s="6">
        <v>1988.9109999999998</v>
      </c>
      <c r="C361">
        <v>-8</v>
      </c>
    </row>
    <row r="362" spans="1:3" x14ac:dyDescent="0.25">
      <c r="A362" t="s">
        <v>772</v>
      </c>
      <c r="B362" s="6">
        <v>2281.0909999999999</v>
      </c>
      <c r="C362">
        <v>-9</v>
      </c>
    </row>
    <row r="363" spans="1:3" x14ac:dyDescent="0.25">
      <c r="A363" t="s">
        <v>773</v>
      </c>
      <c r="B363" s="6">
        <v>1988.9109999999998</v>
      </c>
      <c r="C363">
        <v>-8</v>
      </c>
    </row>
    <row r="364" spans="1:3" x14ac:dyDescent="0.25">
      <c r="A364" t="s">
        <v>774</v>
      </c>
      <c r="B364" s="6">
        <v>2087</v>
      </c>
      <c r="C364">
        <v>-9</v>
      </c>
    </row>
    <row r="365" spans="1:3" x14ac:dyDescent="0.25">
      <c r="A365" t="s">
        <v>775</v>
      </c>
      <c r="B365" s="6">
        <v>2087</v>
      </c>
      <c r="C365">
        <v>-8</v>
      </c>
    </row>
    <row r="366" spans="1:3" x14ac:dyDescent="0.25">
      <c r="A366" t="s">
        <v>776</v>
      </c>
      <c r="B366" s="6">
        <v>2087</v>
      </c>
      <c r="C366">
        <v>-8</v>
      </c>
    </row>
    <row r="367" spans="1:3" x14ac:dyDescent="0.25">
      <c r="A367" t="s">
        <v>777</v>
      </c>
      <c r="B367" s="6">
        <v>1988.9109999999998</v>
      </c>
      <c r="C367">
        <v>-8</v>
      </c>
    </row>
    <row r="368" spans="1:3" x14ac:dyDescent="0.25">
      <c r="A368" t="s">
        <v>778</v>
      </c>
      <c r="B368" s="6">
        <v>2379.1800000000003</v>
      </c>
      <c r="C368">
        <v>-11</v>
      </c>
    </row>
    <row r="369" spans="1:3" x14ac:dyDescent="0.25">
      <c r="A369" t="s">
        <v>779</v>
      </c>
      <c r="B369" s="6">
        <v>2379.1800000000003</v>
      </c>
      <c r="C369">
        <v>-11</v>
      </c>
    </row>
    <row r="370" spans="1:3" x14ac:dyDescent="0.25">
      <c r="A370" t="s">
        <v>780</v>
      </c>
      <c r="B370" s="6">
        <v>2087</v>
      </c>
      <c r="C370">
        <v>-8</v>
      </c>
    </row>
    <row r="371" spans="1:3" x14ac:dyDescent="0.25">
      <c r="A371" t="s">
        <v>781</v>
      </c>
      <c r="B371" s="6">
        <v>2087</v>
      </c>
      <c r="C371">
        <v>-8</v>
      </c>
    </row>
    <row r="372" spans="1:3" x14ac:dyDescent="0.25">
      <c r="A372" t="s">
        <v>782</v>
      </c>
      <c r="B372" s="6">
        <v>2087</v>
      </c>
      <c r="C372">
        <v>-8</v>
      </c>
    </row>
    <row r="373" spans="1:3" x14ac:dyDescent="0.25">
      <c r="A373" t="s">
        <v>783</v>
      </c>
      <c r="B373" s="6">
        <v>2087</v>
      </c>
      <c r="C373">
        <v>-8</v>
      </c>
    </row>
    <row r="374" spans="1:3" x14ac:dyDescent="0.25">
      <c r="A374" t="s">
        <v>784</v>
      </c>
      <c r="B374" s="6">
        <v>2087</v>
      </c>
      <c r="C374">
        <v>-8</v>
      </c>
    </row>
    <row r="375" spans="1:3" x14ac:dyDescent="0.25">
      <c r="A375" t="s">
        <v>785</v>
      </c>
      <c r="B375" s="6">
        <v>2087</v>
      </c>
      <c r="C375">
        <v>-8</v>
      </c>
    </row>
    <row r="376" spans="1:3" x14ac:dyDescent="0.25">
      <c r="A376" t="s">
        <v>786</v>
      </c>
      <c r="B376" s="6">
        <v>2185.0889999999999</v>
      </c>
      <c r="C376">
        <v>-9</v>
      </c>
    </row>
    <row r="377" spans="1:3" x14ac:dyDescent="0.25">
      <c r="A377" t="s">
        <v>787</v>
      </c>
      <c r="B377" s="6">
        <v>2087</v>
      </c>
      <c r="C377">
        <v>-8</v>
      </c>
    </row>
    <row r="378" spans="1:3" x14ac:dyDescent="0.25">
      <c r="A378" t="s">
        <v>788</v>
      </c>
      <c r="B378" s="6">
        <v>1988.9109999999998</v>
      </c>
      <c r="C378">
        <v>-8</v>
      </c>
    </row>
    <row r="379" spans="1:3" x14ac:dyDescent="0.25">
      <c r="A379" t="s">
        <v>789</v>
      </c>
      <c r="B379" s="6">
        <v>2087</v>
      </c>
      <c r="C379">
        <v>-8</v>
      </c>
    </row>
    <row r="380" spans="1:3" x14ac:dyDescent="0.25">
      <c r="A380" t="s">
        <v>790</v>
      </c>
      <c r="B380" s="6">
        <v>2379.1800000000003</v>
      </c>
      <c r="C380">
        <v>-10</v>
      </c>
    </row>
    <row r="381" spans="1:3" x14ac:dyDescent="0.25">
      <c r="A381" t="s">
        <v>791</v>
      </c>
      <c r="B381" s="6">
        <v>2087</v>
      </c>
      <c r="C381">
        <v>-8</v>
      </c>
    </row>
    <row r="382" spans="1:3" x14ac:dyDescent="0.25">
      <c r="A382" t="s">
        <v>792</v>
      </c>
      <c r="B382" s="6">
        <v>2087</v>
      </c>
      <c r="C382">
        <v>-8</v>
      </c>
    </row>
    <row r="383" spans="1:3" x14ac:dyDescent="0.25">
      <c r="A383" t="s">
        <v>793</v>
      </c>
      <c r="B383" s="6">
        <v>2961.453</v>
      </c>
      <c r="C383">
        <v>-12</v>
      </c>
    </row>
    <row r="384" spans="1:3" x14ac:dyDescent="0.25">
      <c r="A384" t="s">
        <v>794</v>
      </c>
      <c r="B384" s="6">
        <v>1892.9090000000001</v>
      </c>
      <c r="C384">
        <v>-8</v>
      </c>
    </row>
    <row r="385" spans="1:3" x14ac:dyDescent="0.25">
      <c r="A385" t="s">
        <v>795</v>
      </c>
      <c r="B385" s="6">
        <v>2087</v>
      </c>
      <c r="C385">
        <v>-8</v>
      </c>
    </row>
    <row r="386" spans="1:3" x14ac:dyDescent="0.25">
      <c r="A386" t="s">
        <v>796</v>
      </c>
      <c r="B386" s="6">
        <v>1988.9109999999998</v>
      </c>
      <c r="C386">
        <v>-8</v>
      </c>
    </row>
    <row r="387" spans="1:3" x14ac:dyDescent="0.25">
      <c r="A387" t="s">
        <v>797</v>
      </c>
      <c r="B387" s="6">
        <v>2185.0889999999999</v>
      </c>
      <c r="C387">
        <v>-9</v>
      </c>
    </row>
    <row r="388" spans="1:3" x14ac:dyDescent="0.25">
      <c r="A388" t="s">
        <v>798</v>
      </c>
      <c r="B388" s="6">
        <v>2548.2270000000003</v>
      </c>
      <c r="C388">
        <v>-10</v>
      </c>
    </row>
    <row r="389" spans="1:3" x14ac:dyDescent="0.25">
      <c r="A389" t="s">
        <v>799</v>
      </c>
      <c r="B389" s="6">
        <v>2790.319</v>
      </c>
      <c r="C389">
        <v>-11</v>
      </c>
    </row>
    <row r="390" spans="1:3" x14ac:dyDescent="0.25">
      <c r="A390" t="s">
        <v>800</v>
      </c>
      <c r="B390" s="6">
        <v>2087</v>
      </c>
      <c r="C390">
        <v>-8</v>
      </c>
    </row>
    <row r="391" spans="1:3" x14ac:dyDescent="0.25">
      <c r="A391" t="s">
        <v>801</v>
      </c>
      <c r="B391" s="6">
        <v>2087</v>
      </c>
      <c r="C391">
        <v>-8</v>
      </c>
    </row>
    <row r="392" spans="1:3" x14ac:dyDescent="0.25">
      <c r="A392" t="s">
        <v>802</v>
      </c>
      <c r="B392" s="6">
        <v>2961.453</v>
      </c>
      <c r="C392">
        <v>-12</v>
      </c>
    </row>
    <row r="393" spans="1:3" x14ac:dyDescent="0.25">
      <c r="A393" t="s">
        <v>803</v>
      </c>
      <c r="B393" s="6">
        <v>2087</v>
      </c>
      <c r="C393">
        <v>-9</v>
      </c>
    </row>
    <row r="394" spans="1:3" x14ac:dyDescent="0.25">
      <c r="A394" t="s">
        <v>804</v>
      </c>
      <c r="B394" s="6">
        <v>2185.0889999999999</v>
      </c>
      <c r="C394">
        <v>-9</v>
      </c>
    </row>
    <row r="395" spans="1:3" x14ac:dyDescent="0.25">
      <c r="A395" t="s">
        <v>805</v>
      </c>
      <c r="B395" s="6">
        <v>2548.2270000000003</v>
      </c>
      <c r="C395">
        <v>-11</v>
      </c>
    </row>
    <row r="396" spans="1:3" x14ac:dyDescent="0.25">
      <c r="A396" t="s">
        <v>806</v>
      </c>
      <c r="B396" s="6">
        <v>2185.0889999999999</v>
      </c>
      <c r="C396">
        <v>-9</v>
      </c>
    </row>
    <row r="397" spans="1:3" x14ac:dyDescent="0.25">
      <c r="A397" t="s">
        <v>807</v>
      </c>
      <c r="B397" s="6">
        <v>2087</v>
      </c>
      <c r="C397">
        <v>-8</v>
      </c>
    </row>
    <row r="398" spans="1:3" x14ac:dyDescent="0.25">
      <c r="A398" t="s">
        <v>808</v>
      </c>
      <c r="B398" s="6">
        <v>2087</v>
      </c>
      <c r="C398">
        <v>-8</v>
      </c>
    </row>
    <row r="399" spans="1:3" x14ac:dyDescent="0.25">
      <c r="A399" t="s">
        <v>809</v>
      </c>
      <c r="B399" s="6">
        <v>2087</v>
      </c>
      <c r="C399">
        <v>-8</v>
      </c>
    </row>
    <row r="400" spans="1:3" x14ac:dyDescent="0.25">
      <c r="A400" t="s">
        <v>810</v>
      </c>
      <c r="B400" s="6">
        <v>2087</v>
      </c>
      <c r="C400">
        <v>-8</v>
      </c>
    </row>
    <row r="401" spans="1:3" x14ac:dyDescent="0.25">
      <c r="A401" t="s">
        <v>811</v>
      </c>
      <c r="B401" s="6">
        <v>2790.319</v>
      </c>
      <c r="C401">
        <v>-11</v>
      </c>
    </row>
    <row r="402" spans="1:3" x14ac:dyDescent="0.25">
      <c r="A402" t="s">
        <v>812</v>
      </c>
      <c r="B402" s="6">
        <v>2185.0889999999999</v>
      </c>
      <c r="C402">
        <v>-9</v>
      </c>
    </row>
    <row r="403" spans="1:3" x14ac:dyDescent="0.25">
      <c r="A403" t="s">
        <v>813</v>
      </c>
      <c r="B403" s="6">
        <v>2087</v>
      </c>
      <c r="C403">
        <v>-8</v>
      </c>
    </row>
    <row r="404" spans="1:3" x14ac:dyDescent="0.25">
      <c r="A404" t="s">
        <v>814</v>
      </c>
      <c r="B404" s="6">
        <v>2281.0909999999999</v>
      </c>
      <c r="C404">
        <v>-9</v>
      </c>
    </row>
    <row r="405" spans="1:3" x14ac:dyDescent="0.25">
      <c r="A405" t="s">
        <v>815</v>
      </c>
      <c r="B405" s="6">
        <v>2087</v>
      </c>
      <c r="C405">
        <v>-8</v>
      </c>
    </row>
    <row r="406" spans="1:3" x14ac:dyDescent="0.25">
      <c r="A406" t="s">
        <v>815</v>
      </c>
      <c r="B406" s="6">
        <v>2185.0889999999999</v>
      </c>
      <c r="C406">
        <v>-9</v>
      </c>
    </row>
    <row r="407" spans="1:3" x14ac:dyDescent="0.25">
      <c r="A407" t="s">
        <v>815</v>
      </c>
      <c r="B407" s="6">
        <v>2379.1800000000003</v>
      </c>
      <c r="C407">
        <v>-10</v>
      </c>
    </row>
    <row r="408" spans="1:3" x14ac:dyDescent="0.25">
      <c r="A408" t="s">
        <v>816</v>
      </c>
      <c r="B408" s="6">
        <v>2281.0909999999999</v>
      </c>
      <c r="C408">
        <v>-9</v>
      </c>
    </row>
    <row r="409" spans="1:3" x14ac:dyDescent="0.25">
      <c r="A409" t="s">
        <v>817</v>
      </c>
      <c r="B409" s="6">
        <v>2281.0909999999999</v>
      </c>
      <c r="C409">
        <v>-10</v>
      </c>
    </row>
    <row r="410" spans="1:3" x14ac:dyDescent="0.25">
      <c r="A410" t="s">
        <v>818</v>
      </c>
      <c r="B410" s="6">
        <v>2087</v>
      </c>
      <c r="C410">
        <v>-8</v>
      </c>
    </row>
    <row r="411" spans="1:3" x14ac:dyDescent="0.25">
      <c r="A411" t="s">
        <v>819</v>
      </c>
      <c r="B411" s="6">
        <v>2281.0909999999999</v>
      </c>
      <c r="C411">
        <v>-10</v>
      </c>
    </row>
    <row r="412" spans="1:3" x14ac:dyDescent="0.25">
      <c r="A412" t="s">
        <v>820</v>
      </c>
      <c r="B412" s="6">
        <v>2790.319</v>
      </c>
      <c r="C412">
        <v>-11</v>
      </c>
    </row>
    <row r="413" spans="1:3" x14ac:dyDescent="0.25">
      <c r="A413" t="s">
        <v>821</v>
      </c>
      <c r="B413" s="6">
        <v>2185.0889999999999</v>
      </c>
      <c r="C413">
        <v>-9</v>
      </c>
    </row>
    <row r="414" spans="1:3" x14ac:dyDescent="0.25">
      <c r="A414" t="s">
        <v>822</v>
      </c>
      <c r="B414" s="6">
        <v>2548.2270000000003</v>
      </c>
      <c r="C414">
        <v>-11</v>
      </c>
    </row>
    <row r="415" spans="1:3" x14ac:dyDescent="0.25">
      <c r="A415" t="s">
        <v>823</v>
      </c>
      <c r="B415" s="6">
        <v>2548.2270000000003</v>
      </c>
      <c r="C415">
        <v>-10</v>
      </c>
    </row>
    <row r="416" spans="1:3" x14ac:dyDescent="0.25">
      <c r="A416" t="s">
        <v>824</v>
      </c>
      <c r="B416" s="6">
        <v>2548.2270000000003</v>
      </c>
      <c r="C416">
        <v>-10</v>
      </c>
    </row>
    <row r="417" spans="1:3" x14ac:dyDescent="0.25">
      <c r="A417" t="s">
        <v>825</v>
      </c>
      <c r="B417" s="6">
        <v>2185.0889999999999</v>
      </c>
      <c r="C417">
        <v>-9</v>
      </c>
    </row>
    <row r="418" spans="1:3" x14ac:dyDescent="0.25">
      <c r="A418" t="s">
        <v>826</v>
      </c>
      <c r="B418" s="6">
        <v>2087</v>
      </c>
      <c r="C418">
        <v>-8</v>
      </c>
    </row>
    <row r="419" spans="1:3" x14ac:dyDescent="0.25">
      <c r="A419" t="s">
        <v>827</v>
      </c>
      <c r="B419" s="6">
        <v>2087</v>
      </c>
      <c r="C419">
        <v>-8</v>
      </c>
    </row>
    <row r="420" spans="1:3" x14ac:dyDescent="0.25">
      <c r="A420" t="s">
        <v>828</v>
      </c>
      <c r="B420" s="6">
        <v>2185.0889999999999</v>
      </c>
      <c r="C420">
        <v>-9</v>
      </c>
    </row>
    <row r="421" spans="1:3" x14ac:dyDescent="0.25">
      <c r="A421" t="s">
        <v>829</v>
      </c>
      <c r="B421" s="6">
        <v>2185.0889999999999</v>
      </c>
      <c r="C421">
        <v>-9</v>
      </c>
    </row>
    <row r="422" spans="1:3" x14ac:dyDescent="0.25">
      <c r="A422" t="s">
        <v>830</v>
      </c>
      <c r="B422" s="6">
        <v>2281.0909999999999</v>
      </c>
      <c r="C422">
        <v>-9</v>
      </c>
    </row>
    <row r="423" spans="1:3" x14ac:dyDescent="0.25">
      <c r="A423" t="s">
        <v>831</v>
      </c>
      <c r="B423" s="6">
        <v>2548.2270000000003</v>
      </c>
      <c r="C423">
        <v>-10</v>
      </c>
    </row>
    <row r="424" spans="1:3" x14ac:dyDescent="0.25">
      <c r="A424" t="s">
        <v>832</v>
      </c>
      <c r="B424" s="6">
        <v>2185.0889999999999</v>
      </c>
      <c r="C424">
        <v>-9</v>
      </c>
    </row>
    <row r="425" spans="1:3" x14ac:dyDescent="0.25">
      <c r="A425" t="s">
        <v>833</v>
      </c>
      <c r="B425" s="6">
        <v>2185.0889999999999</v>
      </c>
      <c r="C425">
        <v>-9</v>
      </c>
    </row>
    <row r="426" spans="1:3" x14ac:dyDescent="0.25">
      <c r="A426" t="s">
        <v>834</v>
      </c>
      <c r="B426" s="6">
        <v>2281.0909999999999</v>
      </c>
      <c r="C426">
        <v>-9</v>
      </c>
    </row>
    <row r="427" spans="1:3" x14ac:dyDescent="0.25">
      <c r="A427" t="s">
        <v>835</v>
      </c>
      <c r="B427" s="6">
        <v>2281.0909999999999</v>
      </c>
      <c r="C427">
        <v>-9</v>
      </c>
    </row>
    <row r="428" spans="1:3" x14ac:dyDescent="0.25">
      <c r="A428" t="s">
        <v>836</v>
      </c>
      <c r="B428" s="6">
        <v>2281.0909999999999</v>
      </c>
      <c r="C428">
        <v>-9</v>
      </c>
    </row>
    <row r="429" spans="1:3" x14ac:dyDescent="0.25">
      <c r="A429" t="s">
        <v>837</v>
      </c>
      <c r="B429" s="6">
        <v>2379.1800000000003</v>
      </c>
      <c r="C429">
        <v>-10</v>
      </c>
    </row>
    <row r="430" spans="1:3" x14ac:dyDescent="0.25">
      <c r="A430" t="s">
        <v>838</v>
      </c>
      <c r="B430" s="6">
        <v>2281.0909999999999</v>
      </c>
      <c r="C430">
        <v>-9</v>
      </c>
    </row>
    <row r="431" spans="1:3" x14ac:dyDescent="0.25">
      <c r="A431" t="s">
        <v>839</v>
      </c>
      <c r="B431" s="6">
        <v>2087</v>
      </c>
      <c r="C431">
        <v>-8</v>
      </c>
    </row>
    <row r="432" spans="1:3" x14ac:dyDescent="0.25">
      <c r="A432" t="s">
        <v>840</v>
      </c>
      <c r="B432" s="6">
        <v>2087</v>
      </c>
      <c r="C432">
        <v>-8</v>
      </c>
    </row>
    <row r="433" spans="1:3" x14ac:dyDescent="0.25">
      <c r="A433" t="s">
        <v>841</v>
      </c>
      <c r="B433" s="6">
        <v>2281.0909999999999</v>
      </c>
      <c r="C433">
        <v>-9</v>
      </c>
    </row>
    <row r="434" spans="1:3" x14ac:dyDescent="0.25">
      <c r="A434" t="s">
        <v>842</v>
      </c>
      <c r="B434" s="6">
        <v>2548.2270000000003</v>
      </c>
      <c r="C434">
        <v>-11</v>
      </c>
    </row>
    <row r="435" spans="1:3" x14ac:dyDescent="0.25">
      <c r="A435" t="s">
        <v>843</v>
      </c>
      <c r="B435" s="6">
        <v>2281.0909999999999</v>
      </c>
      <c r="C435">
        <v>-9</v>
      </c>
    </row>
    <row r="436" spans="1:3" x14ac:dyDescent="0.25">
      <c r="A436" t="s">
        <v>844</v>
      </c>
      <c r="B436" s="6">
        <v>2087</v>
      </c>
      <c r="C436">
        <v>-8</v>
      </c>
    </row>
    <row r="437" spans="1:3" x14ac:dyDescent="0.25">
      <c r="A437" t="s">
        <v>845</v>
      </c>
      <c r="B437" s="6">
        <v>2379.1800000000003</v>
      </c>
      <c r="C437">
        <v>-10</v>
      </c>
    </row>
    <row r="438" spans="1:3" x14ac:dyDescent="0.25">
      <c r="A438" t="s">
        <v>846</v>
      </c>
      <c r="B438" s="6">
        <v>2379.1800000000003</v>
      </c>
      <c r="C438">
        <v>-10</v>
      </c>
    </row>
    <row r="439" spans="1:3" x14ac:dyDescent="0.25">
      <c r="A439" t="s">
        <v>847</v>
      </c>
      <c r="B439" s="6">
        <v>2087</v>
      </c>
      <c r="C439">
        <v>-8</v>
      </c>
    </row>
    <row r="440" spans="1:3" x14ac:dyDescent="0.25">
      <c r="A440" t="s">
        <v>848</v>
      </c>
      <c r="B440" s="6">
        <v>2281.0909999999999</v>
      </c>
      <c r="C440">
        <v>-10</v>
      </c>
    </row>
    <row r="441" spans="1:3" x14ac:dyDescent="0.25">
      <c r="A441" t="s">
        <v>849</v>
      </c>
      <c r="B441" s="6">
        <v>2790.319</v>
      </c>
      <c r="C441">
        <v>-10</v>
      </c>
    </row>
    <row r="442" spans="1:3" x14ac:dyDescent="0.25">
      <c r="A442" t="s">
        <v>850</v>
      </c>
      <c r="B442" s="6">
        <v>2281.0909999999999</v>
      </c>
      <c r="C442">
        <v>-9</v>
      </c>
    </row>
    <row r="443" spans="1:3" x14ac:dyDescent="0.25">
      <c r="A443" t="s">
        <v>851</v>
      </c>
      <c r="B443" s="6">
        <v>2379.1800000000003</v>
      </c>
      <c r="C443">
        <v>-10</v>
      </c>
    </row>
    <row r="444" spans="1:3" x14ac:dyDescent="0.25">
      <c r="A444" t="s">
        <v>852</v>
      </c>
      <c r="B444" s="6">
        <v>2379.1800000000003</v>
      </c>
      <c r="C444">
        <v>-10</v>
      </c>
    </row>
    <row r="445" spans="1:3" x14ac:dyDescent="0.25">
      <c r="A445" t="s">
        <v>853</v>
      </c>
      <c r="B445" s="6">
        <v>2185.0889999999999</v>
      </c>
      <c r="C445">
        <v>-9</v>
      </c>
    </row>
    <row r="446" spans="1:3" x14ac:dyDescent="0.25">
      <c r="A446" t="s">
        <v>854</v>
      </c>
      <c r="B446" s="6">
        <v>2185.0889999999999</v>
      </c>
      <c r="C446">
        <v>-8</v>
      </c>
    </row>
    <row r="447" spans="1:3" x14ac:dyDescent="0.25">
      <c r="A447" t="s">
        <v>855</v>
      </c>
      <c r="B447" s="6">
        <v>2087</v>
      </c>
      <c r="C447">
        <v>-8</v>
      </c>
    </row>
    <row r="448" spans="1:3" x14ac:dyDescent="0.25">
      <c r="A448" t="s">
        <v>856</v>
      </c>
      <c r="B448" s="6">
        <v>2281.0909999999999</v>
      </c>
      <c r="C448">
        <v>-10</v>
      </c>
    </row>
    <row r="449" spans="1:3" x14ac:dyDescent="0.25">
      <c r="A449" t="s">
        <v>857</v>
      </c>
      <c r="B449" s="6">
        <v>2281.0909999999999</v>
      </c>
      <c r="C449">
        <v>-9</v>
      </c>
    </row>
    <row r="450" spans="1:3" x14ac:dyDescent="0.25">
      <c r="A450" t="s">
        <v>858</v>
      </c>
      <c r="B450" s="6">
        <v>2281.0909999999999</v>
      </c>
      <c r="C450">
        <v>-10</v>
      </c>
    </row>
    <row r="451" spans="1:3" x14ac:dyDescent="0.25">
      <c r="A451" t="s">
        <v>858</v>
      </c>
      <c r="B451" s="6">
        <v>2281.0909999999999</v>
      </c>
      <c r="C451">
        <v>-9</v>
      </c>
    </row>
    <row r="452" spans="1:3" x14ac:dyDescent="0.25">
      <c r="A452" t="s">
        <v>859</v>
      </c>
      <c r="B452" s="6">
        <v>2185.0889999999999</v>
      </c>
      <c r="C452">
        <v>-9</v>
      </c>
    </row>
    <row r="453" spans="1:3" x14ac:dyDescent="0.25">
      <c r="A453" t="s">
        <v>860</v>
      </c>
      <c r="B453" s="6">
        <v>2185.0889999999999</v>
      </c>
      <c r="C453">
        <v>-8</v>
      </c>
    </row>
    <row r="454" spans="1:3" x14ac:dyDescent="0.25">
      <c r="A454" t="s">
        <v>861</v>
      </c>
      <c r="B454" s="6">
        <v>2281.0909999999999</v>
      </c>
      <c r="C454">
        <v>-9</v>
      </c>
    </row>
    <row r="455" spans="1:3" x14ac:dyDescent="0.25">
      <c r="A455" t="s">
        <v>862</v>
      </c>
      <c r="B455" s="6">
        <v>2379.1800000000003</v>
      </c>
      <c r="C455">
        <v>-10</v>
      </c>
    </row>
    <row r="456" spans="1:3" x14ac:dyDescent="0.25">
      <c r="A456" t="s">
        <v>863</v>
      </c>
      <c r="B456" s="6">
        <v>1988.9109999999998</v>
      </c>
      <c r="C456">
        <v>-8</v>
      </c>
    </row>
    <row r="457" spans="1:3" x14ac:dyDescent="0.25">
      <c r="A457" t="s">
        <v>864</v>
      </c>
      <c r="B457" s="6">
        <v>2379.1800000000003</v>
      </c>
      <c r="C457">
        <v>-10</v>
      </c>
    </row>
    <row r="458" spans="1:3" x14ac:dyDescent="0.25">
      <c r="A458" t="s">
        <v>865</v>
      </c>
      <c r="B458" s="6">
        <v>2087</v>
      </c>
      <c r="C458">
        <v>-8</v>
      </c>
    </row>
    <row r="459" spans="1:3" x14ac:dyDescent="0.25">
      <c r="A459" t="s">
        <v>866</v>
      </c>
      <c r="B459" s="6">
        <v>2790.319</v>
      </c>
      <c r="C459">
        <v>-10</v>
      </c>
    </row>
    <row r="460" spans="1:3" x14ac:dyDescent="0.25">
      <c r="A460" t="s">
        <v>867</v>
      </c>
      <c r="B460" s="6">
        <v>2087</v>
      </c>
      <c r="C460">
        <v>-8</v>
      </c>
    </row>
    <row r="461" spans="1:3" x14ac:dyDescent="0.25">
      <c r="A461" t="s">
        <v>868</v>
      </c>
      <c r="B461" s="6">
        <v>2281.0909999999999</v>
      </c>
      <c r="C461">
        <v>-10</v>
      </c>
    </row>
    <row r="462" spans="1:3" x14ac:dyDescent="0.25">
      <c r="A462" t="s">
        <v>869</v>
      </c>
      <c r="B462" s="6">
        <v>2379.1800000000003</v>
      </c>
      <c r="C462">
        <v>-10</v>
      </c>
    </row>
    <row r="463" spans="1:3" x14ac:dyDescent="0.25">
      <c r="A463" t="s">
        <v>870</v>
      </c>
      <c r="B463" s="6">
        <v>2790.319</v>
      </c>
      <c r="C463">
        <v>-11</v>
      </c>
    </row>
    <row r="464" spans="1:3" x14ac:dyDescent="0.25">
      <c r="A464" t="s">
        <v>871</v>
      </c>
      <c r="B464" s="6">
        <v>2087</v>
      </c>
      <c r="C464">
        <v>-9</v>
      </c>
    </row>
    <row r="465" spans="1:3" x14ac:dyDescent="0.25">
      <c r="A465" t="s">
        <v>872</v>
      </c>
      <c r="B465" s="6">
        <v>2185.0889999999999</v>
      </c>
      <c r="C465">
        <v>-9</v>
      </c>
    </row>
    <row r="466" spans="1:3" x14ac:dyDescent="0.25">
      <c r="A466" t="s">
        <v>873</v>
      </c>
      <c r="B466" s="6">
        <v>2185.0889999999999</v>
      </c>
      <c r="C466">
        <v>-9</v>
      </c>
    </row>
    <row r="467" spans="1:3" x14ac:dyDescent="0.25">
      <c r="A467" t="s">
        <v>874</v>
      </c>
      <c r="B467" s="6">
        <v>2185.0889999999999</v>
      </c>
      <c r="C467">
        <v>-9</v>
      </c>
    </row>
    <row r="468" spans="1:3" x14ac:dyDescent="0.25">
      <c r="A468" t="s">
        <v>875</v>
      </c>
      <c r="B468" s="6">
        <v>2185.0889999999999</v>
      </c>
      <c r="C468">
        <v>-9</v>
      </c>
    </row>
    <row r="469" spans="1:3" x14ac:dyDescent="0.25">
      <c r="A469" t="s">
        <v>876</v>
      </c>
      <c r="B469" s="6">
        <v>2185.0889999999999</v>
      </c>
      <c r="C469">
        <v>-9</v>
      </c>
    </row>
    <row r="470" spans="1:3" x14ac:dyDescent="0.25">
      <c r="A470" t="s">
        <v>877</v>
      </c>
      <c r="B470" s="6">
        <v>2281.0909999999999</v>
      </c>
      <c r="C470">
        <v>-9</v>
      </c>
    </row>
    <row r="471" spans="1:3" x14ac:dyDescent="0.25">
      <c r="A471" t="s">
        <v>878</v>
      </c>
      <c r="B471" s="6">
        <v>2185.0889999999999</v>
      </c>
      <c r="C471">
        <v>-9</v>
      </c>
    </row>
    <row r="472" spans="1:3" x14ac:dyDescent="0.25">
      <c r="A472" t="s">
        <v>879</v>
      </c>
      <c r="B472" s="6">
        <v>2281.0909999999999</v>
      </c>
      <c r="C472">
        <v>-10</v>
      </c>
    </row>
    <row r="473" spans="1:3" x14ac:dyDescent="0.25">
      <c r="A473" t="s">
        <v>880</v>
      </c>
      <c r="B473" s="6">
        <v>2087</v>
      </c>
      <c r="C473">
        <v>-8</v>
      </c>
    </row>
    <row r="474" spans="1:3" x14ac:dyDescent="0.25">
      <c r="A474" t="s">
        <v>881</v>
      </c>
      <c r="B474" s="6">
        <v>2281.0909999999999</v>
      </c>
      <c r="C474">
        <v>-9</v>
      </c>
    </row>
    <row r="475" spans="1:3" x14ac:dyDescent="0.25">
      <c r="A475" t="s">
        <v>882</v>
      </c>
      <c r="B475" s="6">
        <v>2281.0909999999999</v>
      </c>
      <c r="C475">
        <v>-9</v>
      </c>
    </row>
    <row r="476" spans="1:3" x14ac:dyDescent="0.25">
      <c r="A476" t="s">
        <v>883</v>
      </c>
      <c r="B476" s="6">
        <v>2087</v>
      </c>
      <c r="C476">
        <v>-8</v>
      </c>
    </row>
    <row r="477" spans="1:3" x14ac:dyDescent="0.25">
      <c r="A477" t="s">
        <v>884</v>
      </c>
      <c r="B477" s="6">
        <v>2379.1800000000003</v>
      </c>
      <c r="C477">
        <v>-10</v>
      </c>
    </row>
    <row r="478" spans="1:3" x14ac:dyDescent="0.25">
      <c r="A478" t="s">
        <v>885</v>
      </c>
      <c r="B478" s="6">
        <v>2087</v>
      </c>
      <c r="C478">
        <v>-9</v>
      </c>
    </row>
    <row r="479" spans="1:3" x14ac:dyDescent="0.25">
      <c r="A479" t="s">
        <v>886</v>
      </c>
      <c r="B479" s="6">
        <v>2185.0889999999999</v>
      </c>
      <c r="C479">
        <v>-9</v>
      </c>
    </row>
    <row r="480" spans="1:3" x14ac:dyDescent="0.25">
      <c r="A480" t="s">
        <v>887</v>
      </c>
      <c r="B480" s="6">
        <v>2185.0889999999999</v>
      </c>
      <c r="C480">
        <v>-8</v>
      </c>
    </row>
    <row r="481" spans="1:3" x14ac:dyDescent="0.25">
      <c r="A481" t="s">
        <v>888</v>
      </c>
      <c r="B481" s="6">
        <v>2185.0889999999999</v>
      </c>
      <c r="C481">
        <v>-9</v>
      </c>
    </row>
    <row r="482" spans="1:3" x14ac:dyDescent="0.25">
      <c r="A482" t="s">
        <v>889</v>
      </c>
      <c r="B482" s="6">
        <v>2790.319</v>
      </c>
      <c r="C482">
        <v>-11</v>
      </c>
    </row>
    <row r="483" spans="1:3" x14ac:dyDescent="0.25">
      <c r="A483" t="s">
        <v>890</v>
      </c>
      <c r="B483" s="6">
        <v>2281.0909999999999</v>
      </c>
      <c r="C483">
        <v>-10</v>
      </c>
    </row>
    <row r="484" spans="1:3" x14ac:dyDescent="0.25">
      <c r="A484" t="s">
        <v>891</v>
      </c>
      <c r="B484" s="6">
        <v>2185.0889999999999</v>
      </c>
      <c r="C484">
        <v>-8</v>
      </c>
    </row>
    <row r="485" spans="1:3" x14ac:dyDescent="0.25">
      <c r="A485" t="s">
        <v>892</v>
      </c>
      <c r="B485" s="6">
        <v>2790.319</v>
      </c>
      <c r="C485">
        <v>-11</v>
      </c>
    </row>
    <row r="486" spans="1:3" x14ac:dyDescent="0.25">
      <c r="A486" t="s">
        <v>893</v>
      </c>
      <c r="B486" s="6">
        <v>2379.1800000000003</v>
      </c>
      <c r="C486">
        <v>-11</v>
      </c>
    </row>
    <row r="487" spans="1:3" x14ac:dyDescent="0.25">
      <c r="A487" t="s">
        <v>894</v>
      </c>
      <c r="B487" s="6">
        <v>2379.1800000000003</v>
      </c>
      <c r="C487">
        <v>-10</v>
      </c>
    </row>
    <row r="488" spans="1:3" x14ac:dyDescent="0.25">
      <c r="A488" t="s">
        <v>895</v>
      </c>
      <c r="B488" s="6">
        <v>1988.9109999999998</v>
      </c>
      <c r="C488">
        <v>-8</v>
      </c>
    </row>
    <row r="489" spans="1:3" x14ac:dyDescent="0.25">
      <c r="A489" t="s">
        <v>896</v>
      </c>
      <c r="B489" s="6">
        <v>2379.1800000000003</v>
      </c>
      <c r="C489">
        <v>-10</v>
      </c>
    </row>
    <row r="490" spans="1:3" x14ac:dyDescent="0.25">
      <c r="A490" t="s">
        <v>897</v>
      </c>
      <c r="B490" s="6">
        <v>1988.9109999999998</v>
      </c>
      <c r="C490">
        <v>-8</v>
      </c>
    </row>
    <row r="491" spans="1:3" x14ac:dyDescent="0.25">
      <c r="A491" t="s">
        <v>898</v>
      </c>
      <c r="B491" s="6">
        <v>2281.0909999999999</v>
      </c>
      <c r="C491">
        <v>-9</v>
      </c>
    </row>
    <row r="492" spans="1:3" x14ac:dyDescent="0.25">
      <c r="A492" t="s">
        <v>899</v>
      </c>
      <c r="B492" s="6">
        <v>1988.9109999999998</v>
      </c>
      <c r="C492">
        <v>-8</v>
      </c>
    </row>
    <row r="493" spans="1:3" x14ac:dyDescent="0.25">
      <c r="A493" t="s">
        <v>900</v>
      </c>
      <c r="B493" s="6">
        <v>2379.1800000000003</v>
      </c>
      <c r="C493">
        <v>-10</v>
      </c>
    </row>
    <row r="494" spans="1:3" x14ac:dyDescent="0.25">
      <c r="A494" t="s">
        <v>901</v>
      </c>
      <c r="B494" s="6">
        <v>2185.0889999999999</v>
      </c>
      <c r="C494">
        <v>-9</v>
      </c>
    </row>
    <row r="495" spans="1:3" x14ac:dyDescent="0.25">
      <c r="A495" t="s">
        <v>902</v>
      </c>
      <c r="B495" s="6">
        <v>2185.0889999999999</v>
      </c>
      <c r="C495">
        <v>-9</v>
      </c>
    </row>
    <row r="496" spans="1:3" x14ac:dyDescent="0.25">
      <c r="A496" t="s">
        <v>903</v>
      </c>
      <c r="B496" s="6">
        <v>2281.0909999999999</v>
      </c>
      <c r="C496">
        <v>-9</v>
      </c>
    </row>
    <row r="497" spans="1:3" x14ac:dyDescent="0.25">
      <c r="A497" t="s">
        <v>904</v>
      </c>
      <c r="B497" s="6">
        <v>2185.0889999999999</v>
      </c>
      <c r="C497">
        <v>-9</v>
      </c>
    </row>
    <row r="498" spans="1:3" x14ac:dyDescent="0.25">
      <c r="A498" t="s">
        <v>905</v>
      </c>
      <c r="B498" s="6">
        <v>2281.0909999999999</v>
      </c>
      <c r="C498">
        <v>-9</v>
      </c>
    </row>
    <row r="499" spans="1:3" x14ac:dyDescent="0.25">
      <c r="A499" t="s">
        <v>906</v>
      </c>
      <c r="B499" s="6">
        <v>2548.2270000000003</v>
      </c>
      <c r="C499">
        <v>-10</v>
      </c>
    </row>
    <row r="500" spans="1:3" x14ac:dyDescent="0.25">
      <c r="A500" t="s">
        <v>907</v>
      </c>
      <c r="B500" s="6">
        <v>1892.9090000000001</v>
      </c>
      <c r="C500">
        <v>-7</v>
      </c>
    </row>
    <row r="501" spans="1:3" x14ac:dyDescent="0.25">
      <c r="A501" t="s">
        <v>908</v>
      </c>
      <c r="B501" s="6">
        <v>1892.9090000000001</v>
      </c>
      <c r="C501">
        <v>-7</v>
      </c>
    </row>
    <row r="502" spans="1:3" x14ac:dyDescent="0.25">
      <c r="A502" t="s">
        <v>909</v>
      </c>
      <c r="B502" s="6">
        <v>1988.9109999999998</v>
      </c>
      <c r="C502">
        <v>-8</v>
      </c>
    </row>
    <row r="503" spans="1:3" x14ac:dyDescent="0.25">
      <c r="A503" t="s">
        <v>910</v>
      </c>
      <c r="B503" s="6">
        <v>1892.9090000000001</v>
      </c>
      <c r="C503">
        <v>-8</v>
      </c>
    </row>
    <row r="504" spans="1:3" x14ac:dyDescent="0.25">
      <c r="A504" t="s">
        <v>911</v>
      </c>
      <c r="B504" s="6">
        <v>1892.9090000000001</v>
      </c>
      <c r="C504">
        <v>-8</v>
      </c>
    </row>
    <row r="505" spans="1:3" x14ac:dyDescent="0.25">
      <c r="A505" t="s">
        <v>912</v>
      </c>
      <c r="B505" s="6">
        <v>1988.9109999999998</v>
      </c>
      <c r="C505">
        <v>-8</v>
      </c>
    </row>
    <row r="506" spans="1:3" x14ac:dyDescent="0.25">
      <c r="A506" t="s">
        <v>913</v>
      </c>
      <c r="B506" s="6">
        <v>2087</v>
      </c>
      <c r="C506">
        <v>-8</v>
      </c>
    </row>
    <row r="507" spans="1:3" x14ac:dyDescent="0.25">
      <c r="A507" t="s">
        <v>914</v>
      </c>
      <c r="B507" s="6">
        <v>1988.9109999999998</v>
      </c>
      <c r="C507">
        <v>-8</v>
      </c>
    </row>
    <row r="508" spans="1:3" x14ac:dyDescent="0.25">
      <c r="A508" t="s">
        <v>915</v>
      </c>
      <c r="B508" s="6">
        <v>1988.9109999999998</v>
      </c>
      <c r="C508">
        <v>-8</v>
      </c>
    </row>
    <row r="509" spans="1:3" x14ac:dyDescent="0.25">
      <c r="A509" t="s">
        <v>916</v>
      </c>
      <c r="B509" s="6">
        <v>2087</v>
      </c>
      <c r="C509">
        <v>-8</v>
      </c>
    </row>
    <row r="510" spans="1:3" x14ac:dyDescent="0.25">
      <c r="A510" t="s">
        <v>917</v>
      </c>
      <c r="B510" s="6">
        <v>2087</v>
      </c>
      <c r="C510">
        <v>-8</v>
      </c>
    </row>
    <row r="511" spans="1:3" x14ac:dyDescent="0.25">
      <c r="A511" t="s">
        <v>918</v>
      </c>
      <c r="B511" s="6">
        <v>1988.9109999999998</v>
      </c>
      <c r="C511">
        <v>-8</v>
      </c>
    </row>
    <row r="512" spans="1:3" x14ac:dyDescent="0.25">
      <c r="A512" t="s">
        <v>919</v>
      </c>
      <c r="B512" s="6">
        <v>2087</v>
      </c>
      <c r="C512">
        <v>-8</v>
      </c>
    </row>
    <row r="513" spans="1:3" x14ac:dyDescent="0.25">
      <c r="A513" t="s">
        <v>920</v>
      </c>
      <c r="B513" s="6">
        <v>2281.0909999999999</v>
      </c>
      <c r="C513">
        <v>-10</v>
      </c>
    </row>
    <row r="514" spans="1:3" x14ac:dyDescent="0.25">
      <c r="A514" t="s">
        <v>921</v>
      </c>
      <c r="B514" s="6">
        <v>1988.9109999999998</v>
      </c>
      <c r="C514">
        <v>-8</v>
      </c>
    </row>
    <row r="515" spans="1:3" x14ac:dyDescent="0.25">
      <c r="A515" t="s">
        <v>922</v>
      </c>
      <c r="B515" s="6">
        <v>2087</v>
      </c>
      <c r="C515">
        <v>-8</v>
      </c>
    </row>
    <row r="516" spans="1:3" x14ac:dyDescent="0.25">
      <c r="A516" t="s">
        <v>923</v>
      </c>
      <c r="B516" s="6">
        <v>2185.0889999999999</v>
      </c>
      <c r="C516">
        <v>-9</v>
      </c>
    </row>
    <row r="517" spans="1:3" x14ac:dyDescent="0.25">
      <c r="A517" t="s">
        <v>924</v>
      </c>
      <c r="B517" s="6">
        <v>1988.9109999999998</v>
      </c>
      <c r="C517">
        <v>-8</v>
      </c>
    </row>
    <row r="518" spans="1:3" x14ac:dyDescent="0.25">
      <c r="A518" t="s">
        <v>925</v>
      </c>
      <c r="B518" s="6">
        <v>1988.9109999999998</v>
      </c>
      <c r="C518">
        <v>-8</v>
      </c>
    </row>
    <row r="519" spans="1:3" x14ac:dyDescent="0.25">
      <c r="A519" t="s">
        <v>926</v>
      </c>
      <c r="B519" s="6">
        <v>1988.9109999999998</v>
      </c>
      <c r="C519">
        <v>-8</v>
      </c>
    </row>
    <row r="520" spans="1:3" x14ac:dyDescent="0.25">
      <c r="A520" t="s">
        <v>927</v>
      </c>
      <c r="B520" s="6">
        <v>1988.9109999999998</v>
      </c>
      <c r="C520">
        <v>-8</v>
      </c>
    </row>
    <row r="521" spans="1:3" x14ac:dyDescent="0.25">
      <c r="A521" t="s">
        <v>928</v>
      </c>
      <c r="B521" s="6">
        <v>1988.9109999999998</v>
      </c>
      <c r="C521">
        <v>-9</v>
      </c>
    </row>
    <row r="522" spans="1:3" x14ac:dyDescent="0.25">
      <c r="A522" t="s">
        <v>928</v>
      </c>
      <c r="B522" s="6">
        <v>2087</v>
      </c>
      <c r="C522">
        <v>-9</v>
      </c>
    </row>
    <row r="523" spans="1:3" x14ac:dyDescent="0.25">
      <c r="A523" t="s">
        <v>929</v>
      </c>
      <c r="B523" s="6">
        <v>2087</v>
      </c>
      <c r="C523">
        <v>-8</v>
      </c>
    </row>
    <row r="524" spans="1:3" x14ac:dyDescent="0.25">
      <c r="A524" t="s">
        <v>930</v>
      </c>
      <c r="B524" s="6">
        <v>2185.0889999999999</v>
      </c>
      <c r="C524">
        <v>-9</v>
      </c>
    </row>
    <row r="525" spans="1:3" x14ac:dyDescent="0.25">
      <c r="A525" t="s">
        <v>931</v>
      </c>
      <c r="B525" s="6">
        <v>2087</v>
      </c>
      <c r="C525">
        <v>-8</v>
      </c>
    </row>
    <row r="526" spans="1:3" x14ac:dyDescent="0.25">
      <c r="A526" t="s">
        <v>932</v>
      </c>
      <c r="B526" s="6">
        <v>2087</v>
      </c>
      <c r="C526">
        <v>-8</v>
      </c>
    </row>
    <row r="527" spans="1:3" x14ac:dyDescent="0.25">
      <c r="A527" t="s">
        <v>933</v>
      </c>
      <c r="B527" s="6">
        <v>2087</v>
      </c>
      <c r="C527">
        <v>-9</v>
      </c>
    </row>
    <row r="528" spans="1:3" x14ac:dyDescent="0.25">
      <c r="A528" t="s">
        <v>934</v>
      </c>
      <c r="B528" s="6">
        <v>2185.0889999999999</v>
      </c>
      <c r="C528">
        <v>-8</v>
      </c>
    </row>
    <row r="529" spans="1:3" x14ac:dyDescent="0.25">
      <c r="A529" t="s">
        <v>935</v>
      </c>
      <c r="B529" s="6">
        <v>1988.9109999999998</v>
      </c>
      <c r="C529">
        <v>-8</v>
      </c>
    </row>
    <row r="530" spans="1:3" x14ac:dyDescent="0.25">
      <c r="A530" t="s">
        <v>936</v>
      </c>
      <c r="B530" s="6">
        <v>2087</v>
      </c>
      <c r="C530">
        <v>-8</v>
      </c>
    </row>
    <row r="531" spans="1:3" x14ac:dyDescent="0.25">
      <c r="A531" t="s">
        <v>937</v>
      </c>
      <c r="B531" s="6">
        <v>1988.9109999999998</v>
      </c>
      <c r="C531">
        <v>-8</v>
      </c>
    </row>
    <row r="532" spans="1:3" x14ac:dyDescent="0.25">
      <c r="A532" t="s">
        <v>938</v>
      </c>
      <c r="B532" s="6">
        <v>1988.9109999999998</v>
      </c>
      <c r="C532">
        <v>-8</v>
      </c>
    </row>
    <row r="533" spans="1:3" x14ac:dyDescent="0.25">
      <c r="A533" t="s">
        <v>939</v>
      </c>
      <c r="B533" s="6">
        <v>2087</v>
      </c>
      <c r="C533">
        <v>-8</v>
      </c>
    </row>
    <row r="534" spans="1:3" x14ac:dyDescent="0.25">
      <c r="A534" t="s">
        <v>940</v>
      </c>
      <c r="B534" s="6">
        <v>2185.0889999999999</v>
      </c>
      <c r="C534">
        <v>-9</v>
      </c>
    </row>
    <row r="535" spans="1:3" x14ac:dyDescent="0.25">
      <c r="A535" t="s">
        <v>941</v>
      </c>
      <c r="B535" s="6">
        <v>2281.0909999999999</v>
      </c>
      <c r="C535">
        <v>-10</v>
      </c>
    </row>
    <row r="536" spans="1:3" x14ac:dyDescent="0.25">
      <c r="A536" t="s">
        <v>942</v>
      </c>
      <c r="B536" s="6">
        <v>2087</v>
      </c>
      <c r="C536">
        <v>-8</v>
      </c>
    </row>
    <row r="537" spans="1:3" x14ac:dyDescent="0.25">
      <c r="A537" t="s">
        <v>943</v>
      </c>
      <c r="B537" s="6">
        <v>2379.1800000000003</v>
      </c>
      <c r="C537">
        <v>-10</v>
      </c>
    </row>
    <row r="538" spans="1:3" x14ac:dyDescent="0.25">
      <c r="A538" t="s">
        <v>944</v>
      </c>
      <c r="B538" s="6">
        <v>2087</v>
      </c>
      <c r="C538">
        <v>-8</v>
      </c>
    </row>
    <row r="539" spans="1:3" x14ac:dyDescent="0.25">
      <c r="A539" t="s">
        <v>945</v>
      </c>
      <c r="B539" s="6">
        <v>2087</v>
      </c>
      <c r="C539">
        <v>-8</v>
      </c>
    </row>
    <row r="540" spans="1:3" x14ac:dyDescent="0.25">
      <c r="A540" t="s">
        <v>946</v>
      </c>
      <c r="B540" s="6">
        <v>2379.1800000000003</v>
      </c>
      <c r="C540">
        <v>-10</v>
      </c>
    </row>
    <row r="541" spans="1:3" x14ac:dyDescent="0.25">
      <c r="A541" t="s">
        <v>947</v>
      </c>
      <c r="B541" s="6">
        <v>2379.1800000000003</v>
      </c>
      <c r="C541">
        <v>-11</v>
      </c>
    </row>
    <row r="542" spans="1:3" x14ac:dyDescent="0.25">
      <c r="A542" t="s">
        <v>948</v>
      </c>
      <c r="B542" s="6">
        <v>1988.9109999999998</v>
      </c>
      <c r="C542">
        <v>-8</v>
      </c>
    </row>
    <row r="543" spans="1:3" x14ac:dyDescent="0.25">
      <c r="A543" t="s">
        <v>949</v>
      </c>
      <c r="B543" s="6">
        <v>2790.319</v>
      </c>
      <c r="C543">
        <v>-10</v>
      </c>
    </row>
    <row r="544" spans="1:3" x14ac:dyDescent="0.25">
      <c r="A544" t="s">
        <v>950</v>
      </c>
      <c r="B544" s="6">
        <v>2379.1800000000003</v>
      </c>
      <c r="C544">
        <v>-10</v>
      </c>
    </row>
    <row r="545" spans="1:3" x14ac:dyDescent="0.25">
      <c r="A545" t="s">
        <v>951</v>
      </c>
      <c r="B545" s="6">
        <v>2281.0909999999999</v>
      </c>
      <c r="C545">
        <v>-9</v>
      </c>
    </row>
    <row r="546" spans="1:3" x14ac:dyDescent="0.25">
      <c r="A546" t="s">
        <v>952</v>
      </c>
      <c r="B546" s="6">
        <v>2185.0889999999999</v>
      </c>
      <c r="C546">
        <v>-9</v>
      </c>
    </row>
    <row r="547" spans="1:3" x14ac:dyDescent="0.25">
      <c r="A547" t="s">
        <v>953</v>
      </c>
      <c r="B547" s="6">
        <v>2087</v>
      </c>
      <c r="C547">
        <v>-9</v>
      </c>
    </row>
    <row r="548" spans="1:3" x14ac:dyDescent="0.25">
      <c r="A548" t="s">
        <v>954</v>
      </c>
      <c r="B548" s="6">
        <v>2087</v>
      </c>
      <c r="C548">
        <v>-9</v>
      </c>
    </row>
    <row r="549" spans="1:3" x14ac:dyDescent="0.25">
      <c r="A549" t="s">
        <v>955</v>
      </c>
      <c r="B549" s="6">
        <v>2281.0909999999999</v>
      </c>
      <c r="C549">
        <v>-9</v>
      </c>
    </row>
    <row r="550" spans="1:3" x14ac:dyDescent="0.25">
      <c r="A550" t="s">
        <v>956</v>
      </c>
      <c r="B550" s="6">
        <v>2281.0909999999999</v>
      </c>
      <c r="C550">
        <v>-10</v>
      </c>
    </row>
    <row r="551" spans="1:3" x14ac:dyDescent="0.25">
      <c r="A551" t="s">
        <v>957</v>
      </c>
      <c r="B551" s="6">
        <v>2087</v>
      </c>
      <c r="C551">
        <v>-8</v>
      </c>
    </row>
    <row r="552" spans="1:3" x14ac:dyDescent="0.25">
      <c r="A552" t="s">
        <v>958</v>
      </c>
      <c r="B552" s="6">
        <v>1988.9109999999998</v>
      </c>
      <c r="C552">
        <v>-8</v>
      </c>
    </row>
    <row r="553" spans="1:3" x14ac:dyDescent="0.25">
      <c r="A553" t="s">
        <v>959</v>
      </c>
      <c r="B553" s="6">
        <v>2087</v>
      </c>
      <c r="C553">
        <v>-8</v>
      </c>
    </row>
    <row r="554" spans="1:3" x14ac:dyDescent="0.25">
      <c r="A554" t="s">
        <v>960</v>
      </c>
      <c r="B554" s="6">
        <v>2379.1800000000003</v>
      </c>
      <c r="C554">
        <v>-10</v>
      </c>
    </row>
    <row r="555" spans="1:3" x14ac:dyDescent="0.25">
      <c r="A555" t="s">
        <v>961</v>
      </c>
      <c r="B555" s="6">
        <v>1988.9109999999998</v>
      </c>
      <c r="C555">
        <v>-8</v>
      </c>
    </row>
    <row r="556" spans="1:3" x14ac:dyDescent="0.25">
      <c r="A556" t="s">
        <v>962</v>
      </c>
      <c r="B556" s="6">
        <v>2379.1800000000003</v>
      </c>
      <c r="C556">
        <v>-10</v>
      </c>
    </row>
    <row r="557" spans="1:3" x14ac:dyDescent="0.25">
      <c r="A557" t="s">
        <v>963</v>
      </c>
      <c r="B557" s="6">
        <v>1988.9109999999998</v>
      </c>
      <c r="C557">
        <v>-8</v>
      </c>
    </row>
    <row r="558" spans="1:3" x14ac:dyDescent="0.25">
      <c r="A558" t="s">
        <v>964</v>
      </c>
      <c r="B558" s="6">
        <v>2087</v>
      </c>
      <c r="C558">
        <v>-8</v>
      </c>
    </row>
    <row r="559" spans="1:3" x14ac:dyDescent="0.25">
      <c r="A559" t="s">
        <v>965</v>
      </c>
      <c r="B559" s="6">
        <v>2087</v>
      </c>
      <c r="C559">
        <v>-8</v>
      </c>
    </row>
    <row r="560" spans="1:3" x14ac:dyDescent="0.25">
      <c r="A560" t="s">
        <v>966</v>
      </c>
      <c r="B560" s="6">
        <v>1988.9109999999998</v>
      </c>
      <c r="C560">
        <v>-8</v>
      </c>
    </row>
    <row r="561" spans="1:3" x14ac:dyDescent="0.25">
      <c r="A561" t="s">
        <v>967</v>
      </c>
      <c r="B561" s="6">
        <v>1892.9090000000001</v>
      </c>
      <c r="C561">
        <v>-7</v>
      </c>
    </row>
    <row r="562" spans="1:3" x14ac:dyDescent="0.25">
      <c r="A562" t="s">
        <v>968</v>
      </c>
      <c r="B562" s="6">
        <v>1988.9109999999998</v>
      </c>
      <c r="C562">
        <v>-8</v>
      </c>
    </row>
    <row r="563" spans="1:3" x14ac:dyDescent="0.25">
      <c r="A563" t="s">
        <v>969</v>
      </c>
      <c r="B563" s="6">
        <v>2087</v>
      </c>
      <c r="C563">
        <v>-8</v>
      </c>
    </row>
    <row r="564" spans="1:3" x14ac:dyDescent="0.25">
      <c r="A564" t="s">
        <v>970</v>
      </c>
      <c r="B564" s="6">
        <v>2087</v>
      </c>
      <c r="C564">
        <v>-8</v>
      </c>
    </row>
    <row r="565" spans="1:3" x14ac:dyDescent="0.25">
      <c r="A565" t="s">
        <v>971</v>
      </c>
      <c r="B565" s="6">
        <v>2379.1800000000003</v>
      </c>
      <c r="C565">
        <v>-10</v>
      </c>
    </row>
    <row r="566" spans="1:3" x14ac:dyDescent="0.25">
      <c r="A566" t="s">
        <v>972</v>
      </c>
      <c r="B566" s="6">
        <v>2281.0909999999999</v>
      </c>
      <c r="C566">
        <v>-10</v>
      </c>
    </row>
    <row r="567" spans="1:3" x14ac:dyDescent="0.25">
      <c r="A567" t="s">
        <v>973</v>
      </c>
      <c r="B567" s="6">
        <v>2087</v>
      </c>
      <c r="C567">
        <v>-8</v>
      </c>
    </row>
    <row r="568" spans="1:3" x14ac:dyDescent="0.25">
      <c r="A568" t="s">
        <v>974</v>
      </c>
      <c r="B568" s="6">
        <v>2185.0889999999999</v>
      </c>
      <c r="C568">
        <v>-8</v>
      </c>
    </row>
    <row r="569" spans="1:3" x14ac:dyDescent="0.25">
      <c r="A569" t="s">
        <v>975</v>
      </c>
      <c r="B569" s="6">
        <v>2790.319</v>
      </c>
      <c r="C569">
        <v>-11</v>
      </c>
    </row>
    <row r="570" spans="1:3" x14ac:dyDescent="0.25">
      <c r="A570" t="s">
        <v>976</v>
      </c>
      <c r="B570" s="6">
        <v>2087</v>
      </c>
      <c r="C570">
        <v>-8</v>
      </c>
    </row>
    <row r="571" spans="1:3" x14ac:dyDescent="0.25">
      <c r="A571" t="s">
        <v>977</v>
      </c>
      <c r="B571" s="6">
        <v>2087</v>
      </c>
      <c r="C571">
        <v>-8</v>
      </c>
    </row>
    <row r="572" spans="1:3" x14ac:dyDescent="0.25">
      <c r="A572" t="s">
        <v>978</v>
      </c>
      <c r="B572" s="6">
        <v>2087</v>
      </c>
      <c r="C572">
        <v>-8</v>
      </c>
    </row>
    <row r="573" spans="1:3" x14ac:dyDescent="0.25">
      <c r="A573" t="s">
        <v>979</v>
      </c>
      <c r="B573" s="6">
        <v>1988.9109999999998</v>
      </c>
      <c r="C573">
        <v>-8</v>
      </c>
    </row>
    <row r="574" spans="1:3" x14ac:dyDescent="0.25">
      <c r="A574" t="s">
        <v>980</v>
      </c>
      <c r="B574" s="6">
        <v>2087</v>
      </c>
      <c r="C574">
        <v>-8</v>
      </c>
    </row>
    <row r="575" spans="1:3" x14ac:dyDescent="0.25">
      <c r="A575" t="s">
        <v>981</v>
      </c>
      <c r="B575" s="6">
        <v>1988.9109999999998</v>
      </c>
      <c r="C575">
        <v>-8</v>
      </c>
    </row>
    <row r="576" spans="1:3" x14ac:dyDescent="0.25">
      <c r="A576" t="s">
        <v>982</v>
      </c>
      <c r="B576" s="6">
        <v>1988.9109999999998</v>
      </c>
      <c r="C576">
        <v>-8</v>
      </c>
    </row>
    <row r="577" spans="1:3" x14ac:dyDescent="0.25">
      <c r="A577" t="s">
        <v>983</v>
      </c>
      <c r="B577" s="6">
        <v>1988.9109999999998</v>
      </c>
      <c r="C577">
        <v>-8</v>
      </c>
    </row>
    <row r="578" spans="1:3" x14ac:dyDescent="0.25">
      <c r="A578" t="s">
        <v>984</v>
      </c>
      <c r="B578" s="6">
        <v>1892.9090000000001</v>
      </c>
      <c r="C578">
        <v>-7</v>
      </c>
    </row>
    <row r="579" spans="1:3" x14ac:dyDescent="0.25">
      <c r="A579" t="s">
        <v>985</v>
      </c>
      <c r="B579" s="6">
        <v>2185.0889999999999</v>
      </c>
      <c r="C579">
        <v>-9</v>
      </c>
    </row>
    <row r="580" spans="1:3" x14ac:dyDescent="0.25">
      <c r="A580" t="s">
        <v>986</v>
      </c>
      <c r="B580" s="6">
        <v>2281.0909999999999</v>
      </c>
      <c r="C580">
        <v>-10</v>
      </c>
    </row>
    <row r="581" spans="1:3" x14ac:dyDescent="0.25">
      <c r="A581" t="s">
        <v>987</v>
      </c>
      <c r="B581" s="6">
        <v>2087</v>
      </c>
      <c r="C581">
        <v>-8</v>
      </c>
    </row>
    <row r="582" spans="1:3" x14ac:dyDescent="0.25">
      <c r="A582" t="s">
        <v>988</v>
      </c>
      <c r="B582" s="6">
        <v>2087</v>
      </c>
      <c r="C582">
        <v>-9</v>
      </c>
    </row>
    <row r="583" spans="1:3" x14ac:dyDescent="0.25">
      <c r="A583" t="s">
        <v>989</v>
      </c>
      <c r="B583" s="6">
        <v>2087</v>
      </c>
      <c r="C583">
        <v>-8</v>
      </c>
    </row>
    <row r="584" spans="1:3" x14ac:dyDescent="0.25">
      <c r="A584" t="s">
        <v>990</v>
      </c>
      <c r="B584" s="6">
        <v>2185.0889999999999</v>
      </c>
      <c r="C584">
        <v>-8</v>
      </c>
    </row>
    <row r="585" spans="1:3" x14ac:dyDescent="0.25">
      <c r="A585" t="s">
        <v>991</v>
      </c>
      <c r="B585" s="6">
        <v>1988.9109999999998</v>
      </c>
      <c r="C585">
        <v>-8</v>
      </c>
    </row>
    <row r="586" spans="1:3" x14ac:dyDescent="0.25">
      <c r="A586" t="s">
        <v>992</v>
      </c>
      <c r="B586" s="6">
        <v>2087</v>
      </c>
      <c r="C586">
        <v>-9</v>
      </c>
    </row>
    <row r="587" spans="1:3" x14ac:dyDescent="0.25">
      <c r="A587" t="s">
        <v>993</v>
      </c>
      <c r="B587" s="6">
        <v>1988.9109999999998</v>
      </c>
      <c r="C587">
        <v>-8</v>
      </c>
    </row>
    <row r="588" spans="1:3" x14ac:dyDescent="0.25">
      <c r="A588" t="s">
        <v>994</v>
      </c>
      <c r="B588" s="6">
        <v>2185.0889999999999</v>
      </c>
      <c r="C588">
        <v>-9</v>
      </c>
    </row>
    <row r="589" spans="1:3" x14ac:dyDescent="0.25">
      <c r="A589" t="s">
        <v>995</v>
      </c>
      <c r="B589" s="6">
        <v>2087</v>
      </c>
      <c r="C589">
        <v>-8</v>
      </c>
    </row>
    <row r="590" spans="1:3" x14ac:dyDescent="0.25">
      <c r="A590" t="s">
        <v>996</v>
      </c>
      <c r="B590" s="6">
        <v>2185.0889999999999</v>
      </c>
      <c r="C590">
        <v>-9</v>
      </c>
    </row>
    <row r="591" spans="1:3" x14ac:dyDescent="0.25">
      <c r="A591" t="s">
        <v>997</v>
      </c>
      <c r="B591" s="6">
        <v>2087</v>
      </c>
      <c r="C591">
        <v>-8</v>
      </c>
    </row>
    <row r="592" spans="1:3" x14ac:dyDescent="0.25">
      <c r="A592" t="s">
        <v>998</v>
      </c>
      <c r="B592" s="6">
        <v>2087</v>
      </c>
      <c r="C592">
        <v>-8</v>
      </c>
    </row>
    <row r="593" spans="1:3" x14ac:dyDescent="0.25">
      <c r="A593" t="s">
        <v>999</v>
      </c>
      <c r="B593" s="6">
        <v>2087</v>
      </c>
      <c r="C593">
        <v>-8</v>
      </c>
    </row>
    <row r="594" spans="1:3" x14ac:dyDescent="0.25">
      <c r="A594" t="s">
        <v>1000</v>
      </c>
      <c r="B594" s="6">
        <v>2087</v>
      </c>
      <c r="C594">
        <v>-8</v>
      </c>
    </row>
    <row r="595" spans="1:3" x14ac:dyDescent="0.25">
      <c r="A595" t="s">
        <v>1001</v>
      </c>
      <c r="B595" s="6">
        <v>2281.0909999999999</v>
      </c>
      <c r="C595">
        <v>-10</v>
      </c>
    </row>
    <row r="596" spans="1:3" x14ac:dyDescent="0.25">
      <c r="A596" t="s">
        <v>1002</v>
      </c>
      <c r="B596" s="6">
        <v>2087</v>
      </c>
      <c r="C596">
        <v>-8</v>
      </c>
    </row>
    <row r="597" spans="1:3" x14ac:dyDescent="0.25">
      <c r="A597" t="s">
        <v>1003</v>
      </c>
      <c r="B597" s="6">
        <v>2087</v>
      </c>
      <c r="C597">
        <v>-8</v>
      </c>
    </row>
    <row r="598" spans="1:3" x14ac:dyDescent="0.25">
      <c r="A598" t="s">
        <v>1004</v>
      </c>
      <c r="B598" s="6">
        <v>2087</v>
      </c>
      <c r="C598">
        <v>-8</v>
      </c>
    </row>
    <row r="599" spans="1:3" x14ac:dyDescent="0.25">
      <c r="A599" t="s">
        <v>1005</v>
      </c>
      <c r="B599" s="6">
        <v>2185.0889999999999</v>
      </c>
      <c r="C599">
        <v>-9</v>
      </c>
    </row>
    <row r="600" spans="1:3" x14ac:dyDescent="0.25">
      <c r="A600" t="s">
        <v>1006</v>
      </c>
      <c r="B600" s="6">
        <v>2087</v>
      </c>
      <c r="C600">
        <v>-8</v>
      </c>
    </row>
    <row r="601" spans="1:3" x14ac:dyDescent="0.25">
      <c r="A601" t="s">
        <v>1007</v>
      </c>
      <c r="B601" s="6">
        <v>2087</v>
      </c>
      <c r="C601">
        <v>-8</v>
      </c>
    </row>
    <row r="602" spans="1:3" x14ac:dyDescent="0.25">
      <c r="A602" t="s">
        <v>1008</v>
      </c>
      <c r="B602" s="6">
        <v>2961.453</v>
      </c>
      <c r="C602">
        <v>-12</v>
      </c>
    </row>
    <row r="603" spans="1:3" x14ac:dyDescent="0.25">
      <c r="A603" t="s">
        <v>1009</v>
      </c>
      <c r="B603" s="6">
        <v>2087</v>
      </c>
      <c r="C603">
        <v>-8</v>
      </c>
    </row>
    <row r="604" spans="1:3" x14ac:dyDescent="0.25">
      <c r="A604" t="s">
        <v>1010</v>
      </c>
      <c r="B604" s="6">
        <v>2087</v>
      </c>
      <c r="C604">
        <v>-8</v>
      </c>
    </row>
    <row r="605" spans="1:3" x14ac:dyDescent="0.25">
      <c r="A605" t="s">
        <v>1011</v>
      </c>
      <c r="B605" s="6">
        <v>1988.9109999999998</v>
      </c>
      <c r="C605">
        <v>-8</v>
      </c>
    </row>
    <row r="606" spans="1:3" x14ac:dyDescent="0.25">
      <c r="A606" t="s">
        <v>1012</v>
      </c>
      <c r="B606" s="6">
        <v>1988.9109999999998</v>
      </c>
      <c r="C606">
        <v>-8</v>
      </c>
    </row>
    <row r="607" spans="1:3" x14ac:dyDescent="0.25">
      <c r="A607" t="s">
        <v>1013</v>
      </c>
      <c r="B607" s="6">
        <v>1988.9109999999998</v>
      </c>
      <c r="C607">
        <v>-8</v>
      </c>
    </row>
    <row r="608" spans="1:3" x14ac:dyDescent="0.25">
      <c r="A608" t="s">
        <v>1014</v>
      </c>
      <c r="B608" s="6">
        <v>2281.0909999999999</v>
      </c>
      <c r="C608">
        <v>-9</v>
      </c>
    </row>
    <row r="609" spans="1:3" x14ac:dyDescent="0.25">
      <c r="A609" t="s">
        <v>1015</v>
      </c>
      <c r="B609" s="6">
        <v>1988.9109999999998</v>
      </c>
      <c r="C609">
        <v>-8</v>
      </c>
    </row>
    <row r="610" spans="1:3" x14ac:dyDescent="0.25">
      <c r="A610" t="s">
        <v>1016</v>
      </c>
      <c r="B610" s="6">
        <v>2185.0889999999999</v>
      </c>
      <c r="C610">
        <v>-9</v>
      </c>
    </row>
    <row r="611" spans="1:3" x14ac:dyDescent="0.25">
      <c r="A611" t="s">
        <v>1017</v>
      </c>
      <c r="B611" s="6">
        <v>2281.0909999999999</v>
      </c>
      <c r="C611">
        <v>-10</v>
      </c>
    </row>
    <row r="612" spans="1:3" x14ac:dyDescent="0.25">
      <c r="A612" t="s">
        <v>1018</v>
      </c>
      <c r="B612" s="6">
        <v>2087</v>
      </c>
      <c r="C612">
        <v>-8</v>
      </c>
    </row>
    <row r="613" spans="1:3" x14ac:dyDescent="0.25">
      <c r="A613" t="s">
        <v>1019</v>
      </c>
      <c r="B613" s="6">
        <v>2087</v>
      </c>
      <c r="C613">
        <v>-8</v>
      </c>
    </row>
    <row r="614" spans="1:3" x14ac:dyDescent="0.25">
      <c r="A614" t="s">
        <v>1020</v>
      </c>
      <c r="B614" s="6">
        <v>2087</v>
      </c>
      <c r="C614">
        <v>-8</v>
      </c>
    </row>
    <row r="615" spans="1:3" x14ac:dyDescent="0.25">
      <c r="A615" t="s">
        <v>1021</v>
      </c>
      <c r="B615" s="6">
        <v>2281.0909999999999</v>
      </c>
      <c r="C615">
        <v>-9</v>
      </c>
    </row>
    <row r="616" spans="1:3" x14ac:dyDescent="0.25">
      <c r="A616" t="s">
        <v>1022</v>
      </c>
      <c r="B616" s="6">
        <v>2087</v>
      </c>
      <c r="C616">
        <v>-8</v>
      </c>
    </row>
    <row r="617" spans="1:3" x14ac:dyDescent="0.25">
      <c r="A617" t="s">
        <v>1023</v>
      </c>
      <c r="B617" s="6">
        <v>2379.1800000000003</v>
      </c>
      <c r="C617">
        <v>-10</v>
      </c>
    </row>
    <row r="618" spans="1:3" x14ac:dyDescent="0.25">
      <c r="A618" t="s">
        <v>1024</v>
      </c>
      <c r="B618" s="6">
        <v>2185.0889999999999</v>
      </c>
      <c r="C618">
        <v>-9</v>
      </c>
    </row>
    <row r="619" spans="1:3" x14ac:dyDescent="0.25">
      <c r="A619" t="s">
        <v>1025</v>
      </c>
      <c r="B619" s="6">
        <v>2087</v>
      </c>
      <c r="C619">
        <v>-8</v>
      </c>
    </row>
    <row r="620" spans="1:3" x14ac:dyDescent="0.25">
      <c r="A620" t="s">
        <v>1026</v>
      </c>
      <c r="B620" s="6">
        <v>2379.1800000000003</v>
      </c>
      <c r="C620">
        <v>-10</v>
      </c>
    </row>
    <row r="621" spans="1:3" x14ac:dyDescent="0.25">
      <c r="A621" t="s">
        <v>1027</v>
      </c>
      <c r="B621" s="6">
        <v>2087</v>
      </c>
      <c r="C621">
        <v>-8</v>
      </c>
    </row>
    <row r="622" spans="1:3" x14ac:dyDescent="0.25">
      <c r="A622" t="s">
        <v>1028</v>
      </c>
      <c r="B622" s="6">
        <v>2087</v>
      </c>
      <c r="C622">
        <v>-8</v>
      </c>
    </row>
    <row r="623" spans="1:3" x14ac:dyDescent="0.25">
      <c r="A623" t="s">
        <v>1029</v>
      </c>
      <c r="B623" s="6">
        <v>2087</v>
      </c>
      <c r="C623">
        <v>-8</v>
      </c>
    </row>
    <row r="624" spans="1:3" x14ac:dyDescent="0.25">
      <c r="A624" t="s">
        <v>1030</v>
      </c>
      <c r="B624" s="6">
        <v>2087</v>
      </c>
      <c r="C624">
        <v>-8</v>
      </c>
    </row>
    <row r="625" spans="1:3" x14ac:dyDescent="0.25">
      <c r="A625" t="s">
        <v>1031</v>
      </c>
      <c r="B625" s="6">
        <v>2379.1800000000003</v>
      </c>
      <c r="C625">
        <v>-10</v>
      </c>
    </row>
    <row r="626" spans="1:3" x14ac:dyDescent="0.25">
      <c r="A626" t="s">
        <v>1032</v>
      </c>
      <c r="B626" s="6">
        <v>2281.0909999999999</v>
      </c>
      <c r="C626">
        <v>-10</v>
      </c>
    </row>
    <row r="627" spans="1:3" x14ac:dyDescent="0.25">
      <c r="A627" t="s">
        <v>1033</v>
      </c>
      <c r="B627" s="6">
        <v>2185.0889999999999</v>
      </c>
      <c r="C627">
        <v>-9</v>
      </c>
    </row>
    <row r="628" spans="1:3" x14ac:dyDescent="0.25">
      <c r="A628" t="s">
        <v>1034</v>
      </c>
      <c r="B628" s="6">
        <v>2548.2270000000003</v>
      </c>
      <c r="C628">
        <v>-11</v>
      </c>
    </row>
    <row r="629" spans="1:3" x14ac:dyDescent="0.25">
      <c r="A629" t="s">
        <v>1035</v>
      </c>
      <c r="B629" s="6">
        <v>2379.1800000000003</v>
      </c>
      <c r="C629">
        <v>-10</v>
      </c>
    </row>
    <row r="630" spans="1:3" x14ac:dyDescent="0.25">
      <c r="A630" t="s">
        <v>1036</v>
      </c>
      <c r="B630" s="6">
        <v>2087</v>
      </c>
      <c r="C630">
        <v>-8</v>
      </c>
    </row>
    <row r="631" spans="1:3" x14ac:dyDescent="0.25">
      <c r="A631" t="s">
        <v>1037</v>
      </c>
      <c r="B631" s="6">
        <v>2087</v>
      </c>
      <c r="C631">
        <v>-8</v>
      </c>
    </row>
    <row r="632" spans="1:3" x14ac:dyDescent="0.25">
      <c r="A632" t="s">
        <v>1038</v>
      </c>
      <c r="B632" s="6">
        <v>2087</v>
      </c>
      <c r="C632">
        <v>-8</v>
      </c>
    </row>
    <row r="633" spans="1:3" x14ac:dyDescent="0.25">
      <c r="A633" t="s">
        <v>1039</v>
      </c>
      <c r="B633" s="6">
        <v>2281.0909999999999</v>
      </c>
      <c r="C633">
        <v>-9</v>
      </c>
    </row>
    <row r="634" spans="1:3" x14ac:dyDescent="0.25">
      <c r="A634" t="s">
        <v>1040</v>
      </c>
      <c r="B634" s="6">
        <v>2281.0909999999999</v>
      </c>
      <c r="C634">
        <v>-10</v>
      </c>
    </row>
    <row r="635" spans="1:3" x14ac:dyDescent="0.25">
      <c r="A635" t="s">
        <v>1041</v>
      </c>
      <c r="B635" s="6">
        <v>2087</v>
      </c>
      <c r="C635">
        <v>-8</v>
      </c>
    </row>
    <row r="636" spans="1:3" x14ac:dyDescent="0.25">
      <c r="A636" t="s">
        <v>1042</v>
      </c>
      <c r="B636" s="6">
        <v>2185.0889999999999</v>
      </c>
      <c r="C636">
        <v>-9</v>
      </c>
    </row>
    <row r="637" spans="1:3" x14ac:dyDescent="0.25">
      <c r="A637" t="s">
        <v>1043</v>
      </c>
      <c r="B637" s="6">
        <v>2185.0889999999999</v>
      </c>
      <c r="C637">
        <v>-8</v>
      </c>
    </row>
    <row r="638" spans="1:3" x14ac:dyDescent="0.25">
      <c r="A638" t="s">
        <v>1044</v>
      </c>
      <c r="B638" s="6">
        <v>1988.9109999999998</v>
      </c>
      <c r="C638">
        <v>-8</v>
      </c>
    </row>
    <row r="639" spans="1:3" x14ac:dyDescent="0.25">
      <c r="A639" t="s">
        <v>1045</v>
      </c>
      <c r="B639" s="6">
        <v>2087</v>
      </c>
      <c r="C639">
        <v>-8</v>
      </c>
    </row>
    <row r="640" spans="1:3" x14ac:dyDescent="0.25">
      <c r="A640" t="s">
        <v>1046</v>
      </c>
      <c r="B640" s="6">
        <v>2087</v>
      </c>
      <c r="C640">
        <v>-8</v>
      </c>
    </row>
    <row r="641" spans="1:3" x14ac:dyDescent="0.25">
      <c r="A641" t="s">
        <v>1047</v>
      </c>
      <c r="B641" s="6">
        <v>1988.9109999999998</v>
      </c>
      <c r="C641">
        <v>-8</v>
      </c>
    </row>
    <row r="642" spans="1:3" x14ac:dyDescent="0.25">
      <c r="A642" t="s">
        <v>1048</v>
      </c>
      <c r="B642" s="6">
        <v>2281.0909999999999</v>
      </c>
      <c r="C642">
        <v>-9</v>
      </c>
    </row>
    <row r="643" spans="1:3" x14ac:dyDescent="0.25">
      <c r="A643" t="s">
        <v>1049</v>
      </c>
      <c r="B643" s="6">
        <v>2087</v>
      </c>
      <c r="C643">
        <v>-8</v>
      </c>
    </row>
    <row r="644" spans="1:3" x14ac:dyDescent="0.25">
      <c r="A644" t="s">
        <v>1050</v>
      </c>
      <c r="B644" s="6">
        <v>2087</v>
      </c>
      <c r="C644">
        <v>-8</v>
      </c>
    </row>
    <row r="645" spans="1:3" x14ac:dyDescent="0.25">
      <c r="A645" t="s">
        <v>1051</v>
      </c>
      <c r="B645" s="6">
        <v>2087</v>
      </c>
      <c r="C645">
        <v>-9</v>
      </c>
    </row>
    <row r="646" spans="1:3" x14ac:dyDescent="0.25">
      <c r="A646" t="s">
        <v>1052</v>
      </c>
      <c r="B646" s="6">
        <v>2087</v>
      </c>
      <c r="C646">
        <v>-8</v>
      </c>
    </row>
    <row r="647" spans="1:3" x14ac:dyDescent="0.25">
      <c r="A647" t="s">
        <v>1053</v>
      </c>
      <c r="B647" s="6">
        <v>2087</v>
      </c>
      <c r="C647">
        <v>-8</v>
      </c>
    </row>
    <row r="648" spans="1:3" x14ac:dyDescent="0.25">
      <c r="A648" t="s">
        <v>1054</v>
      </c>
      <c r="B648" s="6">
        <v>2087</v>
      </c>
      <c r="C648">
        <v>-8</v>
      </c>
    </row>
    <row r="649" spans="1:3" x14ac:dyDescent="0.25">
      <c r="A649" t="s">
        <v>1055</v>
      </c>
      <c r="B649" s="6">
        <v>2185.0889999999999</v>
      </c>
      <c r="C649">
        <v>-9</v>
      </c>
    </row>
    <row r="650" spans="1:3" x14ac:dyDescent="0.25">
      <c r="A650" t="s">
        <v>1056</v>
      </c>
      <c r="B650" s="6">
        <v>2185.0889999999999</v>
      </c>
      <c r="C650">
        <v>-8</v>
      </c>
    </row>
    <row r="651" spans="1:3" x14ac:dyDescent="0.25">
      <c r="A651" t="s">
        <v>1057</v>
      </c>
      <c r="B651" s="6">
        <v>2185.0889999999999</v>
      </c>
      <c r="C651">
        <v>-8</v>
      </c>
    </row>
    <row r="652" spans="1:3" x14ac:dyDescent="0.25">
      <c r="A652" t="s">
        <v>1058</v>
      </c>
      <c r="B652" s="6">
        <v>2548.2270000000003</v>
      </c>
      <c r="C652">
        <v>-11</v>
      </c>
    </row>
    <row r="653" spans="1:3" x14ac:dyDescent="0.25">
      <c r="A653" t="s">
        <v>1059</v>
      </c>
      <c r="B653" s="6">
        <v>2379.1800000000003</v>
      </c>
      <c r="C653">
        <v>-10</v>
      </c>
    </row>
    <row r="654" spans="1:3" x14ac:dyDescent="0.25">
      <c r="A654" t="s">
        <v>1060</v>
      </c>
      <c r="B654" s="6">
        <v>2087</v>
      </c>
      <c r="C654">
        <v>-8</v>
      </c>
    </row>
    <row r="655" spans="1:3" x14ac:dyDescent="0.25">
      <c r="A655" t="s">
        <v>1061</v>
      </c>
      <c r="B655" s="6">
        <v>1988.9109999999998</v>
      </c>
      <c r="C655">
        <v>-8</v>
      </c>
    </row>
    <row r="656" spans="1:3" x14ac:dyDescent="0.25">
      <c r="A656" t="s">
        <v>1062</v>
      </c>
      <c r="B656" s="6">
        <v>2087</v>
      </c>
      <c r="C656">
        <v>-8</v>
      </c>
    </row>
    <row r="657" spans="1:3" x14ac:dyDescent="0.25">
      <c r="A657" t="s">
        <v>1063</v>
      </c>
      <c r="B657" s="6">
        <v>2185.0889999999999</v>
      </c>
      <c r="C657">
        <v>-8</v>
      </c>
    </row>
    <row r="658" spans="1:3" x14ac:dyDescent="0.25">
      <c r="A658" t="s">
        <v>1064</v>
      </c>
      <c r="B658" s="6">
        <v>2548.2270000000003</v>
      </c>
      <c r="C658">
        <v>-10</v>
      </c>
    </row>
    <row r="659" spans="1:3" x14ac:dyDescent="0.25">
      <c r="A659" t="s">
        <v>1065</v>
      </c>
      <c r="B659" s="6">
        <v>2281.0909999999999</v>
      </c>
      <c r="C659">
        <v>-9</v>
      </c>
    </row>
    <row r="660" spans="1:3" x14ac:dyDescent="0.25">
      <c r="A660" t="s">
        <v>1066</v>
      </c>
      <c r="B660" s="6">
        <v>2281.0909999999999</v>
      </c>
      <c r="C660">
        <v>-10</v>
      </c>
    </row>
    <row r="661" spans="1:3" x14ac:dyDescent="0.25">
      <c r="A661" t="s">
        <v>1067</v>
      </c>
      <c r="B661" s="6">
        <v>2087</v>
      </c>
      <c r="C661">
        <v>-8</v>
      </c>
    </row>
    <row r="662" spans="1:3" x14ac:dyDescent="0.25">
      <c r="A662" t="s">
        <v>1068</v>
      </c>
      <c r="B662" s="6">
        <v>2087</v>
      </c>
      <c r="C662">
        <v>-8</v>
      </c>
    </row>
    <row r="663" spans="1:3" x14ac:dyDescent="0.25">
      <c r="A663" t="s">
        <v>1069</v>
      </c>
      <c r="B663" s="6">
        <v>2087</v>
      </c>
      <c r="C663">
        <v>-8</v>
      </c>
    </row>
    <row r="664" spans="1:3" x14ac:dyDescent="0.25">
      <c r="A664" t="s">
        <v>1070</v>
      </c>
      <c r="B664" s="6">
        <v>1988.9109999999998</v>
      </c>
      <c r="C664">
        <v>-8</v>
      </c>
    </row>
    <row r="665" spans="1:3" x14ac:dyDescent="0.25">
      <c r="A665" t="s">
        <v>1071</v>
      </c>
      <c r="B665" s="6">
        <v>2087</v>
      </c>
      <c r="C665">
        <v>-8</v>
      </c>
    </row>
    <row r="666" spans="1:3" x14ac:dyDescent="0.25">
      <c r="A666" t="s">
        <v>1072</v>
      </c>
      <c r="B666" s="6">
        <v>2281.0909999999999</v>
      </c>
      <c r="C666">
        <v>-10</v>
      </c>
    </row>
    <row r="667" spans="1:3" x14ac:dyDescent="0.25">
      <c r="A667" t="s">
        <v>1073</v>
      </c>
      <c r="B667" s="6">
        <v>2379.1800000000003</v>
      </c>
      <c r="C667">
        <v>-10</v>
      </c>
    </row>
    <row r="668" spans="1:3" x14ac:dyDescent="0.25">
      <c r="A668" t="s">
        <v>1074</v>
      </c>
      <c r="B668" s="6">
        <v>2087</v>
      </c>
      <c r="C668">
        <v>-8</v>
      </c>
    </row>
    <row r="669" spans="1:3" x14ac:dyDescent="0.25">
      <c r="A669" t="s">
        <v>1075</v>
      </c>
      <c r="B669" s="6">
        <v>2379.1800000000003</v>
      </c>
      <c r="C669">
        <v>-10</v>
      </c>
    </row>
    <row r="670" spans="1:3" x14ac:dyDescent="0.25">
      <c r="A670" t="s">
        <v>1076</v>
      </c>
      <c r="B670" s="6">
        <v>2185.0889999999999</v>
      </c>
      <c r="C670">
        <v>-9</v>
      </c>
    </row>
    <row r="671" spans="1:3" x14ac:dyDescent="0.25">
      <c r="A671" t="s">
        <v>1077</v>
      </c>
      <c r="B671" s="6">
        <v>2281.0909999999999</v>
      </c>
      <c r="C671">
        <v>-10</v>
      </c>
    </row>
    <row r="672" spans="1:3" x14ac:dyDescent="0.25">
      <c r="A672" t="s">
        <v>1078</v>
      </c>
      <c r="B672" s="6">
        <v>2185.0889999999999</v>
      </c>
      <c r="C672">
        <v>-9</v>
      </c>
    </row>
    <row r="673" spans="1:3" x14ac:dyDescent="0.25">
      <c r="A673" t="s">
        <v>1079</v>
      </c>
      <c r="B673" s="6">
        <v>2185.0889999999999</v>
      </c>
      <c r="C673">
        <v>-9</v>
      </c>
    </row>
    <row r="674" spans="1:3" x14ac:dyDescent="0.25">
      <c r="A674" t="s">
        <v>1080</v>
      </c>
      <c r="B674" s="6">
        <v>2379.1800000000003</v>
      </c>
      <c r="C674">
        <v>-10</v>
      </c>
    </row>
    <row r="675" spans="1:3" x14ac:dyDescent="0.25">
      <c r="A675" t="s">
        <v>1081</v>
      </c>
      <c r="B675" s="6">
        <v>2379.1800000000003</v>
      </c>
      <c r="C675">
        <v>-10</v>
      </c>
    </row>
    <row r="676" spans="1:3" x14ac:dyDescent="0.25">
      <c r="A676" t="s">
        <v>1082</v>
      </c>
      <c r="B676" s="6">
        <v>2087</v>
      </c>
      <c r="C676">
        <v>-9</v>
      </c>
    </row>
    <row r="677" spans="1:3" x14ac:dyDescent="0.25">
      <c r="A677" t="s">
        <v>1083</v>
      </c>
      <c r="B677" s="6">
        <v>2185.0889999999999</v>
      </c>
      <c r="C677">
        <v>-9</v>
      </c>
    </row>
    <row r="678" spans="1:3" x14ac:dyDescent="0.25">
      <c r="A678" t="s">
        <v>1084</v>
      </c>
      <c r="B678" s="6">
        <v>2281.0909999999999</v>
      </c>
      <c r="C678">
        <v>-9</v>
      </c>
    </row>
    <row r="679" spans="1:3" x14ac:dyDescent="0.25">
      <c r="A679" t="s">
        <v>1085</v>
      </c>
      <c r="B679" s="6">
        <v>2185.0889999999999</v>
      </c>
      <c r="C679">
        <v>-9</v>
      </c>
    </row>
    <row r="680" spans="1:3" x14ac:dyDescent="0.25">
      <c r="A680" t="s">
        <v>1086</v>
      </c>
      <c r="B680" s="6">
        <v>2961.453</v>
      </c>
      <c r="C680">
        <v>-11</v>
      </c>
    </row>
    <row r="681" spans="1:3" x14ac:dyDescent="0.25">
      <c r="A681" t="s">
        <v>1087</v>
      </c>
      <c r="B681" s="6">
        <v>2790.319</v>
      </c>
      <c r="C681">
        <v>-12</v>
      </c>
    </row>
    <row r="682" spans="1:3" x14ac:dyDescent="0.25">
      <c r="A682" t="s">
        <v>1088</v>
      </c>
      <c r="B682" s="6">
        <v>2790.319</v>
      </c>
      <c r="C682">
        <v>-11</v>
      </c>
    </row>
    <row r="683" spans="1:3" x14ac:dyDescent="0.25">
      <c r="A683" t="s">
        <v>1089</v>
      </c>
      <c r="B683" s="6">
        <v>2185.0889999999999</v>
      </c>
      <c r="C683">
        <v>-8</v>
      </c>
    </row>
    <row r="684" spans="1:3" x14ac:dyDescent="0.25">
      <c r="A684" t="s">
        <v>1090</v>
      </c>
      <c r="B684" s="6">
        <v>2185.0889999999999</v>
      </c>
      <c r="C684">
        <v>-9</v>
      </c>
    </row>
    <row r="685" spans="1:3" x14ac:dyDescent="0.25">
      <c r="A685" t="s">
        <v>1091</v>
      </c>
      <c r="B685" s="6">
        <v>2379.1800000000003</v>
      </c>
      <c r="C685">
        <v>-10</v>
      </c>
    </row>
    <row r="686" spans="1:3" x14ac:dyDescent="0.25">
      <c r="A686" t="s">
        <v>1092</v>
      </c>
      <c r="B686" s="6">
        <v>2087</v>
      </c>
      <c r="C686">
        <v>-9</v>
      </c>
    </row>
    <row r="687" spans="1:3" x14ac:dyDescent="0.25">
      <c r="A687" t="s">
        <v>1093</v>
      </c>
      <c r="B687" s="6">
        <v>2281.0909999999999</v>
      </c>
      <c r="C687">
        <v>-9</v>
      </c>
    </row>
    <row r="688" spans="1:3" x14ac:dyDescent="0.25">
      <c r="A688" t="s">
        <v>1094</v>
      </c>
      <c r="B688" s="6">
        <v>2185.0889999999999</v>
      </c>
      <c r="C688">
        <v>-9</v>
      </c>
    </row>
    <row r="689" spans="1:3" x14ac:dyDescent="0.25">
      <c r="A689" t="s">
        <v>1095</v>
      </c>
      <c r="B689" s="6">
        <v>2379.1800000000003</v>
      </c>
      <c r="C689">
        <v>-10</v>
      </c>
    </row>
    <row r="690" spans="1:3" x14ac:dyDescent="0.25">
      <c r="A690" t="s">
        <v>1096</v>
      </c>
      <c r="B690" s="6">
        <v>2379.1800000000003</v>
      </c>
      <c r="C690">
        <v>-10</v>
      </c>
    </row>
    <row r="691" spans="1:3" x14ac:dyDescent="0.25">
      <c r="A691" t="s">
        <v>1097</v>
      </c>
      <c r="B691" s="6">
        <v>2185.0889999999999</v>
      </c>
      <c r="C691">
        <v>-8</v>
      </c>
    </row>
    <row r="692" spans="1:3" x14ac:dyDescent="0.25">
      <c r="A692" t="s">
        <v>1098</v>
      </c>
      <c r="B692" s="6">
        <v>2185.0889999999999</v>
      </c>
      <c r="C692">
        <v>-9</v>
      </c>
    </row>
    <row r="693" spans="1:3" x14ac:dyDescent="0.25">
      <c r="A693" t="s">
        <v>1099</v>
      </c>
      <c r="B693" s="6">
        <v>2379.1800000000003</v>
      </c>
      <c r="C693">
        <v>-10</v>
      </c>
    </row>
    <row r="694" spans="1:3" x14ac:dyDescent="0.25">
      <c r="A694" t="s">
        <v>1100</v>
      </c>
      <c r="B694" s="6">
        <v>2379.1800000000003</v>
      </c>
      <c r="C694">
        <v>-10</v>
      </c>
    </row>
    <row r="695" spans="1:3" x14ac:dyDescent="0.25">
      <c r="A695" t="s">
        <v>1101</v>
      </c>
      <c r="B695" s="6">
        <v>2185.0889999999999</v>
      </c>
      <c r="C695">
        <v>-9</v>
      </c>
    </row>
    <row r="696" spans="1:3" x14ac:dyDescent="0.25">
      <c r="A696" t="s">
        <v>1102</v>
      </c>
      <c r="B696" s="6">
        <v>2185.0889999999999</v>
      </c>
      <c r="C696">
        <v>-9</v>
      </c>
    </row>
    <row r="697" spans="1:3" x14ac:dyDescent="0.25">
      <c r="A697" t="s">
        <v>1103</v>
      </c>
      <c r="B697" s="6">
        <v>2548.2270000000003</v>
      </c>
      <c r="C697">
        <v>-11</v>
      </c>
    </row>
    <row r="698" spans="1:3" x14ac:dyDescent="0.25">
      <c r="A698" t="s">
        <v>1104</v>
      </c>
      <c r="B698" s="6">
        <v>2281.0909999999999</v>
      </c>
      <c r="C698">
        <v>-10</v>
      </c>
    </row>
    <row r="699" spans="1:3" x14ac:dyDescent="0.25">
      <c r="A699" t="s">
        <v>1105</v>
      </c>
      <c r="B699" s="6">
        <v>2281.0909999999999</v>
      </c>
      <c r="C699">
        <v>-9</v>
      </c>
    </row>
    <row r="700" spans="1:3" x14ac:dyDescent="0.25">
      <c r="A700" t="s">
        <v>1106</v>
      </c>
      <c r="B700" s="6">
        <v>2281.0909999999999</v>
      </c>
      <c r="C700">
        <v>-9</v>
      </c>
    </row>
    <row r="701" spans="1:3" x14ac:dyDescent="0.25">
      <c r="A701" t="s">
        <v>1107</v>
      </c>
      <c r="B701" s="6">
        <v>2281.0909999999999</v>
      </c>
      <c r="C701">
        <v>-9</v>
      </c>
    </row>
    <row r="702" spans="1:3" x14ac:dyDescent="0.25">
      <c r="A702" t="s">
        <v>1108</v>
      </c>
      <c r="B702" s="6">
        <v>2281.0909999999999</v>
      </c>
      <c r="C702">
        <v>-9</v>
      </c>
    </row>
    <row r="703" spans="1:3" x14ac:dyDescent="0.25">
      <c r="A703" t="s">
        <v>1109</v>
      </c>
      <c r="B703" s="6">
        <v>2087</v>
      </c>
      <c r="C703">
        <v>-8</v>
      </c>
    </row>
    <row r="704" spans="1:3" x14ac:dyDescent="0.25">
      <c r="A704" t="s">
        <v>1110</v>
      </c>
      <c r="B704" s="6">
        <v>2281.0909999999999</v>
      </c>
      <c r="C704">
        <v>-10</v>
      </c>
    </row>
    <row r="705" spans="1:3" x14ac:dyDescent="0.25">
      <c r="A705" t="s">
        <v>1111</v>
      </c>
      <c r="B705" s="6">
        <v>2185.0889999999999</v>
      </c>
      <c r="C705">
        <v>-9</v>
      </c>
    </row>
    <row r="706" spans="1:3" x14ac:dyDescent="0.25">
      <c r="A706" t="s">
        <v>1112</v>
      </c>
      <c r="B706" s="6">
        <v>2087</v>
      </c>
      <c r="C706">
        <v>-8</v>
      </c>
    </row>
    <row r="707" spans="1:3" x14ac:dyDescent="0.25">
      <c r="A707" t="s">
        <v>1113</v>
      </c>
      <c r="B707" s="6">
        <v>2185.0889999999999</v>
      </c>
      <c r="C707">
        <v>-9</v>
      </c>
    </row>
    <row r="708" spans="1:3" x14ac:dyDescent="0.25">
      <c r="A708" t="s">
        <v>1114</v>
      </c>
      <c r="B708" s="6">
        <v>2281.0909999999999</v>
      </c>
      <c r="C708">
        <v>-10</v>
      </c>
    </row>
    <row r="709" spans="1:3" x14ac:dyDescent="0.25">
      <c r="A709" t="s">
        <v>1115</v>
      </c>
      <c r="B709" s="6">
        <v>2281.0909999999999</v>
      </c>
      <c r="C709">
        <v>-9</v>
      </c>
    </row>
    <row r="710" spans="1:3" x14ac:dyDescent="0.25">
      <c r="A710" t="s">
        <v>1116</v>
      </c>
      <c r="B710" s="6">
        <v>2281.0909999999999</v>
      </c>
      <c r="C710">
        <v>-10</v>
      </c>
    </row>
    <row r="711" spans="1:3" x14ac:dyDescent="0.25">
      <c r="A711" t="s">
        <v>1117</v>
      </c>
      <c r="B711" s="6">
        <v>2548.2270000000003</v>
      </c>
      <c r="C711">
        <v>-10</v>
      </c>
    </row>
    <row r="712" spans="1:3" x14ac:dyDescent="0.25">
      <c r="A712" t="s">
        <v>1118</v>
      </c>
      <c r="B712" s="6">
        <v>2281.0909999999999</v>
      </c>
      <c r="C712">
        <v>-9</v>
      </c>
    </row>
    <row r="713" spans="1:3" x14ac:dyDescent="0.25">
      <c r="A713" t="s">
        <v>1119</v>
      </c>
      <c r="B713" s="6">
        <v>2281.0909999999999</v>
      </c>
      <c r="C713">
        <v>-10</v>
      </c>
    </row>
    <row r="714" spans="1:3" x14ac:dyDescent="0.25">
      <c r="A714" t="s">
        <v>1120</v>
      </c>
      <c r="B714" s="6">
        <v>2379.1800000000003</v>
      </c>
      <c r="C714">
        <v>-10</v>
      </c>
    </row>
    <row r="715" spans="1:3" x14ac:dyDescent="0.25">
      <c r="A715" t="s">
        <v>1121</v>
      </c>
      <c r="B715" s="6">
        <v>2185.0889999999999</v>
      </c>
      <c r="C715">
        <v>-8</v>
      </c>
    </row>
    <row r="716" spans="1:3" x14ac:dyDescent="0.25">
      <c r="A716" t="s">
        <v>1122</v>
      </c>
      <c r="B716" s="6">
        <v>2185.0889999999999</v>
      </c>
      <c r="C716">
        <v>-9</v>
      </c>
    </row>
    <row r="717" spans="1:3" x14ac:dyDescent="0.25">
      <c r="A717" t="s">
        <v>1123</v>
      </c>
      <c r="B717" s="6">
        <v>2185.0889999999999</v>
      </c>
      <c r="C717">
        <v>-9</v>
      </c>
    </row>
    <row r="718" spans="1:3" x14ac:dyDescent="0.25">
      <c r="A718" t="s">
        <v>1124</v>
      </c>
      <c r="B718" s="6">
        <v>2281.0909999999999</v>
      </c>
      <c r="C718">
        <v>-9</v>
      </c>
    </row>
    <row r="719" spans="1:3" x14ac:dyDescent="0.25">
      <c r="A719" t="s">
        <v>1125</v>
      </c>
      <c r="B719" s="6">
        <v>2548.2270000000003</v>
      </c>
      <c r="C719">
        <v>-10</v>
      </c>
    </row>
    <row r="720" spans="1:3" x14ac:dyDescent="0.25">
      <c r="A720" t="s">
        <v>1126</v>
      </c>
      <c r="B720" s="6">
        <v>2087</v>
      </c>
      <c r="C720">
        <v>-8</v>
      </c>
    </row>
    <row r="721" spans="1:3" x14ac:dyDescent="0.25">
      <c r="A721" t="s">
        <v>1127</v>
      </c>
      <c r="B721" s="6">
        <v>2185.0889999999999</v>
      </c>
      <c r="C721">
        <v>-9</v>
      </c>
    </row>
    <row r="722" spans="1:3" x14ac:dyDescent="0.25">
      <c r="A722" t="s">
        <v>1128</v>
      </c>
      <c r="B722" s="6">
        <v>2185.0889999999999</v>
      </c>
      <c r="C722">
        <v>-9</v>
      </c>
    </row>
    <row r="723" spans="1:3" x14ac:dyDescent="0.25">
      <c r="A723" t="s">
        <v>1129</v>
      </c>
      <c r="B723" s="6">
        <v>2087</v>
      </c>
      <c r="C723">
        <v>-8</v>
      </c>
    </row>
    <row r="724" spans="1:3" x14ac:dyDescent="0.25">
      <c r="A724" t="s">
        <v>1129</v>
      </c>
      <c r="B724" s="6">
        <v>2087</v>
      </c>
      <c r="C724">
        <v>-8</v>
      </c>
    </row>
    <row r="725" spans="1:3" x14ac:dyDescent="0.25">
      <c r="A725" t="s">
        <v>1130</v>
      </c>
      <c r="B725" s="6">
        <v>2281.0909999999999</v>
      </c>
      <c r="C725">
        <v>-9</v>
      </c>
    </row>
    <row r="726" spans="1:3" x14ac:dyDescent="0.25">
      <c r="A726" t="s">
        <v>1131</v>
      </c>
      <c r="B726" s="6">
        <v>2379.1800000000003</v>
      </c>
      <c r="C726">
        <v>-11</v>
      </c>
    </row>
    <row r="727" spans="1:3" x14ac:dyDescent="0.25">
      <c r="A727" t="s">
        <v>1132</v>
      </c>
      <c r="B727" s="6">
        <v>2379.1800000000003</v>
      </c>
      <c r="C727">
        <v>-10</v>
      </c>
    </row>
    <row r="728" spans="1:3" x14ac:dyDescent="0.25">
      <c r="A728" t="s">
        <v>1133</v>
      </c>
      <c r="B728" s="6">
        <v>2548.2270000000003</v>
      </c>
      <c r="C728">
        <v>-10</v>
      </c>
    </row>
    <row r="729" spans="1:3" x14ac:dyDescent="0.25">
      <c r="A729" t="s">
        <v>1134</v>
      </c>
      <c r="B729" s="6">
        <v>2185.0889999999999</v>
      </c>
      <c r="C729">
        <v>-9</v>
      </c>
    </row>
    <row r="730" spans="1:3" x14ac:dyDescent="0.25">
      <c r="A730" t="s">
        <v>1135</v>
      </c>
      <c r="B730" s="6">
        <v>2548.2270000000003</v>
      </c>
      <c r="C730">
        <v>-11</v>
      </c>
    </row>
    <row r="731" spans="1:3" x14ac:dyDescent="0.25">
      <c r="A731" t="s">
        <v>1136</v>
      </c>
      <c r="B731" s="6">
        <v>2281.0909999999999</v>
      </c>
      <c r="C731">
        <v>-9</v>
      </c>
    </row>
    <row r="732" spans="1:3" x14ac:dyDescent="0.25">
      <c r="A732" t="s">
        <v>1137</v>
      </c>
      <c r="B732" s="6">
        <v>2087</v>
      </c>
      <c r="C732">
        <v>-8</v>
      </c>
    </row>
    <row r="733" spans="1:3" x14ac:dyDescent="0.25">
      <c r="A733" t="s">
        <v>1138</v>
      </c>
      <c r="B733" s="6">
        <v>2281.0909999999999</v>
      </c>
      <c r="C733">
        <v>-9</v>
      </c>
    </row>
    <row r="734" spans="1:3" x14ac:dyDescent="0.25">
      <c r="A734" t="s">
        <v>1139</v>
      </c>
      <c r="B734" s="6">
        <v>2379.1800000000003</v>
      </c>
      <c r="C734">
        <v>-10</v>
      </c>
    </row>
    <row r="735" spans="1:3" x14ac:dyDescent="0.25">
      <c r="A735" t="s">
        <v>1140</v>
      </c>
      <c r="B735" s="6">
        <v>2379.1800000000003</v>
      </c>
      <c r="C735">
        <v>-10</v>
      </c>
    </row>
    <row r="736" spans="1:3" x14ac:dyDescent="0.25">
      <c r="A736" t="s">
        <v>1141</v>
      </c>
      <c r="B736" s="6">
        <v>2281.0909999999999</v>
      </c>
      <c r="C736">
        <v>-9</v>
      </c>
    </row>
    <row r="737" spans="1:3" x14ac:dyDescent="0.25">
      <c r="A737" t="s">
        <v>1142</v>
      </c>
      <c r="B737" s="6">
        <v>2281.0909999999999</v>
      </c>
      <c r="C737">
        <v>-10</v>
      </c>
    </row>
    <row r="738" spans="1:3" x14ac:dyDescent="0.25">
      <c r="A738" t="s">
        <v>1143</v>
      </c>
      <c r="B738" s="6">
        <v>2185.0889999999999</v>
      </c>
      <c r="C738">
        <v>-8</v>
      </c>
    </row>
    <row r="739" spans="1:3" x14ac:dyDescent="0.25">
      <c r="A739" t="s">
        <v>1144</v>
      </c>
      <c r="B739" s="6">
        <v>2548.2270000000003</v>
      </c>
      <c r="C739">
        <v>-11</v>
      </c>
    </row>
    <row r="740" spans="1:3" x14ac:dyDescent="0.25">
      <c r="A740" t="s">
        <v>1145</v>
      </c>
      <c r="B740" s="6">
        <v>2185.0889999999999</v>
      </c>
      <c r="C740">
        <v>-9</v>
      </c>
    </row>
    <row r="741" spans="1:3" x14ac:dyDescent="0.25">
      <c r="A741" t="s">
        <v>1146</v>
      </c>
      <c r="B741" s="6">
        <v>2281.0909999999999</v>
      </c>
      <c r="C741">
        <v>-10</v>
      </c>
    </row>
    <row r="742" spans="1:3" x14ac:dyDescent="0.25">
      <c r="A742" t="s">
        <v>1147</v>
      </c>
      <c r="B742" s="6">
        <v>2548.2270000000003</v>
      </c>
      <c r="C742">
        <v>-11</v>
      </c>
    </row>
    <row r="743" spans="1:3" x14ac:dyDescent="0.25">
      <c r="A743" t="s">
        <v>1148</v>
      </c>
      <c r="B743" s="6">
        <v>2185.0889999999999</v>
      </c>
      <c r="C743">
        <v>-9</v>
      </c>
    </row>
    <row r="744" spans="1:3" x14ac:dyDescent="0.25">
      <c r="A744" t="s">
        <v>1149</v>
      </c>
      <c r="B744" s="6">
        <v>2379.1800000000003</v>
      </c>
      <c r="C744">
        <v>-10</v>
      </c>
    </row>
    <row r="745" spans="1:3" x14ac:dyDescent="0.25">
      <c r="A745" t="s">
        <v>1150</v>
      </c>
      <c r="B745" s="6">
        <v>2087</v>
      </c>
      <c r="C745">
        <v>-8</v>
      </c>
    </row>
    <row r="746" spans="1:3" x14ac:dyDescent="0.25">
      <c r="A746" t="s">
        <v>1151</v>
      </c>
      <c r="B746" s="6">
        <v>2087</v>
      </c>
      <c r="C746">
        <v>-8</v>
      </c>
    </row>
    <row r="747" spans="1:3" x14ac:dyDescent="0.25">
      <c r="A747" t="s">
        <v>1152</v>
      </c>
      <c r="B747" s="6">
        <v>2185.0889999999999</v>
      </c>
      <c r="C747">
        <v>-9</v>
      </c>
    </row>
    <row r="748" spans="1:3" x14ac:dyDescent="0.25">
      <c r="A748" t="s">
        <v>1153</v>
      </c>
      <c r="B748" s="6">
        <v>2185.0889999999999</v>
      </c>
      <c r="C748">
        <v>-9</v>
      </c>
    </row>
    <row r="749" spans="1:3" x14ac:dyDescent="0.25">
      <c r="A749" t="s">
        <v>1154</v>
      </c>
      <c r="B749" s="6">
        <v>2548.2270000000003</v>
      </c>
      <c r="C749">
        <v>-11</v>
      </c>
    </row>
    <row r="750" spans="1:3" x14ac:dyDescent="0.25">
      <c r="A750" t="s">
        <v>1155</v>
      </c>
      <c r="B750" s="6">
        <v>2281.0909999999999</v>
      </c>
      <c r="C750">
        <v>-9</v>
      </c>
    </row>
    <row r="751" spans="1:3" x14ac:dyDescent="0.25">
      <c r="A751" t="s">
        <v>1156</v>
      </c>
      <c r="B751" s="6">
        <v>2548.2270000000003</v>
      </c>
      <c r="C751">
        <v>-10</v>
      </c>
    </row>
    <row r="752" spans="1:3" x14ac:dyDescent="0.25">
      <c r="A752" t="s">
        <v>1157</v>
      </c>
      <c r="B752" s="6">
        <v>2087</v>
      </c>
      <c r="C752">
        <v>-8</v>
      </c>
    </row>
    <row r="753" spans="1:3" x14ac:dyDescent="0.25">
      <c r="A753" t="s">
        <v>1158</v>
      </c>
      <c r="B753" s="6">
        <v>2379.1800000000003</v>
      </c>
      <c r="C753">
        <v>-10</v>
      </c>
    </row>
    <row r="754" spans="1:3" x14ac:dyDescent="0.25">
      <c r="A754" t="s">
        <v>1159</v>
      </c>
      <c r="B754" s="6">
        <v>2087</v>
      </c>
      <c r="C754">
        <v>-8</v>
      </c>
    </row>
    <row r="755" spans="1:3" x14ac:dyDescent="0.25">
      <c r="A755" t="s">
        <v>1160</v>
      </c>
      <c r="B755" s="6">
        <v>2185.0889999999999</v>
      </c>
      <c r="C755">
        <v>-9</v>
      </c>
    </row>
    <row r="756" spans="1:3" x14ac:dyDescent="0.25">
      <c r="A756" t="s">
        <v>1161</v>
      </c>
      <c r="B756" s="6">
        <v>2379.1800000000003</v>
      </c>
      <c r="C756">
        <v>-10</v>
      </c>
    </row>
    <row r="757" spans="1:3" x14ac:dyDescent="0.25">
      <c r="A757" t="s">
        <v>1162</v>
      </c>
      <c r="B757" s="6">
        <v>2281.0909999999999</v>
      </c>
      <c r="C757">
        <v>-10</v>
      </c>
    </row>
    <row r="758" spans="1:3" x14ac:dyDescent="0.25">
      <c r="A758" t="s">
        <v>1163</v>
      </c>
      <c r="B758" s="6">
        <v>2087</v>
      </c>
      <c r="C758">
        <v>-8</v>
      </c>
    </row>
    <row r="759" spans="1:3" x14ac:dyDescent="0.25">
      <c r="A759" t="s">
        <v>1164</v>
      </c>
      <c r="B759" s="6">
        <v>2087</v>
      </c>
      <c r="C759">
        <v>-8</v>
      </c>
    </row>
    <row r="760" spans="1:3" x14ac:dyDescent="0.25">
      <c r="A760" t="s">
        <v>1165</v>
      </c>
      <c r="B760" s="6">
        <v>2087</v>
      </c>
      <c r="C760">
        <v>-8</v>
      </c>
    </row>
    <row r="761" spans="1:3" x14ac:dyDescent="0.25">
      <c r="A761" t="s">
        <v>1166</v>
      </c>
      <c r="B761" s="6">
        <v>2087</v>
      </c>
      <c r="C761">
        <v>-8</v>
      </c>
    </row>
    <row r="762" spans="1:3" x14ac:dyDescent="0.25">
      <c r="A762" t="s">
        <v>1167</v>
      </c>
      <c r="B762" s="6">
        <v>2087</v>
      </c>
      <c r="C762">
        <v>-8</v>
      </c>
    </row>
    <row r="763" spans="1:3" x14ac:dyDescent="0.25">
      <c r="A763" t="s">
        <v>1168</v>
      </c>
      <c r="B763" s="6">
        <v>2087</v>
      </c>
      <c r="C763">
        <v>-8</v>
      </c>
    </row>
    <row r="764" spans="1:3" x14ac:dyDescent="0.25">
      <c r="A764" t="s">
        <v>1169</v>
      </c>
      <c r="B764" s="6">
        <v>1988.9109999999998</v>
      </c>
      <c r="C764">
        <v>-8</v>
      </c>
    </row>
    <row r="765" spans="1:3" x14ac:dyDescent="0.25">
      <c r="A765" t="s">
        <v>1170</v>
      </c>
      <c r="B765" s="6">
        <v>2548.2270000000003</v>
      </c>
      <c r="C765">
        <v>-11</v>
      </c>
    </row>
    <row r="766" spans="1:3" x14ac:dyDescent="0.25">
      <c r="A766" t="s">
        <v>1171</v>
      </c>
      <c r="B766" s="6">
        <v>2087</v>
      </c>
      <c r="C766">
        <v>-9</v>
      </c>
    </row>
    <row r="767" spans="1:3" x14ac:dyDescent="0.25">
      <c r="A767" t="s">
        <v>1172</v>
      </c>
      <c r="B767" s="6">
        <v>2185.0889999999999</v>
      </c>
      <c r="C767">
        <v>-9</v>
      </c>
    </row>
    <row r="768" spans="1:3" x14ac:dyDescent="0.25">
      <c r="A768" t="s">
        <v>1173</v>
      </c>
      <c r="B768" s="6">
        <v>2185.0889999999999</v>
      </c>
      <c r="C768">
        <v>-9</v>
      </c>
    </row>
    <row r="769" spans="1:3" x14ac:dyDescent="0.25">
      <c r="A769" t="s">
        <v>1174</v>
      </c>
      <c r="B769" s="6">
        <v>2087</v>
      </c>
      <c r="C769">
        <v>-8</v>
      </c>
    </row>
    <row r="770" spans="1:3" x14ac:dyDescent="0.25">
      <c r="A770" t="s">
        <v>1175</v>
      </c>
      <c r="B770" s="6">
        <v>2281.0909999999999</v>
      </c>
      <c r="C770">
        <v>-9</v>
      </c>
    </row>
    <row r="771" spans="1:3" x14ac:dyDescent="0.25">
      <c r="A771" t="s">
        <v>1176</v>
      </c>
      <c r="B771" s="6">
        <v>2087</v>
      </c>
      <c r="C771">
        <v>-8</v>
      </c>
    </row>
    <row r="772" spans="1:3" x14ac:dyDescent="0.25">
      <c r="A772" t="s">
        <v>1177</v>
      </c>
      <c r="B772" s="6">
        <v>2185.0889999999999</v>
      </c>
      <c r="C772">
        <v>-8</v>
      </c>
    </row>
    <row r="773" spans="1:3" x14ac:dyDescent="0.25">
      <c r="A773" t="s">
        <v>1178</v>
      </c>
      <c r="B773" s="6">
        <v>2087</v>
      </c>
      <c r="C773">
        <v>-8</v>
      </c>
    </row>
    <row r="774" spans="1:3" x14ac:dyDescent="0.25">
      <c r="A774" t="s">
        <v>1179</v>
      </c>
      <c r="B774" s="6">
        <v>2087</v>
      </c>
      <c r="C774">
        <v>-8</v>
      </c>
    </row>
    <row r="775" spans="1:3" x14ac:dyDescent="0.25">
      <c r="A775" t="s">
        <v>1180</v>
      </c>
      <c r="B775" s="6">
        <v>1988.9109999999998</v>
      </c>
      <c r="C775">
        <v>-8</v>
      </c>
    </row>
    <row r="776" spans="1:3" x14ac:dyDescent="0.25">
      <c r="A776" t="s">
        <v>1181</v>
      </c>
      <c r="B776" s="6">
        <v>1988.9109999999998</v>
      </c>
      <c r="C776">
        <v>-8</v>
      </c>
    </row>
    <row r="777" spans="1:3" x14ac:dyDescent="0.25">
      <c r="A777" t="s">
        <v>1182</v>
      </c>
      <c r="B777" s="6">
        <v>2548.2270000000003</v>
      </c>
      <c r="C777">
        <v>-11</v>
      </c>
    </row>
    <row r="778" spans="1:3" x14ac:dyDescent="0.25">
      <c r="A778" t="s">
        <v>1183</v>
      </c>
      <c r="B778" s="6">
        <v>2185.0889999999999</v>
      </c>
      <c r="C778">
        <v>-9</v>
      </c>
    </row>
    <row r="779" spans="1:3" x14ac:dyDescent="0.25">
      <c r="A779" t="s">
        <v>1183</v>
      </c>
      <c r="B779" s="6">
        <v>2185.0889999999999</v>
      </c>
      <c r="C779">
        <v>-9</v>
      </c>
    </row>
    <row r="780" spans="1:3" x14ac:dyDescent="0.25">
      <c r="A780" t="s">
        <v>1184</v>
      </c>
      <c r="B780" s="6">
        <v>2281.0909999999999</v>
      </c>
      <c r="C780">
        <v>-10</v>
      </c>
    </row>
    <row r="781" spans="1:3" x14ac:dyDescent="0.25">
      <c r="A781" t="s">
        <v>1185</v>
      </c>
      <c r="B781" s="6">
        <v>2087</v>
      </c>
      <c r="C781">
        <v>-9</v>
      </c>
    </row>
    <row r="782" spans="1:3" x14ac:dyDescent="0.25">
      <c r="A782" t="s">
        <v>1186</v>
      </c>
      <c r="B782" s="6">
        <v>2087</v>
      </c>
      <c r="C782">
        <v>-9</v>
      </c>
    </row>
    <row r="783" spans="1:3" x14ac:dyDescent="0.25">
      <c r="A783" t="s">
        <v>1187</v>
      </c>
      <c r="B783" s="6">
        <v>2185.0889999999999</v>
      </c>
      <c r="C783">
        <v>-8</v>
      </c>
    </row>
    <row r="784" spans="1:3" x14ac:dyDescent="0.25">
      <c r="A784" t="s">
        <v>1188</v>
      </c>
      <c r="B784" s="6">
        <v>2087</v>
      </c>
      <c r="C784">
        <v>-8</v>
      </c>
    </row>
    <row r="785" spans="1:3" x14ac:dyDescent="0.25">
      <c r="A785" t="s">
        <v>1189</v>
      </c>
      <c r="B785" s="6">
        <v>1988.9109999999998</v>
      </c>
      <c r="C785">
        <v>-8</v>
      </c>
    </row>
    <row r="786" spans="1:3" x14ac:dyDescent="0.25">
      <c r="A786" t="s">
        <v>1190</v>
      </c>
      <c r="B786" s="6">
        <v>1988.9109999999998</v>
      </c>
      <c r="C786">
        <v>-8</v>
      </c>
    </row>
    <row r="787" spans="1:3" x14ac:dyDescent="0.25">
      <c r="A787" t="s">
        <v>1191</v>
      </c>
      <c r="B787" s="6">
        <v>2185.0889999999999</v>
      </c>
      <c r="C787">
        <v>-9</v>
      </c>
    </row>
    <row r="788" spans="1:3" x14ac:dyDescent="0.25">
      <c r="A788" t="s">
        <v>1192</v>
      </c>
      <c r="B788" s="6">
        <v>2087</v>
      </c>
      <c r="C788">
        <v>-8</v>
      </c>
    </row>
    <row r="789" spans="1:3" x14ac:dyDescent="0.25">
      <c r="A789" t="s">
        <v>1193</v>
      </c>
      <c r="B789" s="6">
        <v>2087</v>
      </c>
      <c r="C789">
        <v>-8</v>
      </c>
    </row>
    <row r="790" spans="1:3" x14ac:dyDescent="0.25">
      <c r="A790" t="s">
        <v>1194</v>
      </c>
      <c r="B790" s="6">
        <v>2185.0889999999999</v>
      </c>
      <c r="C790">
        <v>-9</v>
      </c>
    </row>
    <row r="791" spans="1:3" x14ac:dyDescent="0.25">
      <c r="A791" t="s">
        <v>1195</v>
      </c>
      <c r="B791" s="6">
        <v>2281.0909999999999</v>
      </c>
      <c r="C791">
        <v>-10</v>
      </c>
    </row>
    <row r="792" spans="1:3" x14ac:dyDescent="0.25">
      <c r="A792" t="s">
        <v>1196</v>
      </c>
      <c r="B792" s="6">
        <v>2185.0889999999999</v>
      </c>
      <c r="C792">
        <v>-9</v>
      </c>
    </row>
    <row r="793" spans="1:3" x14ac:dyDescent="0.25">
      <c r="A793" t="s">
        <v>1197</v>
      </c>
      <c r="B793" s="6">
        <v>2548.2270000000003</v>
      </c>
      <c r="C793">
        <v>-10</v>
      </c>
    </row>
    <row r="794" spans="1:3" x14ac:dyDescent="0.25">
      <c r="A794" t="s">
        <v>1198</v>
      </c>
      <c r="B794" s="6">
        <v>2281.0909999999999</v>
      </c>
      <c r="C794">
        <v>-9</v>
      </c>
    </row>
    <row r="795" spans="1:3" x14ac:dyDescent="0.25">
      <c r="A795" t="s">
        <v>1199</v>
      </c>
      <c r="B795" s="6">
        <v>2087</v>
      </c>
      <c r="C795">
        <v>-9</v>
      </c>
    </row>
    <row r="796" spans="1:3" x14ac:dyDescent="0.25">
      <c r="A796" t="s">
        <v>1200</v>
      </c>
      <c r="B796" s="6">
        <v>2281.0909999999999</v>
      </c>
      <c r="C796">
        <v>-10</v>
      </c>
    </row>
    <row r="797" spans="1:3" x14ac:dyDescent="0.25">
      <c r="A797" t="s">
        <v>1201</v>
      </c>
      <c r="B797" s="6">
        <v>2087</v>
      </c>
      <c r="C797">
        <v>-8</v>
      </c>
    </row>
    <row r="798" spans="1:3" x14ac:dyDescent="0.25">
      <c r="A798" t="s">
        <v>1202</v>
      </c>
      <c r="B798" s="6">
        <v>2087</v>
      </c>
      <c r="C798">
        <v>-8</v>
      </c>
    </row>
    <row r="799" spans="1:3" x14ac:dyDescent="0.25">
      <c r="A799" t="s">
        <v>1203</v>
      </c>
      <c r="B799" s="6">
        <v>2087</v>
      </c>
      <c r="C799">
        <v>-8</v>
      </c>
    </row>
    <row r="800" spans="1:3" x14ac:dyDescent="0.25">
      <c r="A800" t="s">
        <v>1204</v>
      </c>
      <c r="B800" s="6">
        <v>2087</v>
      </c>
      <c r="C800">
        <v>-8</v>
      </c>
    </row>
    <row r="801" spans="1:3" x14ac:dyDescent="0.25">
      <c r="A801" t="s">
        <v>1205</v>
      </c>
      <c r="B801" s="6">
        <v>2087</v>
      </c>
      <c r="C801">
        <v>-9</v>
      </c>
    </row>
    <row r="802" spans="1:3" x14ac:dyDescent="0.25">
      <c r="A802" t="s">
        <v>1206</v>
      </c>
      <c r="B802" s="6">
        <v>1892.9090000000001</v>
      </c>
      <c r="C802">
        <v>-8</v>
      </c>
    </row>
    <row r="803" spans="1:3" x14ac:dyDescent="0.25">
      <c r="A803" t="s">
        <v>1207</v>
      </c>
      <c r="B803" s="6">
        <v>1988.9109999999998</v>
      </c>
      <c r="C803">
        <v>-8</v>
      </c>
    </row>
    <row r="804" spans="1:3" x14ac:dyDescent="0.25">
      <c r="A804" t="s">
        <v>1208</v>
      </c>
      <c r="B804" s="6">
        <v>2087</v>
      </c>
      <c r="C804">
        <v>-8</v>
      </c>
    </row>
    <row r="805" spans="1:3" x14ac:dyDescent="0.25">
      <c r="A805" t="s">
        <v>1209</v>
      </c>
      <c r="B805" s="6">
        <v>1988.9109999999998</v>
      </c>
      <c r="C805">
        <v>-8</v>
      </c>
    </row>
    <row r="806" spans="1:3" x14ac:dyDescent="0.25">
      <c r="A806" t="s">
        <v>1210</v>
      </c>
      <c r="B806" s="6">
        <v>2185.0889999999999</v>
      </c>
      <c r="C806">
        <v>-9</v>
      </c>
    </row>
    <row r="807" spans="1:3" x14ac:dyDescent="0.25">
      <c r="A807" t="s">
        <v>1211</v>
      </c>
      <c r="B807" s="6">
        <v>2379.1800000000003</v>
      </c>
      <c r="C807">
        <v>-10</v>
      </c>
    </row>
    <row r="808" spans="1:3" x14ac:dyDescent="0.25">
      <c r="A808" t="s">
        <v>1212</v>
      </c>
      <c r="B808" s="6">
        <v>2087</v>
      </c>
      <c r="C808">
        <v>-9</v>
      </c>
    </row>
    <row r="809" spans="1:3" x14ac:dyDescent="0.25">
      <c r="A809" t="s">
        <v>1213</v>
      </c>
      <c r="B809" s="6">
        <v>1988.9109999999998</v>
      </c>
      <c r="C809">
        <v>-8</v>
      </c>
    </row>
    <row r="810" spans="1:3" x14ac:dyDescent="0.25">
      <c r="A810" t="s">
        <v>1214</v>
      </c>
      <c r="B810" s="6">
        <v>1988.9109999999998</v>
      </c>
      <c r="C810">
        <v>-8</v>
      </c>
    </row>
    <row r="811" spans="1:3" x14ac:dyDescent="0.25">
      <c r="A811" t="s">
        <v>1215</v>
      </c>
      <c r="B811" s="6">
        <v>2185.0889999999999</v>
      </c>
      <c r="C811">
        <v>-9</v>
      </c>
    </row>
    <row r="812" spans="1:3" x14ac:dyDescent="0.25">
      <c r="A812" t="s">
        <v>1216</v>
      </c>
      <c r="B812" s="6">
        <v>2087</v>
      </c>
      <c r="C812">
        <v>-9</v>
      </c>
    </row>
    <row r="813" spans="1:3" x14ac:dyDescent="0.25">
      <c r="A813" t="s">
        <v>1217</v>
      </c>
      <c r="B813" s="6">
        <v>2087</v>
      </c>
      <c r="C813">
        <v>-8</v>
      </c>
    </row>
    <row r="814" spans="1:3" x14ac:dyDescent="0.25">
      <c r="A814" t="s">
        <v>1218</v>
      </c>
      <c r="B814" s="6">
        <v>2087</v>
      </c>
      <c r="C814">
        <v>-8</v>
      </c>
    </row>
    <row r="815" spans="1:3" x14ac:dyDescent="0.25">
      <c r="A815" t="s">
        <v>1219</v>
      </c>
      <c r="B815" s="6">
        <v>2185.0889999999999</v>
      </c>
      <c r="C815">
        <v>-9</v>
      </c>
    </row>
    <row r="816" spans="1:3" x14ac:dyDescent="0.25">
      <c r="A816" t="s">
        <v>1220</v>
      </c>
      <c r="B816" s="6">
        <v>2185.0889999999999</v>
      </c>
      <c r="C816">
        <v>-9</v>
      </c>
    </row>
    <row r="817" spans="1:3" x14ac:dyDescent="0.25">
      <c r="A817" t="s">
        <v>1221</v>
      </c>
      <c r="B817" s="6">
        <v>2087</v>
      </c>
      <c r="C817">
        <v>-9</v>
      </c>
    </row>
    <row r="818" spans="1:3" x14ac:dyDescent="0.25">
      <c r="A818" t="s">
        <v>1222</v>
      </c>
      <c r="B818" s="6">
        <v>2185.0889999999999</v>
      </c>
      <c r="C818">
        <v>-8</v>
      </c>
    </row>
    <row r="819" spans="1:3" x14ac:dyDescent="0.25">
      <c r="A819" t="s">
        <v>1223</v>
      </c>
      <c r="B819" s="6">
        <v>2379.1800000000003</v>
      </c>
      <c r="C819">
        <v>-10</v>
      </c>
    </row>
    <row r="820" spans="1:3" x14ac:dyDescent="0.25">
      <c r="A820" t="s">
        <v>1224</v>
      </c>
      <c r="B820" s="6">
        <v>2185.0889999999999</v>
      </c>
      <c r="C820">
        <v>-9</v>
      </c>
    </row>
    <row r="821" spans="1:3" x14ac:dyDescent="0.25">
      <c r="A821" t="s">
        <v>1225</v>
      </c>
      <c r="B821" s="6">
        <v>2281.0909999999999</v>
      </c>
      <c r="C821">
        <v>-9</v>
      </c>
    </row>
    <row r="822" spans="1:3" x14ac:dyDescent="0.25">
      <c r="A822" t="s">
        <v>1226</v>
      </c>
      <c r="B822" s="6">
        <v>2087</v>
      </c>
      <c r="C822">
        <v>-8</v>
      </c>
    </row>
    <row r="823" spans="1:3" x14ac:dyDescent="0.25">
      <c r="A823" t="s">
        <v>1227</v>
      </c>
      <c r="B823" s="6">
        <v>2379.1800000000003</v>
      </c>
      <c r="C823">
        <v>-10</v>
      </c>
    </row>
    <row r="824" spans="1:3" x14ac:dyDescent="0.25">
      <c r="A824" t="s">
        <v>1228</v>
      </c>
      <c r="B824" s="6">
        <v>2087</v>
      </c>
      <c r="C824">
        <v>-8</v>
      </c>
    </row>
    <row r="825" spans="1:3" x14ac:dyDescent="0.25">
      <c r="A825" t="s">
        <v>1229</v>
      </c>
      <c r="B825" s="6">
        <v>2185.0889999999999</v>
      </c>
      <c r="C825">
        <v>-9</v>
      </c>
    </row>
    <row r="826" spans="1:3" x14ac:dyDescent="0.25">
      <c r="A826" t="s">
        <v>1230</v>
      </c>
      <c r="B826" s="6">
        <v>2281.0909999999999</v>
      </c>
      <c r="C826">
        <v>-10</v>
      </c>
    </row>
    <row r="827" spans="1:3" x14ac:dyDescent="0.25">
      <c r="A827" t="s">
        <v>1231</v>
      </c>
      <c r="B827" s="6">
        <v>2087</v>
      </c>
      <c r="C827">
        <v>-8</v>
      </c>
    </row>
    <row r="828" spans="1:3" x14ac:dyDescent="0.25">
      <c r="A828" t="s">
        <v>1232</v>
      </c>
      <c r="B828" s="6">
        <v>2379.1800000000003</v>
      </c>
      <c r="C828">
        <v>-10</v>
      </c>
    </row>
    <row r="829" spans="1:3" x14ac:dyDescent="0.25">
      <c r="A829" t="s">
        <v>1233</v>
      </c>
      <c r="B829" s="6">
        <v>2087</v>
      </c>
      <c r="C829">
        <v>-8</v>
      </c>
    </row>
    <row r="830" spans="1:3" x14ac:dyDescent="0.25">
      <c r="A830" t="s">
        <v>1234</v>
      </c>
      <c r="B830" s="6">
        <v>2379.1800000000003</v>
      </c>
      <c r="C830">
        <v>-10</v>
      </c>
    </row>
    <row r="831" spans="1:3" x14ac:dyDescent="0.25">
      <c r="A831" t="s">
        <v>1235</v>
      </c>
      <c r="B831" s="6">
        <v>1988.9109999999998</v>
      </c>
      <c r="C831">
        <v>-8</v>
      </c>
    </row>
    <row r="832" spans="1:3" x14ac:dyDescent="0.25">
      <c r="A832" t="s">
        <v>1236</v>
      </c>
      <c r="B832" s="6">
        <v>2087</v>
      </c>
      <c r="C832">
        <v>-8</v>
      </c>
    </row>
    <row r="833" spans="1:3" x14ac:dyDescent="0.25">
      <c r="A833" t="s">
        <v>1237</v>
      </c>
      <c r="B833" s="6">
        <v>2087</v>
      </c>
      <c r="C833">
        <v>-8</v>
      </c>
    </row>
    <row r="834" spans="1:3" x14ac:dyDescent="0.25">
      <c r="A834" t="s">
        <v>1238</v>
      </c>
      <c r="B834" s="6">
        <v>2087</v>
      </c>
      <c r="C834">
        <v>-8</v>
      </c>
    </row>
    <row r="835" spans="1:3" x14ac:dyDescent="0.25">
      <c r="A835" t="s">
        <v>1239</v>
      </c>
      <c r="B835" s="6">
        <v>2185.0889999999999</v>
      </c>
      <c r="C835">
        <v>-9</v>
      </c>
    </row>
    <row r="836" spans="1:3" x14ac:dyDescent="0.25">
      <c r="A836" t="s">
        <v>1240</v>
      </c>
      <c r="B836" s="6">
        <v>2087</v>
      </c>
      <c r="C836">
        <v>-8</v>
      </c>
    </row>
    <row r="837" spans="1:3" x14ac:dyDescent="0.25">
      <c r="A837" t="s">
        <v>1241</v>
      </c>
      <c r="B837" s="6">
        <v>1988.9109999999998</v>
      </c>
      <c r="C837">
        <v>-8</v>
      </c>
    </row>
    <row r="838" spans="1:3" x14ac:dyDescent="0.25">
      <c r="A838" t="s">
        <v>1242</v>
      </c>
      <c r="B838" s="6">
        <v>2281.0909999999999</v>
      </c>
      <c r="C838">
        <v>-9</v>
      </c>
    </row>
    <row r="839" spans="1:3" x14ac:dyDescent="0.25">
      <c r="A839" t="s">
        <v>1243</v>
      </c>
      <c r="B839" s="6">
        <v>2281.0909999999999</v>
      </c>
      <c r="C839">
        <v>-9</v>
      </c>
    </row>
    <row r="840" spans="1:3" x14ac:dyDescent="0.25">
      <c r="A840" t="s">
        <v>1244</v>
      </c>
      <c r="B840" s="6">
        <v>2185.0889999999999</v>
      </c>
      <c r="C840">
        <v>-9</v>
      </c>
    </row>
    <row r="841" spans="1:3" x14ac:dyDescent="0.25">
      <c r="A841" t="s">
        <v>1245</v>
      </c>
      <c r="B841" s="6">
        <v>2548.2270000000003</v>
      </c>
      <c r="C841">
        <v>-11</v>
      </c>
    </row>
    <row r="842" spans="1:3" x14ac:dyDescent="0.25">
      <c r="A842" t="s">
        <v>1246</v>
      </c>
      <c r="B842" s="6">
        <v>2185.0889999999999</v>
      </c>
      <c r="C842">
        <v>-9</v>
      </c>
    </row>
    <row r="843" spans="1:3" x14ac:dyDescent="0.25">
      <c r="A843" t="s">
        <v>1247</v>
      </c>
      <c r="B843" s="6">
        <v>2281.0909999999999</v>
      </c>
      <c r="C843">
        <v>-9</v>
      </c>
    </row>
    <row r="844" spans="1:3" x14ac:dyDescent="0.25">
      <c r="A844" t="s">
        <v>1248</v>
      </c>
      <c r="B844" s="6">
        <v>2185.0889999999999</v>
      </c>
      <c r="C844">
        <v>-9</v>
      </c>
    </row>
    <row r="845" spans="1:3" x14ac:dyDescent="0.25">
      <c r="A845" t="s">
        <v>1249</v>
      </c>
      <c r="B845" s="6">
        <v>2185.0889999999999</v>
      </c>
      <c r="C845">
        <v>-9</v>
      </c>
    </row>
    <row r="846" spans="1:3" x14ac:dyDescent="0.25">
      <c r="A846" t="s">
        <v>1250</v>
      </c>
      <c r="B846" s="6">
        <v>2548.2270000000003</v>
      </c>
      <c r="C846">
        <v>-11</v>
      </c>
    </row>
    <row r="847" spans="1:3" x14ac:dyDescent="0.25">
      <c r="A847" t="s">
        <v>1251</v>
      </c>
      <c r="B847" s="6">
        <v>1988.9109999999998</v>
      </c>
      <c r="C847">
        <v>-8</v>
      </c>
    </row>
    <row r="848" spans="1:3" x14ac:dyDescent="0.25">
      <c r="A848" t="s">
        <v>1252</v>
      </c>
      <c r="B848" s="6">
        <v>2185.0889999999999</v>
      </c>
      <c r="C848">
        <v>-9</v>
      </c>
    </row>
    <row r="849" spans="1:3" x14ac:dyDescent="0.25">
      <c r="A849" t="s">
        <v>1253</v>
      </c>
      <c r="B849" s="6">
        <v>2281.0909999999999</v>
      </c>
      <c r="C849">
        <v>-10</v>
      </c>
    </row>
    <row r="850" spans="1:3" x14ac:dyDescent="0.25">
      <c r="A850" t="s">
        <v>1254</v>
      </c>
      <c r="B850" s="6">
        <v>2185.0889999999999</v>
      </c>
      <c r="C850">
        <v>-9</v>
      </c>
    </row>
    <row r="851" spans="1:3" x14ac:dyDescent="0.25">
      <c r="A851" t="s">
        <v>1255</v>
      </c>
      <c r="B851" s="6">
        <v>2185.0889999999999</v>
      </c>
      <c r="C851">
        <v>-9</v>
      </c>
    </row>
    <row r="852" spans="1:3" x14ac:dyDescent="0.25">
      <c r="A852" t="s">
        <v>1256</v>
      </c>
      <c r="B852" s="6">
        <v>2087</v>
      </c>
      <c r="C852">
        <v>-9</v>
      </c>
    </row>
    <row r="853" spans="1:3" x14ac:dyDescent="0.25">
      <c r="A853" t="s">
        <v>1257</v>
      </c>
      <c r="B853" s="6">
        <v>2185.0889999999999</v>
      </c>
      <c r="C853">
        <v>-9</v>
      </c>
    </row>
    <row r="854" spans="1:3" x14ac:dyDescent="0.25">
      <c r="A854" t="s">
        <v>1258</v>
      </c>
      <c r="B854" s="6">
        <v>2548.2270000000003</v>
      </c>
      <c r="C854">
        <v>-11</v>
      </c>
    </row>
    <row r="855" spans="1:3" x14ac:dyDescent="0.25">
      <c r="A855" t="s">
        <v>1259</v>
      </c>
      <c r="B855" s="6">
        <v>2185.0889999999999</v>
      </c>
      <c r="C855">
        <v>-9</v>
      </c>
    </row>
    <row r="856" spans="1:3" x14ac:dyDescent="0.25">
      <c r="A856" t="s">
        <v>1260</v>
      </c>
      <c r="B856" s="6">
        <v>2087</v>
      </c>
      <c r="C856">
        <v>-8</v>
      </c>
    </row>
    <row r="857" spans="1:3" x14ac:dyDescent="0.25">
      <c r="A857" t="s">
        <v>1261</v>
      </c>
      <c r="B857" s="6">
        <v>2379.1800000000003</v>
      </c>
      <c r="C857">
        <v>-10</v>
      </c>
    </row>
    <row r="858" spans="1:3" x14ac:dyDescent="0.25">
      <c r="A858" t="s">
        <v>1262</v>
      </c>
      <c r="B858" s="6">
        <v>2379.1800000000003</v>
      </c>
      <c r="C858">
        <v>-10</v>
      </c>
    </row>
    <row r="859" spans="1:3" x14ac:dyDescent="0.25">
      <c r="A859" t="s">
        <v>1263</v>
      </c>
      <c r="B859" s="6">
        <v>2087</v>
      </c>
      <c r="C859">
        <v>-8</v>
      </c>
    </row>
    <row r="860" spans="1:3" x14ac:dyDescent="0.25">
      <c r="A860" t="s">
        <v>1264</v>
      </c>
      <c r="B860" s="6">
        <v>2281.0909999999999</v>
      </c>
      <c r="C860">
        <v>-9</v>
      </c>
    </row>
    <row r="861" spans="1:3" x14ac:dyDescent="0.25">
      <c r="A861" t="s">
        <v>1265</v>
      </c>
      <c r="B861" s="6">
        <v>2087</v>
      </c>
      <c r="C861">
        <v>-8</v>
      </c>
    </row>
    <row r="862" spans="1:3" x14ac:dyDescent="0.25">
      <c r="A862" t="s">
        <v>1266</v>
      </c>
      <c r="B862" s="6">
        <v>2790.319</v>
      </c>
      <c r="C862">
        <v>-11</v>
      </c>
    </row>
    <row r="863" spans="1:3" x14ac:dyDescent="0.25">
      <c r="A863" t="s">
        <v>1267</v>
      </c>
      <c r="B863" s="6">
        <v>2790.319</v>
      </c>
      <c r="C863">
        <v>-11</v>
      </c>
    </row>
    <row r="864" spans="1:3" x14ac:dyDescent="0.25">
      <c r="A864" t="s">
        <v>1268</v>
      </c>
      <c r="B864" s="6">
        <v>2087</v>
      </c>
      <c r="C864">
        <v>-8</v>
      </c>
    </row>
    <row r="865" spans="1:3" x14ac:dyDescent="0.25">
      <c r="A865" t="s">
        <v>1269</v>
      </c>
      <c r="B865" s="6">
        <v>2281.0909999999999</v>
      </c>
      <c r="C865">
        <v>-10</v>
      </c>
    </row>
    <row r="866" spans="1:3" x14ac:dyDescent="0.25">
      <c r="A866" t="s">
        <v>1270</v>
      </c>
      <c r="B866" s="6">
        <v>2087</v>
      </c>
      <c r="C866">
        <v>-8</v>
      </c>
    </row>
    <row r="867" spans="1:3" x14ac:dyDescent="0.25">
      <c r="A867" t="s">
        <v>1271</v>
      </c>
      <c r="B867" s="6">
        <v>1988.9109999999998</v>
      </c>
      <c r="C867">
        <v>-8</v>
      </c>
    </row>
    <row r="868" spans="1:3" x14ac:dyDescent="0.25">
      <c r="A868" t="s">
        <v>1272</v>
      </c>
      <c r="B868" s="6">
        <v>2087</v>
      </c>
      <c r="C868">
        <v>-8</v>
      </c>
    </row>
    <row r="869" spans="1:3" x14ac:dyDescent="0.25">
      <c r="A869" t="s">
        <v>1273</v>
      </c>
      <c r="B869" s="6">
        <v>2087</v>
      </c>
      <c r="C869">
        <v>-8</v>
      </c>
    </row>
    <row r="870" spans="1:3" x14ac:dyDescent="0.25">
      <c r="A870" t="s">
        <v>1274</v>
      </c>
      <c r="B870" s="6">
        <v>2087</v>
      </c>
      <c r="C870">
        <v>-8</v>
      </c>
    </row>
    <row r="871" spans="1:3" x14ac:dyDescent="0.25">
      <c r="A871" t="s">
        <v>1275</v>
      </c>
      <c r="B871" s="6">
        <v>2281.0909999999999</v>
      </c>
      <c r="C871">
        <v>-9</v>
      </c>
    </row>
    <row r="872" spans="1:3" x14ac:dyDescent="0.25">
      <c r="A872" t="s">
        <v>1276</v>
      </c>
      <c r="B872" s="6">
        <v>2087</v>
      </c>
      <c r="C872">
        <v>-9</v>
      </c>
    </row>
    <row r="873" spans="1:3" x14ac:dyDescent="0.25">
      <c r="A873" t="s">
        <v>1277</v>
      </c>
      <c r="B873" s="6">
        <v>2087</v>
      </c>
      <c r="C873">
        <v>-8</v>
      </c>
    </row>
    <row r="874" spans="1:3" x14ac:dyDescent="0.25">
      <c r="A874" t="s">
        <v>1278</v>
      </c>
      <c r="B874" s="6">
        <v>2087</v>
      </c>
      <c r="C874">
        <v>-8</v>
      </c>
    </row>
    <row r="875" spans="1:3" x14ac:dyDescent="0.25">
      <c r="A875" t="s">
        <v>1279</v>
      </c>
      <c r="B875" s="6">
        <v>2087</v>
      </c>
      <c r="C875">
        <v>-8</v>
      </c>
    </row>
    <row r="876" spans="1:3" x14ac:dyDescent="0.25">
      <c r="A876" t="s">
        <v>1280</v>
      </c>
      <c r="B876" s="6">
        <v>2790.319</v>
      </c>
      <c r="C876">
        <v>-11</v>
      </c>
    </row>
    <row r="877" spans="1:3" x14ac:dyDescent="0.25">
      <c r="A877" t="s">
        <v>1281</v>
      </c>
      <c r="B877" s="6">
        <v>2087</v>
      </c>
      <c r="C877">
        <v>-8</v>
      </c>
    </row>
    <row r="878" spans="1:3" x14ac:dyDescent="0.25">
      <c r="A878" t="s">
        <v>1282</v>
      </c>
      <c r="B878" s="6">
        <v>2087</v>
      </c>
      <c r="C878">
        <v>-8</v>
      </c>
    </row>
    <row r="879" spans="1:3" x14ac:dyDescent="0.25">
      <c r="A879" t="s">
        <v>1283</v>
      </c>
      <c r="B879" s="6">
        <v>2185.0889999999999</v>
      </c>
      <c r="C879">
        <v>-9</v>
      </c>
    </row>
    <row r="880" spans="1:3" x14ac:dyDescent="0.25">
      <c r="A880" t="s">
        <v>1284</v>
      </c>
      <c r="B880" s="6">
        <v>2087</v>
      </c>
      <c r="C880">
        <v>-8</v>
      </c>
    </row>
    <row r="881" spans="1:3" x14ac:dyDescent="0.25">
      <c r="A881" t="s">
        <v>1285</v>
      </c>
      <c r="B881" s="6">
        <v>2185.0889999999999</v>
      </c>
      <c r="C881">
        <v>-9</v>
      </c>
    </row>
    <row r="882" spans="1:3" x14ac:dyDescent="0.25">
      <c r="A882" t="s">
        <v>1286</v>
      </c>
      <c r="B882" s="6">
        <v>2548.2270000000003</v>
      </c>
      <c r="C882">
        <v>-10</v>
      </c>
    </row>
    <row r="883" spans="1:3" x14ac:dyDescent="0.25">
      <c r="A883" t="s">
        <v>1287</v>
      </c>
      <c r="B883" s="6">
        <v>2548.2270000000003</v>
      </c>
      <c r="C883">
        <v>-10</v>
      </c>
    </row>
    <row r="884" spans="1:3" x14ac:dyDescent="0.25">
      <c r="A884" t="s">
        <v>1288</v>
      </c>
      <c r="B884" s="6">
        <v>2087</v>
      </c>
      <c r="C884">
        <v>-8</v>
      </c>
    </row>
    <row r="885" spans="1:3" x14ac:dyDescent="0.25">
      <c r="A885" t="s">
        <v>1289</v>
      </c>
      <c r="B885" s="6">
        <v>2087</v>
      </c>
      <c r="C885">
        <v>-8</v>
      </c>
    </row>
    <row r="886" spans="1:3" x14ac:dyDescent="0.25">
      <c r="A886" t="s">
        <v>1290</v>
      </c>
      <c r="B886" s="6">
        <v>2548.2270000000003</v>
      </c>
      <c r="C886">
        <v>-11</v>
      </c>
    </row>
    <row r="887" spans="1:3" x14ac:dyDescent="0.25">
      <c r="A887" t="s">
        <v>1291</v>
      </c>
      <c r="B887" s="6">
        <v>1988.9109999999998</v>
      </c>
      <c r="C887">
        <v>-8</v>
      </c>
    </row>
    <row r="888" spans="1:3" x14ac:dyDescent="0.25">
      <c r="A888" t="s">
        <v>1292</v>
      </c>
      <c r="B888" s="6">
        <v>2087</v>
      </c>
      <c r="C888">
        <v>-8</v>
      </c>
    </row>
    <row r="889" spans="1:3" x14ac:dyDescent="0.25">
      <c r="A889" t="s">
        <v>1293</v>
      </c>
      <c r="B889" s="6">
        <v>1988.9109999999998</v>
      </c>
      <c r="C889">
        <v>-8</v>
      </c>
    </row>
    <row r="890" spans="1:3" x14ac:dyDescent="0.25">
      <c r="A890" t="s">
        <v>1294</v>
      </c>
      <c r="B890" s="6">
        <v>2087</v>
      </c>
      <c r="C890">
        <v>-8</v>
      </c>
    </row>
    <row r="891" spans="1:3" x14ac:dyDescent="0.25">
      <c r="A891" t="s">
        <v>1295</v>
      </c>
      <c r="B891" s="6">
        <v>1892.9090000000001</v>
      </c>
      <c r="C891">
        <v>-8</v>
      </c>
    </row>
    <row r="892" spans="1:3" x14ac:dyDescent="0.25">
      <c r="A892" t="s">
        <v>1296</v>
      </c>
      <c r="B892" s="6">
        <v>2087</v>
      </c>
      <c r="C892">
        <v>-8</v>
      </c>
    </row>
    <row r="893" spans="1:3" x14ac:dyDescent="0.25">
      <c r="A893" t="s">
        <v>1297</v>
      </c>
      <c r="B893" s="6">
        <v>2548.2270000000003</v>
      </c>
      <c r="C893">
        <v>-11</v>
      </c>
    </row>
    <row r="894" spans="1:3" x14ac:dyDescent="0.25">
      <c r="A894" t="s">
        <v>1298</v>
      </c>
      <c r="B894" s="6">
        <v>2548.2270000000003</v>
      </c>
      <c r="C894">
        <v>-11</v>
      </c>
    </row>
    <row r="895" spans="1:3" x14ac:dyDescent="0.25">
      <c r="A895" t="s">
        <v>1299</v>
      </c>
      <c r="B895" s="6">
        <v>2548.2270000000003</v>
      </c>
      <c r="C895">
        <v>-11</v>
      </c>
    </row>
    <row r="896" spans="1:3" x14ac:dyDescent="0.25">
      <c r="A896" t="s">
        <v>1300</v>
      </c>
      <c r="B896" s="6">
        <v>2379.1800000000003</v>
      </c>
      <c r="C896">
        <v>-10</v>
      </c>
    </row>
    <row r="897" spans="1:3" x14ac:dyDescent="0.25">
      <c r="A897" t="s">
        <v>1301</v>
      </c>
      <c r="B897" s="6">
        <v>2185.0889999999999</v>
      </c>
      <c r="C897">
        <v>-9</v>
      </c>
    </row>
    <row r="898" spans="1:3" x14ac:dyDescent="0.25">
      <c r="A898" t="s">
        <v>1302</v>
      </c>
      <c r="B898" s="6">
        <v>2548.2270000000003</v>
      </c>
      <c r="C898">
        <v>-11</v>
      </c>
    </row>
    <row r="899" spans="1:3" x14ac:dyDescent="0.25">
      <c r="A899" t="s">
        <v>1303</v>
      </c>
      <c r="B899" s="6">
        <v>2087</v>
      </c>
      <c r="C899">
        <v>-8</v>
      </c>
    </row>
    <row r="900" spans="1:3" x14ac:dyDescent="0.25">
      <c r="A900" t="s">
        <v>1304</v>
      </c>
      <c r="B900" s="6">
        <v>2281.0909999999999</v>
      </c>
      <c r="C900">
        <v>-9</v>
      </c>
    </row>
    <row r="901" spans="1:3" x14ac:dyDescent="0.25">
      <c r="A901" t="s">
        <v>1305</v>
      </c>
      <c r="B901" s="6">
        <v>2185.0889999999999</v>
      </c>
      <c r="C901">
        <v>-8</v>
      </c>
    </row>
    <row r="902" spans="1:3" x14ac:dyDescent="0.25">
      <c r="A902" t="s">
        <v>1306</v>
      </c>
      <c r="B902" s="6">
        <v>2185.0889999999999</v>
      </c>
      <c r="C902">
        <v>-8</v>
      </c>
    </row>
    <row r="903" spans="1:3" x14ac:dyDescent="0.25">
      <c r="A903" t="s">
        <v>1307</v>
      </c>
      <c r="B903" s="6">
        <v>2087</v>
      </c>
      <c r="C903">
        <v>-8</v>
      </c>
    </row>
    <row r="904" spans="1:3" x14ac:dyDescent="0.25">
      <c r="A904" t="s">
        <v>1308</v>
      </c>
      <c r="B904" s="6">
        <v>2087</v>
      </c>
      <c r="C904">
        <v>-8</v>
      </c>
    </row>
    <row r="905" spans="1:3" x14ac:dyDescent="0.25">
      <c r="A905" t="s">
        <v>1309</v>
      </c>
      <c r="B905" s="6">
        <v>2379.1800000000003</v>
      </c>
      <c r="C905">
        <v>-10</v>
      </c>
    </row>
    <row r="906" spans="1:3" x14ac:dyDescent="0.25">
      <c r="A906" t="s">
        <v>1310</v>
      </c>
      <c r="B906" s="6">
        <v>2087</v>
      </c>
      <c r="C906">
        <v>-9</v>
      </c>
    </row>
    <row r="907" spans="1:3" x14ac:dyDescent="0.25">
      <c r="A907" t="s">
        <v>1311</v>
      </c>
      <c r="B907" s="6">
        <v>2087</v>
      </c>
      <c r="C907">
        <v>-8</v>
      </c>
    </row>
    <row r="908" spans="1:3" x14ac:dyDescent="0.25">
      <c r="A908" t="s">
        <v>1312</v>
      </c>
      <c r="B908" s="6">
        <v>2087</v>
      </c>
      <c r="C908">
        <v>-8</v>
      </c>
    </row>
    <row r="909" spans="1:3" x14ac:dyDescent="0.25">
      <c r="A909" t="s">
        <v>1312</v>
      </c>
      <c r="B909" s="6">
        <v>2087</v>
      </c>
      <c r="C909">
        <v>-9</v>
      </c>
    </row>
    <row r="910" spans="1:3" x14ac:dyDescent="0.25">
      <c r="A910" t="s">
        <v>1313</v>
      </c>
      <c r="B910" s="6">
        <v>2087</v>
      </c>
      <c r="C910">
        <v>-8</v>
      </c>
    </row>
    <row r="911" spans="1:3" x14ac:dyDescent="0.25">
      <c r="A911" t="s">
        <v>1314</v>
      </c>
      <c r="B911" s="6">
        <v>2548.2270000000003</v>
      </c>
      <c r="C911">
        <v>-10</v>
      </c>
    </row>
    <row r="912" spans="1:3" x14ac:dyDescent="0.25">
      <c r="A912" t="s">
        <v>1315</v>
      </c>
      <c r="B912" s="6">
        <v>2548.2270000000003</v>
      </c>
      <c r="C912">
        <v>-10</v>
      </c>
    </row>
    <row r="913" spans="1:3" x14ac:dyDescent="0.25">
      <c r="A913" t="s">
        <v>1316</v>
      </c>
      <c r="B913" s="6">
        <v>2087</v>
      </c>
      <c r="C913">
        <v>-8</v>
      </c>
    </row>
    <row r="914" spans="1:3" x14ac:dyDescent="0.25">
      <c r="A914" t="s">
        <v>1317</v>
      </c>
      <c r="B914" s="6">
        <v>2281.0909999999999</v>
      </c>
      <c r="C914">
        <v>-9</v>
      </c>
    </row>
    <row r="915" spans="1:3" x14ac:dyDescent="0.25">
      <c r="A915" t="s">
        <v>1318</v>
      </c>
      <c r="B915" s="6">
        <v>2281.0909999999999</v>
      </c>
      <c r="C915">
        <v>-9</v>
      </c>
    </row>
    <row r="916" spans="1:3" x14ac:dyDescent="0.25">
      <c r="A916" t="s">
        <v>1319</v>
      </c>
      <c r="B916" s="6">
        <v>2087</v>
      </c>
      <c r="C916">
        <v>-9</v>
      </c>
    </row>
    <row r="917" spans="1:3" x14ac:dyDescent="0.25">
      <c r="A917" t="s">
        <v>1320</v>
      </c>
      <c r="B917" s="6">
        <v>2281.0909999999999</v>
      </c>
      <c r="C917">
        <v>-9</v>
      </c>
    </row>
    <row r="918" spans="1:3" x14ac:dyDescent="0.25">
      <c r="A918" t="s">
        <v>1321</v>
      </c>
      <c r="B918" s="6">
        <v>2185.0889999999999</v>
      </c>
      <c r="C918">
        <v>-9</v>
      </c>
    </row>
    <row r="919" spans="1:3" x14ac:dyDescent="0.25">
      <c r="A919" t="s">
        <v>1322</v>
      </c>
      <c r="B919" s="6">
        <v>2790.319</v>
      </c>
      <c r="C919">
        <v>-11</v>
      </c>
    </row>
    <row r="920" spans="1:3" x14ac:dyDescent="0.25">
      <c r="A920" t="s">
        <v>1323</v>
      </c>
      <c r="B920" s="6">
        <v>2087</v>
      </c>
      <c r="C920">
        <v>-8</v>
      </c>
    </row>
    <row r="921" spans="1:3" x14ac:dyDescent="0.25">
      <c r="A921" t="s">
        <v>1324</v>
      </c>
      <c r="B921" s="6">
        <v>1988.9109999999998</v>
      </c>
      <c r="C921">
        <v>-8</v>
      </c>
    </row>
    <row r="922" spans="1:3" x14ac:dyDescent="0.25">
      <c r="A922" t="s">
        <v>1324</v>
      </c>
      <c r="B922" s="6">
        <v>2087</v>
      </c>
      <c r="C922">
        <v>-8</v>
      </c>
    </row>
    <row r="923" spans="1:3" x14ac:dyDescent="0.25">
      <c r="A923" t="s">
        <v>1325</v>
      </c>
      <c r="B923" s="6">
        <v>2379.1800000000003</v>
      </c>
      <c r="C923">
        <v>-10</v>
      </c>
    </row>
    <row r="924" spans="1:3" x14ac:dyDescent="0.25">
      <c r="A924" t="s">
        <v>1326</v>
      </c>
      <c r="B924" s="6">
        <v>2281.0909999999999</v>
      </c>
      <c r="C924">
        <v>-10</v>
      </c>
    </row>
    <row r="925" spans="1:3" x14ac:dyDescent="0.25">
      <c r="A925" t="s">
        <v>1327</v>
      </c>
      <c r="B925" s="6">
        <v>2185.0889999999999</v>
      </c>
      <c r="C925">
        <v>-9</v>
      </c>
    </row>
    <row r="926" spans="1:3" x14ac:dyDescent="0.25">
      <c r="A926" t="s">
        <v>1328</v>
      </c>
      <c r="B926" s="6">
        <v>2185.0889999999999</v>
      </c>
      <c r="C926">
        <v>-9</v>
      </c>
    </row>
    <row r="927" spans="1:3" x14ac:dyDescent="0.25">
      <c r="A927" t="s">
        <v>1329</v>
      </c>
      <c r="B927" s="6">
        <v>2379.1800000000003</v>
      </c>
      <c r="C927">
        <v>-10</v>
      </c>
    </row>
    <row r="928" spans="1:3" x14ac:dyDescent="0.25">
      <c r="A928" t="s">
        <v>1330</v>
      </c>
      <c r="B928" s="6">
        <v>2548.2270000000003</v>
      </c>
      <c r="C928">
        <v>-10</v>
      </c>
    </row>
    <row r="929" spans="1:3" x14ac:dyDescent="0.25">
      <c r="A929" t="s">
        <v>1331</v>
      </c>
      <c r="B929" s="6">
        <v>1988.9109999999998</v>
      </c>
      <c r="C929">
        <v>-8</v>
      </c>
    </row>
    <row r="930" spans="1:3" x14ac:dyDescent="0.25">
      <c r="A930" t="s">
        <v>1332</v>
      </c>
      <c r="B930" s="6">
        <v>2185.0889999999999</v>
      </c>
      <c r="C930">
        <v>-9</v>
      </c>
    </row>
    <row r="931" spans="1:3" x14ac:dyDescent="0.25">
      <c r="A931" t="s">
        <v>1333</v>
      </c>
      <c r="B931" s="6">
        <v>2185.0889999999999</v>
      </c>
      <c r="C931">
        <v>-9</v>
      </c>
    </row>
    <row r="932" spans="1:3" x14ac:dyDescent="0.25">
      <c r="A932" t="s">
        <v>1334</v>
      </c>
      <c r="B932" s="6">
        <v>2087</v>
      </c>
      <c r="C932">
        <v>-9</v>
      </c>
    </row>
    <row r="933" spans="1:3" x14ac:dyDescent="0.25">
      <c r="A933" t="s">
        <v>1335</v>
      </c>
      <c r="B933" s="6">
        <v>2185.0889999999999</v>
      </c>
      <c r="C933">
        <v>-9</v>
      </c>
    </row>
    <row r="934" spans="1:3" x14ac:dyDescent="0.25">
      <c r="A934" t="s">
        <v>1336</v>
      </c>
      <c r="B934" s="6">
        <v>1988.9109999999998</v>
      </c>
      <c r="C934">
        <v>-8</v>
      </c>
    </row>
    <row r="935" spans="1:3" x14ac:dyDescent="0.25">
      <c r="A935" t="s">
        <v>1337</v>
      </c>
      <c r="B935" s="6">
        <v>2185.0889999999999</v>
      </c>
      <c r="C935">
        <v>-9</v>
      </c>
    </row>
    <row r="936" spans="1:3" x14ac:dyDescent="0.25">
      <c r="A936" t="s">
        <v>1338</v>
      </c>
      <c r="B936" s="6">
        <v>2281.0909999999999</v>
      </c>
      <c r="C936">
        <v>-10</v>
      </c>
    </row>
    <row r="937" spans="1:3" x14ac:dyDescent="0.25">
      <c r="A937" t="s">
        <v>1339</v>
      </c>
      <c r="B937" s="6">
        <v>2281.0909999999999</v>
      </c>
      <c r="C937">
        <v>-9</v>
      </c>
    </row>
    <row r="938" spans="1:3" x14ac:dyDescent="0.25">
      <c r="A938" t="s">
        <v>1340</v>
      </c>
      <c r="B938" s="6">
        <v>2087</v>
      </c>
      <c r="C938">
        <v>-8</v>
      </c>
    </row>
    <row r="939" spans="1:3" x14ac:dyDescent="0.25">
      <c r="A939" t="s">
        <v>1341</v>
      </c>
      <c r="B939" s="6">
        <v>1988.9109999999998</v>
      </c>
      <c r="C939">
        <v>-8</v>
      </c>
    </row>
    <row r="940" spans="1:3" x14ac:dyDescent="0.25">
      <c r="A940" t="s">
        <v>1342</v>
      </c>
      <c r="B940" s="6">
        <v>2087</v>
      </c>
      <c r="C940">
        <v>-8</v>
      </c>
    </row>
    <row r="941" spans="1:3" x14ac:dyDescent="0.25">
      <c r="A941" t="s">
        <v>1342</v>
      </c>
      <c r="B941" s="6">
        <v>2087</v>
      </c>
      <c r="C941">
        <v>-8</v>
      </c>
    </row>
    <row r="942" spans="1:3" x14ac:dyDescent="0.25">
      <c r="A942" t="s">
        <v>1342</v>
      </c>
      <c r="B942" s="6">
        <v>1988.9109999999998</v>
      </c>
      <c r="C942">
        <v>-8</v>
      </c>
    </row>
    <row r="943" spans="1:3" x14ac:dyDescent="0.25">
      <c r="A943" t="s">
        <v>1343</v>
      </c>
      <c r="B943" s="6">
        <v>2379.1800000000003</v>
      </c>
      <c r="C943">
        <v>-10</v>
      </c>
    </row>
    <row r="944" spans="1:3" x14ac:dyDescent="0.25">
      <c r="A944" t="s">
        <v>1344</v>
      </c>
      <c r="B944" s="6">
        <v>2185.0889999999999</v>
      </c>
      <c r="C944">
        <v>-8</v>
      </c>
    </row>
    <row r="945" spans="1:3" x14ac:dyDescent="0.25">
      <c r="A945" t="s">
        <v>1345</v>
      </c>
      <c r="B945" s="6">
        <v>2379.1800000000003</v>
      </c>
      <c r="C945">
        <v>-10</v>
      </c>
    </row>
    <row r="946" spans="1:3" x14ac:dyDescent="0.25">
      <c r="A946" t="s">
        <v>1346</v>
      </c>
      <c r="B946" s="6">
        <v>2379.1800000000003</v>
      </c>
      <c r="C946">
        <v>-10</v>
      </c>
    </row>
    <row r="947" spans="1:3" x14ac:dyDescent="0.25">
      <c r="A947" t="s">
        <v>1347</v>
      </c>
      <c r="B947" s="6">
        <v>2379.1800000000003</v>
      </c>
      <c r="C947">
        <v>-10</v>
      </c>
    </row>
    <row r="948" spans="1:3" x14ac:dyDescent="0.25">
      <c r="A948" t="s">
        <v>1348</v>
      </c>
      <c r="B948" s="6">
        <v>2185.0889999999999</v>
      </c>
      <c r="C948">
        <v>-8</v>
      </c>
    </row>
    <row r="949" spans="1:3" x14ac:dyDescent="0.25">
      <c r="A949" t="s">
        <v>1349</v>
      </c>
      <c r="B949" s="6">
        <v>2379.1800000000003</v>
      </c>
      <c r="C949">
        <v>-10</v>
      </c>
    </row>
    <row r="950" spans="1:3" x14ac:dyDescent="0.25">
      <c r="A950" t="s">
        <v>1350</v>
      </c>
      <c r="B950" s="6">
        <v>2087</v>
      </c>
      <c r="C950">
        <v>-8</v>
      </c>
    </row>
    <row r="951" spans="1:3" x14ac:dyDescent="0.25">
      <c r="A951" t="s">
        <v>1351</v>
      </c>
      <c r="B951" s="6">
        <v>2281.0909999999999</v>
      </c>
      <c r="C951">
        <v>-10</v>
      </c>
    </row>
    <row r="952" spans="1:3" x14ac:dyDescent="0.25">
      <c r="A952" t="s">
        <v>1352</v>
      </c>
      <c r="B952" s="6">
        <v>2281.0909999999999</v>
      </c>
      <c r="C952">
        <v>-10</v>
      </c>
    </row>
    <row r="953" spans="1:3" x14ac:dyDescent="0.25">
      <c r="A953" t="s">
        <v>1353</v>
      </c>
      <c r="B953" s="6">
        <v>2379.1800000000003</v>
      </c>
      <c r="C953">
        <v>-10</v>
      </c>
    </row>
    <row r="954" spans="1:3" x14ac:dyDescent="0.25">
      <c r="A954" t="s">
        <v>1354</v>
      </c>
      <c r="B954" s="6">
        <v>2548.2270000000003</v>
      </c>
      <c r="C954">
        <v>-11</v>
      </c>
    </row>
    <row r="955" spans="1:3" x14ac:dyDescent="0.25">
      <c r="A955" t="s">
        <v>1355</v>
      </c>
      <c r="B955" s="6">
        <v>2185.0889999999999</v>
      </c>
      <c r="C955">
        <v>-8</v>
      </c>
    </row>
    <row r="956" spans="1:3" x14ac:dyDescent="0.25">
      <c r="A956" t="s">
        <v>1356</v>
      </c>
      <c r="B956" s="6">
        <v>2379.1800000000003</v>
      </c>
      <c r="C956">
        <v>-10</v>
      </c>
    </row>
    <row r="957" spans="1:3" x14ac:dyDescent="0.25">
      <c r="A957" t="s">
        <v>1357</v>
      </c>
      <c r="B957" s="6">
        <v>2548.2270000000003</v>
      </c>
      <c r="C957">
        <v>-11</v>
      </c>
    </row>
    <row r="958" spans="1:3" x14ac:dyDescent="0.25">
      <c r="A958" t="s">
        <v>1358</v>
      </c>
      <c r="B958" s="6">
        <v>2281.0909999999999</v>
      </c>
      <c r="C958">
        <v>-10</v>
      </c>
    </row>
    <row r="959" spans="1:3" x14ac:dyDescent="0.25">
      <c r="A959" t="s">
        <v>1359</v>
      </c>
      <c r="B959" s="6">
        <v>2087</v>
      </c>
      <c r="C959">
        <v>-8</v>
      </c>
    </row>
    <row r="960" spans="1:3" x14ac:dyDescent="0.25">
      <c r="A960" t="s">
        <v>1360</v>
      </c>
      <c r="B960" s="6">
        <v>2087</v>
      </c>
      <c r="C960">
        <v>-8</v>
      </c>
    </row>
    <row r="961" spans="1:3" x14ac:dyDescent="0.25">
      <c r="A961" t="s">
        <v>1361</v>
      </c>
      <c r="B961" s="6">
        <v>2185.0889999999999</v>
      </c>
      <c r="C961">
        <v>-9</v>
      </c>
    </row>
    <row r="962" spans="1:3" x14ac:dyDescent="0.25">
      <c r="A962" t="s">
        <v>1362</v>
      </c>
      <c r="B962" s="6">
        <v>2281.0909999999999</v>
      </c>
      <c r="C962">
        <v>-10</v>
      </c>
    </row>
    <row r="963" spans="1:3" x14ac:dyDescent="0.25">
      <c r="A963" t="s">
        <v>1363</v>
      </c>
      <c r="B963" s="6">
        <v>2087</v>
      </c>
      <c r="C963">
        <v>-8</v>
      </c>
    </row>
    <row r="964" spans="1:3" x14ac:dyDescent="0.25">
      <c r="A964" t="s">
        <v>1364</v>
      </c>
      <c r="B964" s="6">
        <v>2185.0889999999999</v>
      </c>
      <c r="C964">
        <v>-8</v>
      </c>
    </row>
    <row r="965" spans="1:3" x14ac:dyDescent="0.25">
      <c r="A965" t="s">
        <v>1365</v>
      </c>
      <c r="B965" s="6">
        <v>2185.0889999999999</v>
      </c>
      <c r="C965">
        <v>-9</v>
      </c>
    </row>
    <row r="966" spans="1:3" x14ac:dyDescent="0.25">
      <c r="A966" t="s">
        <v>1366</v>
      </c>
      <c r="B966" s="6">
        <v>2185.0889999999999</v>
      </c>
      <c r="C966">
        <v>-9</v>
      </c>
    </row>
    <row r="967" spans="1:3" x14ac:dyDescent="0.25">
      <c r="A967" t="s">
        <v>1367</v>
      </c>
      <c r="B967" s="6">
        <v>2379.1800000000003</v>
      </c>
      <c r="C967">
        <v>-10</v>
      </c>
    </row>
    <row r="968" spans="1:3" x14ac:dyDescent="0.25">
      <c r="A968" t="s">
        <v>1368</v>
      </c>
      <c r="B968" s="6">
        <v>2087</v>
      </c>
      <c r="C968">
        <v>-8</v>
      </c>
    </row>
    <row r="969" spans="1:3" x14ac:dyDescent="0.25">
      <c r="A969" t="s">
        <v>1369</v>
      </c>
      <c r="B969" s="6">
        <v>2185.0889999999999</v>
      </c>
      <c r="C969">
        <v>-8</v>
      </c>
    </row>
    <row r="970" spans="1:3" x14ac:dyDescent="0.25">
      <c r="A970" t="s">
        <v>1370</v>
      </c>
      <c r="B970" s="6">
        <v>1988.9109999999998</v>
      </c>
      <c r="C970">
        <v>-8</v>
      </c>
    </row>
    <row r="971" spans="1:3" x14ac:dyDescent="0.25">
      <c r="A971" t="s">
        <v>1371</v>
      </c>
      <c r="B971" s="6">
        <v>1988.9109999999998</v>
      </c>
      <c r="C971">
        <v>-8</v>
      </c>
    </row>
    <row r="972" spans="1:3" x14ac:dyDescent="0.25">
      <c r="A972" t="s">
        <v>1372</v>
      </c>
      <c r="B972" s="6">
        <v>2087</v>
      </c>
      <c r="C972">
        <v>-8</v>
      </c>
    </row>
    <row r="973" spans="1:3" x14ac:dyDescent="0.25">
      <c r="A973" t="s">
        <v>1373</v>
      </c>
      <c r="B973" s="6">
        <v>1988.9109999999998</v>
      </c>
      <c r="C973">
        <v>-8</v>
      </c>
    </row>
    <row r="974" spans="1:3" x14ac:dyDescent="0.25">
      <c r="A974" t="s">
        <v>1374</v>
      </c>
      <c r="B974" s="6">
        <v>2548.2270000000003</v>
      </c>
      <c r="C974">
        <v>-11</v>
      </c>
    </row>
    <row r="975" spans="1:3" x14ac:dyDescent="0.25">
      <c r="A975" t="s">
        <v>1375</v>
      </c>
      <c r="B975" s="6">
        <v>2087</v>
      </c>
      <c r="C975">
        <v>-8</v>
      </c>
    </row>
    <row r="976" spans="1:3" x14ac:dyDescent="0.25">
      <c r="A976" t="s">
        <v>1376</v>
      </c>
      <c r="B976" s="6">
        <v>1892.9090000000001</v>
      </c>
      <c r="C976">
        <v>-7</v>
      </c>
    </row>
    <row r="977" spans="1:3" x14ac:dyDescent="0.25">
      <c r="A977" t="s">
        <v>1377</v>
      </c>
      <c r="B977" s="6">
        <v>2087</v>
      </c>
      <c r="C977">
        <v>-8</v>
      </c>
    </row>
    <row r="978" spans="1:3" x14ac:dyDescent="0.25">
      <c r="A978" t="s">
        <v>1378</v>
      </c>
      <c r="B978" s="6">
        <v>2087</v>
      </c>
      <c r="C978">
        <v>-8</v>
      </c>
    </row>
    <row r="979" spans="1:3" x14ac:dyDescent="0.25">
      <c r="A979" t="s">
        <v>1379</v>
      </c>
      <c r="B979" s="6">
        <v>2087</v>
      </c>
      <c r="C979">
        <v>-9</v>
      </c>
    </row>
    <row r="980" spans="1:3" x14ac:dyDescent="0.25">
      <c r="A980" t="s">
        <v>1380</v>
      </c>
      <c r="B980" s="6">
        <v>2087</v>
      </c>
      <c r="C980">
        <v>-8</v>
      </c>
    </row>
    <row r="981" spans="1:3" x14ac:dyDescent="0.25">
      <c r="A981" t="s">
        <v>1381</v>
      </c>
      <c r="B981" s="6">
        <v>2087</v>
      </c>
      <c r="C981">
        <v>-8</v>
      </c>
    </row>
    <row r="982" spans="1:3" x14ac:dyDescent="0.25">
      <c r="A982" t="s">
        <v>1382</v>
      </c>
      <c r="B982" s="6">
        <v>2087</v>
      </c>
      <c r="C982">
        <v>-8</v>
      </c>
    </row>
    <row r="983" spans="1:3" x14ac:dyDescent="0.25">
      <c r="A983" t="s">
        <v>1383</v>
      </c>
      <c r="B983" s="6">
        <v>2087</v>
      </c>
      <c r="C983">
        <v>-8</v>
      </c>
    </row>
    <row r="984" spans="1:3" x14ac:dyDescent="0.25">
      <c r="A984" t="s">
        <v>1384</v>
      </c>
      <c r="B984" s="6">
        <v>2087</v>
      </c>
      <c r="C984">
        <v>-8</v>
      </c>
    </row>
    <row r="985" spans="1:3" x14ac:dyDescent="0.25">
      <c r="A985" t="s">
        <v>1385</v>
      </c>
      <c r="B985" s="6">
        <v>2087</v>
      </c>
      <c r="C985">
        <v>-8</v>
      </c>
    </row>
    <row r="986" spans="1:3" x14ac:dyDescent="0.25">
      <c r="A986" t="s">
        <v>1386</v>
      </c>
      <c r="B986" s="6">
        <v>1988.9109999999998</v>
      </c>
      <c r="C986">
        <v>-8</v>
      </c>
    </row>
    <row r="987" spans="1:3" x14ac:dyDescent="0.25">
      <c r="A987" t="s">
        <v>1387</v>
      </c>
      <c r="B987" s="6">
        <v>2185.0889999999999</v>
      </c>
      <c r="C987">
        <v>-9</v>
      </c>
    </row>
    <row r="988" spans="1:3" x14ac:dyDescent="0.25">
      <c r="A988" t="s">
        <v>1387</v>
      </c>
      <c r="B988" s="6">
        <v>2281.0909999999999</v>
      </c>
      <c r="C988">
        <v>-9</v>
      </c>
    </row>
    <row r="989" spans="1:3" x14ac:dyDescent="0.25">
      <c r="A989" t="s">
        <v>1388</v>
      </c>
      <c r="B989" s="6">
        <v>2087</v>
      </c>
      <c r="C989">
        <v>-8</v>
      </c>
    </row>
    <row r="990" spans="1:3" x14ac:dyDescent="0.25">
      <c r="A990" t="s">
        <v>1389</v>
      </c>
      <c r="B990" s="6">
        <v>2087</v>
      </c>
      <c r="C990">
        <v>-8</v>
      </c>
    </row>
    <row r="991" spans="1:3" x14ac:dyDescent="0.25">
      <c r="A991" t="s">
        <v>1390</v>
      </c>
      <c r="B991" s="6">
        <v>2087</v>
      </c>
      <c r="C991">
        <v>-8</v>
      </c>
    </row>
    <row r="992" spans="1:3" x14ac:dyDescent="0.25">
      <c r="A992" t="s">
        <v>1391</v>
      </c>
      <c r="B992" s="6">
        <v>2379.1800000000003</v>
      </c>
      <c r="C992">
        <v>-10</v>
      </c>
    </row>
    <row r="993" spans="1:3" x14ac:dyDescent="0.25">
      <c r="A993" t="s">
        <v>1392</v>
      </c>
      <c r="B993" s="6">
        <v>2087</v>
      </c>
      <c r="C993">
        <v>-8</v>
      </c>
    </row>
    <row r="994" spans="1:3" x14ac:dyDescent="0.25">
      <c r="A994" t="s">
        <v>1393</v>
      </c>
      <c r="B994" s="6">
        <v>2087</v>
      </c>
      <c r="C994">
        <v>-8</v>
      </c>
    </row>
    <row r="995" spans="1:3" x14ac:dyDescent="0.25">
      <c r="A995" t="s">
        <v>1394</v>
      </c>
      <c r="B995" s="6">
        <v>2087</v>
      </c>
      <c r="C995">
        <v>-9</v>
      </c>
    </row>
    <row r="996" spans="1:3" x14ac:dyDescent="0.25">
      <c r="A996" t="s">
        <v>1395</v>
      </c>
      <c r="B996" s="6">
        <v>2961.453</v>
      </c>
      <c r="C996">
        <v>-11</v>
      </c>
    </row>
    <row r="997" spans="1:3" x14ac:dyDescent="0.25">
      <c r="A997" t="s">
        <v>1396</v>
      </c>
      <c r="B997" s="6">
        <v>2185.0889999999999</v>
      </c>
      <c r="C997">
        <v>-9</v>
      </c>
    </row>
    <row r="998" spans="1:3" x14ac:dyDescent="0.25">
      <c r="A998" t="s">
        <v>1397</v>
      </c>
      <c r="B998" s="6">
        <v>2790.319</v>
      </c>
      <c r="C998">
        <v>-10</v>
      </c>
    </row>
    <row r="999" spans="1:3" x14ac:dyDescent="0.25">
      <c r="A999" t="s">
        <v>1398</v>
      </c>
      <c r="B999" s="6">
        <v>2087</v>
      </c>
      <c r="C999">
        <v>-8</v>
      </c>
    </row>
    <row r="1000" spans="1:3" x14ac:dyDescent="0.25">
      <c r="A1000" t="s">
        <v>1399</v>
      </c>
      <c r="B1000" s="6">
        <v>2087</v>
      </c>
      <c r="C1000">
        <v>-8</v>
      </c>
    </row>
    <row r="1001" spans="1:3" x14ac:dyDescent="0.25">
      <c r="A1001" t="s">
        <v>1400</v>
      </c>
      <c r="B1001" s="6">
        <v>1988.9109999999998</v>
      </c>
      <c r="C1001">
        <v>-8</v>
      </c>
    </row>
    <row r="1002" spans="1:3" x14ac:dyDescent="0.25">
      <c r="A1002" t="s">
        <v>1401</v>
      </c>
      <c r="B1002" s="6">
        <v>2087</v>
      </c>
      <c r="C1002">
        <v>-8</v>
      </c>
    </row>
    <row r="1003" spans="1:3" x14ac:dyDescent="0.25">
      <c r="A1003" t="s">
        <v>1402</v>
      </c>
      <c r="B1003" s="6">
        <v>2087</v>
      </c>
      <c r="C1003">
        <v>-9</v>
      </c>
    </row>
    <row r="1004" spans="1:3" x14ac:dyDescent="0.25">
      <c r="A1004" t="s">
        <v>1403</v>
      </c>
      <c r="B1004" s="6">
        <v>2087</v>
      </c>
      <c r="C1004">
        <v>-9</v>
      </c>
    </row>
    <row r="1005" spans="1:3" x14ac:dyDescent="0.25">
      <c r="A1005" t="s">
        <v>1404</v>
      </c>
      <c r="B1005" s="6">
        <v>2087</v>
      </c>
      <c r="C1005">
        <v>-8</v>
      </c>
    </row>
    <row r="1006" spans="1:3" x14ac:dyDescent="0.25">
      <c r="A1006" t="s">
        <v>1405</v>
      </c>
      <c r="B1006" s="6">
        <v>2379.1800000000003</v>
      </c>
      <c r="C1006">
        <v>-10</v>
      </c>
    </row>
    <row r="1007" spans="1:3" x14ac:dyDescent="0.25">
      <c r="A1007" t="s">
        <v>1406</v>
      </c>
      <c r="B1007" s="6">
        <v>2087</v>
      </c>
      <c r="C1007">
        <v>-8</v>
      </c>
    </row>
    <row r="1008" spans="1:3" x14ac:dyDescent="0.25">
      <c r="A1008" t="s">
        <v>1407</v>
      </c>
      <c r="B1008" s="6">
        <v>2087</v>
      </c>
      <c r="C1008">
        <v>-9</v>
      </c>
    </row>
    <row r="1009" spans="1:3" x14ac:dyDescent="0.25">
      <c r="A1009" t="s">
        <v>1408</v>
      </c>
      <c r="B1009" s="6">
        <v>2281.0909999999999</v>
      </c>
      <c r="C1009">
        <v>-9</v>
      </c>
    </row>
    <row r="1010" spans="1:3" x14ac:dyDescent="0.25">
      <c r="A1010" t="s">
        <v>1409</v>
      </c>
      <c r="B1010" s="6">
        <v>2281.0909999999999</v>
      </c>
      <c r="C1010">
        <v>-9</v>
      </c>
    </row>
    <row r="1011" spans="1:3" x14ac:dyDescent="0.25">
      <c r="A1011" t="s">
        <v>1410</v>
      </c>
      <c r="B1011" s="6">
        <v>2185.0889999999999</v>
      </c>
      <c r="C1011">
        <v>-8</v>
      </c>
    </row>
    <row r="1012" spans="1:3" x14ac:dyDescent="0.25">
      <c r="A1012" t="s">
        <v>1411</v>
      </c>
      <c r="B1012" s="6">
        <v>2087</v>
      </c>
      <c r="C1012">
        <v>-8</v>
      </c>
    </row>
    <row r="1013" spans="1:3" x14ac:dyDescent="0.25">
      <c r="A1013" t="s">
        <v>1412</v>
      </c>
      <c r="B1013" s="6">
        <v>2379.1800000000003</v>
      </c>
      <c r="C1013">
        <v>-10</v>
      </c>
    </row>
    <row r="1014" spans="1:3" x14ac:dyDescent="0.25">
      <c r="A1014" t="s">
        <v>1413</v>
      </c>
      <c r="B1014" s="6">
        <v>2087</v>
      </c>
      <c r="C1014">
        <v>-8</v>
      </c>
    </row>
    <row r="1015" spans="1:3" x14ac:dyDescent="0.25">
      <c r="A1015" t="s">
        <v>1414</v>
      </c>
      <c r="B1015" s="6">
        <v>2185.0889999999999</v>
      </c>
      <c r="C1015">
        <v>-9</v>
      </c>
    </row>
    <row r="1016" spans="1:3" x14ac:dyDescent="0.25">
      <c r="A1016" t="s">
        <v>1415</v>
      </c>
      <c r="B1016" s="6">
        <v>2087</v>
      </c>
      <c r="C1016">
        <v>-8</v>
      </c>
    </row>
    <row r="1017" spans="1:3" x14ac:dyDescent="0.25">
      <c r="A1017" t="s">
        <v>1416</v>
      </c>
      <c r="B1017" s="6">
        <v>1988.9109999999998</v>
      </c>
      <c r="C1017">
        <v>-8</v>
      </c>
    </row>
    <row r="1018" spans="1:3" x14ac:dyDescent="0.25">
      <c r="A1018" t="s">
        <v>1417</v>
      </c>
      <c r="B1018" s="6">
        <v>2087</v>
      </c>
      <c r="C1018">
        <v>-9</v>
      </c>
    </row>
    <row r="1019" spans="1:3" x14ac:dyDescent="0.25">
      <c r="A1019" t="s">
        <v>1418</v>
      </c>
      <c r="B1019" s="6">
        <v>2281.0909999999999</v>
      </c>
      <c r="C1019">
        <v>-9</v>
      </c>
    </row>
    <row r="1020" spans="1:3" x14ac:dyDescent="0.25">
      <c r="A1020" t="s">
        <v>1419</v>
      </c>
      <c r="B1020" s="6">
        <v>2185.0889999999999</v>
      </c>
      <c r="C1020">
        <v>-8</v>
      </c>
    </row>
    <row r="1021" spans="1:3" x14ac:dyDescent="0.25">
      <c r="A1021" t="s">
        <v>1420</v>
      </c>
      <c r="B1021" s="6">
        <v>2087</v>
      </c>
      <c r="C1021">
        <v>-8</v>
      </c>
    </row>
    <row r="1022" spans="1:3" x14ac:dyDescent="0.25">
      <c r="A1022" t="s">
        <v>1421</v>
      </c>
      <c r="B1022" s="6">
        <v>2087</v>
      </c>
      <c r="C1022">
        <v>-8</v>
      </c>
    </row>
    <row r="1023" spans="1:3" x14ac:dyDescent="0.25">
      <c r="A1023" t="s">
        <v>1422</v>
      </c>
      <c r="B1023" s="6">
        <v>1988.9109999999998</v>
      </c>
      <c r="C1023">
        <v>-8</v>
      </c>
    </row>
    <row r="1024" spans="1:3" x14ac:dyDescent="0.25">
      <c r="A1024" t="s">
        <v>1423</v>
      </c>
      <c r="B1024" s="6">
        <v>2281.0909999999999</v>
      </c>
      <c r="C1024">
        <v>-10</v>
      </c>
    </row>
    <row r="1025" spans="1:3" x14ac:dyDescent="0.25">
      <c r="A1025" t="s">
        <v>1424</v>
      </c>
      <c r="B1025" s="6">
        <v>2087</v>
      </c>
      <c r="C1025">
        <v>-8</v>
      </c>
    </row>
    <row r="1026" spans="1:3" x14ac:dyDescent="0.25">
      <c r="A1026" t="s">
        <v>1425</v>
      </c>
      <c r="B1026" s="6">
        <v>1988.9109999999998</v>
      </c>
      <c r="C1026">
        <v>-8</v>
      </c>
    </row>
    <row r="1027" spans="1:3" x14ac:dyDescent="0.25">
      <c r="A1027" t="s">
        <v>1426</v>
      </c>
      <c r="B1027" s="6">
        <v>2185.0889999999999</v>
      </c>
      <c r="C1027">
        <v>-8</v>
      </c>
    </row>
    <row r="1028" spans="1:3" x14ac:dyDescent="0.25">
      <c r="A1028" t="s">
        <v>1427</v>
      </c>
      <c r="B1028" s="6">
        <v>2379.1800000000003</v>
      </c>
      <c r="C1028">
        <v>-10</v>
      </c>
    </row>
    <row r="1029" spans="1:3" x14ac:dyDescent="0.25">
      <c r="A1029" t="s">
        <v>1428</v>
      </c>
      <c r="B1029" s="6">
        <v>1988.9109999999998</v>
      </c>
      <c r="C1029">
        <v>-8</v>
      </c>
    </row>
    <row r="1030" spans="1:3" x14ac:dyDescent="0.25">
      <c r="A1030" t="s">
        <v>1429</v>
      </c>
      <c r="B1030" s="6">
        <v>1988.9109999999998</v>
      </c>
      <c r="C1030">
        <v>-8</v>
      </c>
    </row>
    <row r="1031" spans="1:3" x14ac:dyDescent="0.25">
      <c r="A1031" t="s">
        <v>1429</v>
      </c>
      <c r="B1031" s="6">
        <v>2087</v>
      </c>
      <c r="C1031">
        <v>-9</v>
      </c>
    </row>
    <row r="1032" spans="1:3" x14ac:dyDescent="0.25">
      <c r="A1032" t="s">
        <v>1430</v>
      </c>
      <c r="B1032" s="6">
        <v>2087</v>
      </c>
      <c r="C1032">
        <v>-9</v>
      </c>
    </row>
    <row r="1033" spans="1:3" x14ac:dyDescent="0.25">
      <c r="A1033" t="s">
        <v>1431</v>
      </c>
      <c r="B1033" s="6">
        <v>2379.1800000000003</v>
      </c>
      <c r="C1033">
        <v>-10</v>
      </c>
    </row>
    <row r="1034" spans="1:3" x14ac:dyDescent="0.25">
      <c r="A1034" t="s">
        <v>1432</v>
      </c>
      <c r="B1034" s="6">
        <v>1988.9109999999998</v>
      </c>
      <c r="C1034">
        <v>-8</v>
      </c>
    </row>
    <row r="1035" spans="1:3" x14ac:dyDescent="0.25">
      <c r="A1035" t="s">
        <v>1433</v>
      </c>
      <c r="B1035" s="6">
        <v>1988.9109999999998</v>
      </c>
      <c r="C1035">
        <v>-8</v>
      </c>
    </row>
    <row r="1036" spans="1:3" x14ac:dyDescent="0.25">
      <c r="A1036" t="s">
        <v>1434</v>
      </c>
      <c r="B1036" s="6">
        <v>2087</v>
      </c>
      <c r="C1036">
        <v>-8</v>
      </c>
    </row>
    <row r="1037" spans="1:3" x14ac:dyDescent="0.25">
      <c r="A1037" t="s">
        <v>1435</v>
      </c>
      <c r="B1037" s="6">
        <v>2185.0889999999999</v>
      </c>
      <c r="C1037">
        <v>-9</v>
      </c>
    </row>
    <row r="1038" spans="1:3" x14ac:dyDescent="0.25">
      <c r="A1038" t="s">
        <v>1436</v>
      </c>
      <c r="B1038" s="6">
        <v>2379.1800000000003</v>
      </c>
      <c r="C1038">
        <v>-10</v>
      </c>
    </row>
    <row r="1039" spans="1:3" x14ac:dyDescent="0.25">
      <c r="A1039" t="s">
        <v>1437</v>
      </c>
      <c r="B1039" s="6">
        <v>2087</v>
      </c>
      <c r="C1039">
        <v>-8</v>
      </c>
    </row>
    <row r="1040" spans="1:3" x14ac:dyDescent="0.25">
      <c r="A1040" t="s">
        <v>1438</v>
      </c>
      <c r="B1040" s="6">
        <v>1988.9109999999998</v>
      </c>
      <c r="C1040">
        <v>-8</v>
      </c>
    </row>
    <row r="1041" spans="1:3" x14ac:dyDescent="0.25">
      <c r="A1041" t="s">
        <v>1439</v>
      </c>
      <c r="B1041" s="6">
        <v>2185.0889999999999</v>
      </c>
      <c r="C1041">
        <v>-9</v>
      </c>
    </row>
    <row r="1042" spans="1:3" x14ac:dyDescent="0.25">
      <c r="A1042" t="s">
        <v>1440</v>
      </c>
      <c r="B1042" s="6">
        <v>2548.2270000000003</v>
      </c>
      <c r="C1042">
        <v>-11</v>
      </c>
    </row>
    <row r="1043" spans="1:3" x14ac:dyDescent="0.25">
      <c r="A1043" t="s">
        <v>1441</v>
      </c>
      <c r="B1043" s="6">
        <v>1988.9109999999998</v>
      </c>
      <c r="C1043">
        <v>-8</v>
      </c>
    </row>
    <row r="1044" spans="1:3" x14ac:dyDescent="0.25">
      <c r="A1044" t="s">
        <v>1442</v>
      </c>
      <c r="B1044" s="6">
        <v>2185.0889999999999</v>
      </c>
      <c r="C1044">
        <v>-9</v>
      </c>
    </row>
    <row r="1045" spans="1:3" x14ac:dyDescent="0.25">
      <c r="A1045" t="s">
        <v>1443</v>
      </c>
      <c r="B1045" s="6">
        <v>2379.1800000000003</v>
      </c>
      <c r="C1045">
        <v>-10</v>
      </c>
    </row>
    <row r="1046" spans="1:3" x14ac:dyDescent="0.25">
      <c r="A1046" t="s">
        <v>1444</v>
      </c>
      <c r="B1046" s="6">
        <v>2379.1800000000003</v>
      </c>
      <c r="C1046">
        <v>-10</v>
      </c>
    </row>
    <row r="1047" spans="1:3" x14ac:dyDescent="0.25">
      <c r="A1047" t="s">
        <v>1445</v>
      </c>
      <c r="B1047" s="6">
        <v>2281.0909999999999</v>
      </c>
      <c r="C1047">
        <v>-9</v>
      </c>
    </row>
    <row r="1048" spans="1:3" x14ac:dyDescent="0.25">
      <c r="A1048" t="s">
        <v>1446</v>
      </c>
      <c r="B1048" s="6">
        <v>2087</v>
      </c>
      <c r="C1048">
        <v>-8</v>
      </c>
    </row>
    <row r="1049" spans="1:3" x14ac:dyDescent="0.25">
      <c r="A1049" t="s">
        <v>1447</v>
      </c>
      <c r="B1049" s="6">
        <v>2087</v>
      </c>
      <c r="C1049">
        <v>-8</v>
      </c>
    </row>
    <row r="1050" spans="1:3" x14ac:dyDescent="0.25">
      <c r="A1050" t="s">
        <v>1448</v>
      </c>
      <c r="B1050" s="6">
        <v>1892.9090000000001</v>
      </c>
      <c r="C1050">
        <v>-8</v>
      </c>
    </row>
    <row r="1051" spans="1:3" x14ac:dyDescent="0.25">
      <c r="A1051" t="s">
        <v>1449</v>
      </c>
      <c r="B1051" s="6">
        <v>2087</v>
      </c>
      <c r="C1051">
        <v>-8</v>
      </c>
    </row>
    <row r="1052" spans="1:3" x14ac:dyDescent="0.25">
      <c r="A1052" t="s">
        <v>1450</v>
      </c>
      <c r="B1052" s="6">
        <v>2087</v>
      </c>
      <c r="C1052">
        <v>-8</v>
      </c>
    </row>
    <row r="1053" spans="1:3" x14ac:dyDescent="0.25">
      <c r="A1053" t="s">
        <v>1451</v>
      </c>
      <c r="B1053" s="6">
        <v>2087</v>
      </c>
      <c r="C1053">
        <v>-8</v>
      </c>
    </row>
    <row r="1054" spans="1:3" x14ac:dyDescent="0.25">
      <c r="A1054" t="s">
        <v>1452</v>
      </c>
      <c r="B1054" s="6">
        <v>2087</v>
      </c>
      <c r="C1054">
        <v>-8</v>
      </c>
    </row>
    <row r="1055" spans="1:3" x14ac:dyDescent="0.25">
      <c r="A1055" t="s">
        <v>1453</v>
      </c>
      <c r="B1055" s="6">
        <v>1988.9109999999998</v>
      </c>
      <c r="C1055">
        <v>-9</v>
      </c>
    </row>
    <row r="1056" spans="1:3" x14ac:dyDescent="0.25">
      <c r="A1056" t="s">
        <v>1454</v>
      </c>
      <c r="B1056" s="6">
        <v>2087</v>
      </c>
      <c r="C1056">
        <v>-8</v>
      </c>
    </row>
    <row r="1057" spans="1:3" x14ac:dyDescent="0.25">
      <c r="A1057" t="s">
        <v>1454</v>
      </c>
      <c r="B1057" s="6">
        <v>1988.9109999999998</v>
      </c>
      <c r="C1057">
        <v>-8</v>
      </c>
    </row>
    <row r="1058" spans="1:3" x14ac:dyDescent="0.25">
      <c r="A1058" t="s">
        <v>1455</v>
      </c>
      <c r="B1058" s="6">
        <v>2379.1800000000003</v>
      </c>
      <c r="C1058">
        <v>-10</v>
      </c>
    </row>
    <row r="1059" spans="1:3" x14ac:dyDescent="0.25">
      <c r="A1059" t="s">
        <v>1456</v>
      </c>
      <c r="B1059" s="6">
        <v>2185.0889999999999</v>
      </c>
      <c r="C1059">
        <v>-9</v>
      </c>
    </row>
    <row r="1060" spans="1:3" x14ac:dyDescent="0.25">
      <c r="A1060" t="s">
        <v>1457</v>
      </c>
      <c r="B1060" s="6">
        <v>2087</v>
      </c>
      <c r="C1060">
        <v>-8</v>
      </c>
    </row>
    <row r="1061" spans="1:3" x14ac:dyDescent="0.25">
      <c r="A1061" t="s">
        <v>1458</v>
      </c>
      <c r="B1061" s="6">
        <v>2961.453</v>
      </c>
      <c r="C1061">
        <v>-11</v>
      </c>
    </row>
    <row r="1062" spans="1:3" x14ac:dyDescent="0.25">
      <c r="A1062" t="s">
        <v>1459</v>
      </c>
      <c r="B1062" s="6">
        <v>1988.9109999999998</v>
      </c>
      <c r="C1062">
        <v>-8</v>
      </c>
    </row>
    <row r="1063" spans="1:3" x14ac:dyDescent="0.25">
      <c r="A1063" t="s">
        <v>1460</v>
      </c>
      <c r="B1063" s="6">
        <v>2185.0889999999999</v>
      </c>
      <c r="C1063">
        <v>-9</v>
      </c>
    </row>
    <row r="1064" spans="1:3" x14ac:dyDescent="0.25">
      <c r="A1064" t="s">
        <v>1461</v>
      </c>
      <c r="B1064" s="6">
        <v>2185.0889999999999</v>
      </c>
      <c r="C1064">
        <v>-9</v>
      </c>
    </row>
    <row r="1065" spans="1:3" x14ac:dyDescent="0.25">
      <c r="A1065" t="s">
        <v>1462</v>
      </c>
      <c r="B1065" s="6">
        <v>2087</v>
      </c>
      <c r="C1065">
        <v>-8</v>
      </c>
    </row>
    <row r="1066" spans="1:3" x14ac:dyDescent="0.25">
      <c r="A1066" t="s">
        <v>1463</v>
      </c>
      <c r="B1066" s="6">
        <v>1988.9109999999998</v>
      </c>
      <c r="C1066">
        <v>-8</v>
      </c>
    </row>
    <row r="1067" spans="1:3" x14ac:dyDescent="0.25">
      <c r="A1067" t="s">
        <v>1464</v>
      </c>
      <c r="B1067" s="6">
        <v>2281.0909999999999</v>
      </c>
      <c r="C1067">
        <v>-10</v>
      </c>
    </row>
    <row r="1068" spans="1:3" x14ac:dyDescent="0.25">
      <c r="A1068" t="s">
        <v>1465</v>
      </c>
      <c r="B1068" s="6">
        <v>2790.319</v>
      </c>
      <c r="C1068">
        <v>-11</v>
      </c>
    </row>
    <row r="1069" spans="1:3" x14ac:dyDescent="0.25">
      <c r="A1069" t="s">
        <v>1466</v>
      </c>
      <c r="B1069" s="6">
        <v>2548.2270000000003</v>
      </c>
      <c r="C1069">
        <v>-11</v>
      </c>
    </row>
    <row r="1070" spans="1:3" x14ac:dyDescent="0.25">
      <c r="A1070" t="s">
        <v>1467</v>
      </c>
      <c r="B1070" s="6">
        <v>2548.2270000000003</v>
      </c>
      <c r="C1070">
        <v>-10</v>
      </c>
    </row>
    <row r="1071" spans="1:3" x14ac:dyDescent="0.25">
      <c r="A1071" t="s">
        <v>1468</v>
      </c>
      <c r="B1071" s="6">
        <v>2185.0889999999999</v>
      </c>
      <c r="C1071">
        <v>-8</v>
      </c>
    </row>
    <row r="1072" spans="1:3" x14ac:dyDescent="0.25">
      <c r="A1072" t="s">
        <v>1469</v>
      </c>
      <c r="B1072" s="6">
        <v>2087</v>
      </c>
      <c r="C1072">
        <v>-8</v>
      </c>
    </row>
    <row r="1073" spans="1:3" x14ac:dyDescent="0.25">
      <c r="A1073" t="s">
        <v>1470</v>
      </c>
      <c r="B1073" s="6">
        <v>1988.9109999999998</v>
      </c>
      <c r="C1073">
        <v>-8</v>
      </c>
    </row>
    <row r="1074" spans="1:3" x14ac:dyDescent="0.25">
      <c r="A1074" t="s">
        <v>1471</v>
      </c>
      <c r="B1074" s="6">
        <v>1892.9090000000001</v>
      </c>
      <c r="C1074">
        <v>-8</v>
      </c>
    </row>
    <row r="1075" spans="1:3" x14ac:dyDescent="0.25">
      <c r="A1075" t="s">
        <v>1472</v>
      </c>
      <c r="B1075" s="6">
        <v>2185.0889999999999</v>
      </c>
      <c r="C1075">
        <v>-9</v>
      </c>
    </row>
    <row r="1076" spans="1:3" x14ac:dyDescent="0.25">
      <c r="A1076" t="s">
        <v>1473</v>
      </c>
      <c r="B1076" s="6">
        <v>2087</v>
      </c>
      <c r="C1076">
        <v>-8</v>
      </c>
    </row>
    <row r="1077" spans="1:3" x14ac:dyDescent="0.25">
      <c r="A1077" t="s">
        <v>1474</v>
      </c>
      <c r="B1077" s="6">
        <v>2185.0889999999999</v>
      </c>
      <c r="C1077">
        <v>-9</v>
      </c>
    </row>
    <row r="1078" spans="1:3" x14ac:dyDescent="0.25">
      <c r="A1078" t="s">
        <v>1475</v>
      </c>
      <c r="B1078" s="6">
        <v>2087</v>
      </c>
      <c r="C1078">
        <v>-8</v>
      </c>
    </row>
    <row r="1079" spans="1:3" x14ac:dyDescent="0.25">
      <c r="A1079" t="s">
        <v>1476</v>
      </c>
      <c r="B1079" s="6">
        <v>2087</v>
      </c>
      <c r="C1079">
        <v>-8</v>
      </c>
    </row>
    <row r="1080" spans="1:3" x14ac:dyDescent="0.25">
      <c r="A1080" t="s">
        <v>1477</v>
      </c>
      <c r="B1080" s="6">
        <v>2087</v>
      </c>
      <c r="C1080">
        <v>-8</v>
      </c>
    </row>
    <row r="1081" spans="1:3" x14ac:dyDescent="0.25">
      <c r="A1081" t="s">
        <v>1478</v>
      </c>
      <c r="B1081" s="6">
        <v>2379.1800000000003</v>
      </c>
      <c r="C1081">
        <v>-10</v>
      </c>
    </row>
    <row r="1082" spans="1:3" x14ac:dyDescent="0.25">
      <c r="A1082" t="s">
        <v>1479</v>
      </c>
      <c r="B1082" s="6">
        <v>2548.2270000000003</v>
      </c>
      <c r="C1082">
        <v>-11</v>
      </c>
    </row>
    <row r="1083" spans="1:3" x14ac:dyDescent="0.25">
      <c r="A1083" t="s">
        <v>1480</v>
      </c>
      <c r="B1083" s="6">
        <v>2185.0889999999999</v>
      </c>
      <c r="C1083">
        <v>-8</v>
      </c>
    </row>
    <row r="1084" spans="1:3" x14ac:dyDescent="0.25">
      <c r="A1084" t="s">
        <v>1481</v>
      </c>
      <c r="B1084" s="6">
        <v>2185.0889999999999</v>
      </c>
      <c r="C1084">
        <v>-8</v>
      </c>
    </row>
    <row r="1085" spans="1:3" x14ac:dyDescent="0.25">
      <c r="A1085" t="s">
        <v>1482</v>
      </c>
      <c r="B1085" s="6">
        <v>2548.2270000000003</v>
      </c>
      <c r="C1085">
        <v>-11</v>
      </c>
    </row>
    <row r="1086" spans="1:3" x14ac:dyDescent="0.25">
      <c r="A1086" t="s">
        <v>1483</v>
      </c>
      <c r="B1086" s="6">
        <v>2548.2270000000003</v>
      </c>
      <c r="C1086">
        <v>-11</v>
      </c>
    </row>
    <row r="1087" spans="1:3" x14ac:dyDescent="0.25">
      <c r="A1087" t="s">
        <v>1484</v>
      </c>
      <c r="B1087" s="6">
        <v>2379.1800000000003</v>
      </c>
      <c r="C1087">
        <v>-10</v>
      </c>
    </row>
    <row r="1088" spans="1:3" x14ac:dyDescent="0.25">
      <c r="A1088" t="s">
        <v>1485</v>
      </c>
      <c r="B1088" s="6">
        <v>2281.0909999999999</v>
      </c>
      <c r="C1088">
        <v>-9</v>
      </c>
    </row>
    <row r="1089" spans="1:3" x14ac:dyDescent="0.25">
      <c r="A1089" t="s">
        <v>1486</v>
      </c>
      <c r="B1089" s="6">
        <v>2185.0889999999999</v>
      </c>
      <c r="C1089">
        <v>-9</v>
      </c>
    </row>
    <row r="1090" spans="1:3" x14ac:dyDescent="0.25">
      <c r="A1090" t="s">
        <v>1487</v>
      </c>
      <c r="B1090" s="6">
        <v>2185.0889999999999</v>
      </c>
      <c r="C1090">
        <v>-8</v>
      </c>
    </row>
    <row r="1091" spans="1:3" x14ac:dyDescent="0.25">
      <c r="A1091" t="s">
        <v>1488</v>
      </c>
      <c r="B1091" s="6">
        <v>2087</v>
      </c>
      <c r="C1091">
        <v>-8</v>
      </c>
    </row>
    <row r="1092" spans="1:3" x14ac:dyDescent="0.25">
      <c r="A1092" t="s">
        <v>1489</v>
      </c>
      <c r="B1092" s="6">
        <v>1988.9109999999998</v>
      </c>
      <c r="C1092">
        <v>-8</v>
      </c>
    </row>
    <row r="1093" spans="1:3" x14ac:dyDescent="0.25">
      <c r="A1093" t="s">
        <v>1490</v>
      </c>
      <c r="B1093" s="6">
        <v>1892.9090000000001</v>
      </c>
      <c r="C1093">
        <v>-8</v>
      </c>
    </row>
    <row r="1094" spans="1:3" x14ac:dyDescent="0.25">
      <c r="A1094" t="s">
        <v>1491</v>
      </c>
      <c r="B1094" s="6">
        <v>2087</v>
      </c>
      <c r="C1094">
        <v>-9</v>
      </c>
    </row>
    <row r="1095" spans="1:3" x14ac:dyDescent="0.25">
      <c r="A1095" t="s">
        <v>1492</v>
      </c>
      <c r="B1095" s="6">
        <v>2087</v>
      </c>
      <c r="C1095">
        <v>-9</v>
      </c>
    </row>
    <row r="1096" spans="1:3" x14ac:dyDescent="0.25">
      <c r="A1096" t="s">
        <v>1493</v>
      </c>
      <c r="B1096" s="6">
        <v>1988.9109999999998</v>
      </c>
      <c r="C1096">
        <v>-8</v>
      </c>
    </row>
    <row r="1097" spans="1:3" x14ac:dyDescent="0.25">
      <c r="A1097" t="s">
        <v>1494</v>
      </c>
      <c r="B1097" s="6">
        <v>1988.9109999999998</v>
      </c>
      <c r="C1097">
        <v>-8</v>
      </c>
    </row>
    <row r="1098" spans="1:3" x14ac:dyDescent="0.25">
      <c r="A1098" t="s">
        <v>1495</v>
      </c>
      <c r="B1098" s="6">
        <v>2087</v>
      </c>
      <c r="C1098">
        <v>-9</v>
      </c>
    </row>
    <row r="1099" spans="1:3" x14ac:dyDescent="0.25">
      <c r="A1099" t="s">
        <v>1496</v>
      </c>
      <c r="B1099" s="6">
        <v>2087</v>
      </c>
      <c r="C1099">
        <v>-8</v>
      </c>
    </row>
    <row r="1100" spans="1:3" x14ac:dyDescent="0.25">
      <c r="A1100" t="s">
        <v>1497</v>
      </c>
      <c r="B1100" s="6">
        <v>2281.0909999999999</v>
      </c>
      <c r="C1100">
        <v>-10</v>
      </c>
    </row>
    <row r="1101" spans="1:3" x14ac:dyDescent="0.25">
      <c r="A1101" t="s">
        <v>1498</v>
      </c>
      <c r="B1101" s="6">
        <v>2379.1800000000003</v>
      </c>
      <c r="C1101">
        <v>-10</v>
      </c>
    </row>
    <row r="1102" spans="1:3" x14ac:dyDescent="0.25">
      <c r="A1102" t="s">
        <v>1499</v>
      </c>
      <c r="B1102" s="6">
        <v>1988.9109999999998</v>
      </c>
      <c r="C1102">
        <v>-8</v>
      </c>
    </row>
    <row r="1103" spans="1:3" x14ac:dyDescent="0.25">
      <c r="A1103" t="s">
        <v>1500</v>
      </c>
      <c r="B1103" s="6">
        <v>2087</v>
      </c>
      <c r="C1103">
        <v>-8</v>
      </c>
    </row>
    <row r="1104" spans="1:3" x14ac:dyDescent="0.25">
      <c r="A1104" t="s">
        <v>1501</v>
      </c>
      <c r="B1104" s="6">
        <v>2087</v>
      </c>
      <c r="C1104">
        <v>-8</v>
      </c>
    </row>
    <row r="1105" spans="1:3" x14ac:dyDescent="0.25">
      <c r="A1105" t="s">
        <v>1502</v>
      </c>
      <c r="B1105" s="6">
        <v>2185.0889999999999</v>
      </c>
      <c r="C1105">
        <v>-9</v>
      </c>
    </row>
    <row r="1106" spans="1:3" x14ac:dyDescent="0.25">
      <c r="A1106" t="s">
        <v>1503</v>
      </c>
      <c r="B1106" s="6">
        <v>1988.9109999999998</v>
      </c>
      <c r="C1106">
        <v>-8</v>
      </c>
    </row>
    <row r="1107" spans="1:3" x14ac:dyDescent="0.25">
      <c r="A1107" t="s">
        <v>1504</v>
      </c>
      <c r="B1107" s="6">
        <v>2087</v>
      </c>
      <c r="C1107">
        <v>-8</v>
      </c>
    </row>
    <row r="1108" spans="1:3" x14ac:dyDescent="0.25">
      <c r="A1108" t="s">
        <v>1505</v>
      </c>
      <c r="B1108" s="6">
        <v>2087</v>
      </c>
      <c r="C1108">
        <v>-8</v>
      </c>
    </row>
    <row r="1109" spans="1:3" x14ac:dyDescent="0.25">
      <c r="A1109" t="s">
        <v>1506</v>
      </c>
      <c r="B1109" s="6">
        <v>2087</v>
      </c>
      <c r="C1109">
        <v>-8</v>
      </c>
    </row>
    <row r="1110" spans="1:3" x14ac:dyDescent="0.25">
      <c r="A1110" t="s">
        <v>1507</v>
      </c>
      <c r="B1110" s="6">
        <v>2087</v>
      </c>
      <c r="C1110">
        <v>-9</v>
      </c>
    </row>
    <row r="1111" spans="1:3" x14ac:dyDescent="0.25">
      <c r="A1111" t="s">
        <v>1508</v>
      </c>
      <c r="B1111" s="6">
        <v>2379.1800000000003</v>
      </c>
      <c r="C1111">
        <v>-10</v>
      </c>
    </row>
    <row r="1112" spans="1:3" x14ac:dyDescent="0.25">
      <c r="A1112" t="s">
        <v>1509</v>
      </c>
      <c r="B1112" s="6">
        <v>1988.9109999999998</v>
      </c>
      <c r="C1112">
        <v>-8</v>
      </c>
    </row>
    <row r="1113" spans="1:3" x14ac:dyDescent="0.25">
      <c r="A1113" t="s">
        <v>1510</v>
      </c>
      <c r="B1113" s="6">
        <v>2379.1800000000003</v>
      </c>
      <c r="C1113">
        <v>-10</v>
      </c>
    </row>
    <row r="1114" spans="1:3" x14ac:dyDescent="0.25">
      <c r="A1114" t="s">
        <v>1511</v>
      </c>
      <c r="B1114" s="6">
        <v>1988.9109999999998</v>
      </c>
      <c r="C1114">
        <v>-8</v>
      </c>
    </row>
    <row r="1115" spans="1:3" x14ac:dyDescent="0.25">
      <c r="A1115" t="s">
        <v>1512</v>
      </c>
      <c r="B1115" s="6">
        <v>2087</v>
      </c>
      <c r="C1115">
        <v>-8</v>
      </c>
    </row>
    <row r="1116" spans="1:3" x14ac:dyDescent="0.25">
      <c r="A1116" t="s">
        <v>1513</v>
      </c>
      <c r="B1116" s="6">
        <v>2087</v>
      </c>
      <c r="C1116">
        <v>-8</v>
      </c>
    </row>
    <row r="1117" spans="1:3" x14ac:dyDescent="0.25">
      <c r="A1117" t="s">
        <v>1514</v>
      </c>
      <c r="B1117" s="6">
        <v>2281.0909999999999</v>
      </c>
      <c r="C1117">
        <v>-9</v>
      </c>
    </row>
    <row r="1118" spans="1:3" x14ac:dyDescent="0.25">
      <c r="A1118" t="s">
        <v>1515</v>
      </c>
      <c r="B1118" s="6">
        <v>2185.0889999999999</v>
      </c>
      <c r="C1118">
        <v>-8</v>
      </c>
    </row>
    <row r="1119" spans="1:3" x14ac:dyDescent="0.25">
      <c r="A1119" t="s">
        <v>1516</v>
      </c>
      <c r="B1119" s="6">
        <v>1988.9109999999998</v>
      </c>
      <c r="C1119">
        <v>-8</v>
      </c>
    </row>
    <row r="1120" spans="1:3" x14ac:dyDescent="0.25">
      <c r="A1120" t="s">
        <v>1517</v>
      </c>
      <c r="B1120" s="6">
        <v>2087</v>
      </c>
      <c r="C1120">
        <v>-8</v>
      </c>
    </row>
    <row r="1121" spans="1:3" x14ac:dyDescent="0.25">
      <c r="A1121" t="s">
        <v>1518</v>
      </c>
      <c r="B1121" s="6">
        <v>2087</v>
      </c>
      <c r="C1121">
        <v>-8</v>
      </c>
    </row>
    <row r="1122" spans="1:3" x14ac:dyDescent="0.25">
      <c r="A1122" t="s">
        <v>1519</v>
      </c>
      <c r="B1122" s="6">
        <v>1988.9109999999998</v>
      </c>
      <c r="C1122">
        <v>-8</v>
      </c>
    </row>
    <row r="1123" spans="1:3" x14ac:dyDescent="0.25">
      <c r="A1123" t="s">
        <v>1520</v>
      </c>
      <c r="B1123" s="6">
        <v>2087</v>
      </c>
      <c r="C1123">
        <v>-8</v>
      </c>
    </row>
    <row r="1124" spans="1:3" x14ac:dyDescent="0.25">
      <c r="A1124" t="s">
        <v>1521</v>
      </c>
      <c r="B1124" s="6">
        <v>2087</v>
      </c>
      <c r="C1124">
        <v>-9</v>
      </c>
    </row>
    <row r="1125" spans="1:3" x14ac:dyDescent="0.25">
      <c r="A1125" t="s">
        <v>1522</v>
      </c>
      <c r="B1125" s="6">
        <v>1988.9109999999998</v>
      </c>
      <c r="C1125">
        <v>-8</v>
      </c>
    </row>
    <row r="1126" spans="1:3" x14ac:dyDescent="0.25">
      <c r="A1126" t="s">
        <v>1523</v>
      </c>
      <c r="B1126" s="6">
        <v>1988.9109999999998</v>
      </c>
      <c r="C1126">
        <v>-8</v>
      </c>
    </row>
    <row r="1127" spans="1:3" x14ac:dyDescent="0.25">
      <c r="A1127" t="s">
        <v>1524</v>
      </c>
      <c r="B1127" s="6">
        <v>2087</v>
      </c>
      <c r="C1127">
        <v>-8</v>
      </c>
    </row>
    <row r="1128" spans="1:3" x14ac:dyDescent="0.25">
      <c r="A1128" t="s">
        <v>1525</v>
      </c>
      <c r="B1128" s="6">
        <v>2087</v>
      </c>
      <c r="C1128">
        <v>-8</v>
      </c>
    </row>
    <row r="1129" spans="1:3" x14ac:dyDescent="0.25">
      <c r="A1129" t="s">
        <v>1526</v>
      </c>
      <c r="B1129" s="6">
        <v>2185.0889999999999</v>
      </c>
      <c r="C1129">
        <v>-9</v>
      </c>
    </row>
    <row r="1130" spans="1:3" x14ac:dyDescent="0.25">
      <c r="A1130" t="s">
        <v>1527</v>
      </c>
      <c r="B1130" s="6">
        <v>2087</v>
      </c>
      <c r="C1130">
        <v>-9</v>
      </c>
    </row>
    <row r="1131" spans="1:3" x14ac:dyDescent="0.25">
      <c r="A1131" t="s">
        <v>1528</v>
      </c>
      <c r="B1131" s="6">
        <v>2087</v>
      </c>
      <c r="C1131">
        <v>-8</v>
      </c>
    </row>
    <row r="1132" spans="1:3" x14ac:dyDescent="0.25">
      <c r="A1132" t="s">
        <v>1529</v>
      </c>
      <c r="B1132" s="6">
        <v>2087</v>
      </c>
      <c r="C1132">
        <v>-8</v>
      </c>
    </row>
    <row r="1133" spans="1:3" x14ac:dyDescent="0.25">
      <c r="A1133" t="s">
        <v>1530</v>
      </c>
      <c r="B1133" s="6">
        <v>2281.0909999999999</v>
      </c>
      <c r="C1133">
        <v>-9</v>
      </c>
    </row>
    <row r="1134" spans="1:3" x14ac:dyDescent="0.25">
      <c r="A1134" t="s">
        <v>1531</v>
      </c>
      <c r="B1134" s="6">
        <v>2087</v>
      </c>
      <c r="C1134">
        <v>-8</v>
      </c>
    </row>
    <row r="1135" spans="1:3" x14ac:dyDescent="0.25">
      <c r="A1135" t="s">
        <v>1532</v>
      </c>
      <c r="B1135" s="6">
        <v>1988.9109999999998</v>
      </c>
      <c r="C1135">
        <v>-8</v>
      </c>
    </row>
    <row r="1136" spans="1:3" x14ac:dyDescent="0.25">
      <c r="A1136" t="s">
        <v>1533</v>
      </c>
      <c r="B1136" s="6">
        <v>2548.2270000000003</v>
      </c>
      <c r="C1136">
        <v>-10</v>
      </c>
    </row>
    <row r="1137" spans="1:3" x14ac:dyDescent="0.25">
      <c r="A1137" t="s">
        <v>1534</v>
      </c>
      <c r="B1137" s="6">
        <v>1892.9090000000001</v>
      </c>
      <c r="C1137">
        <v>-8</v>
      </c>
    </row>
    <row r="1138" spans="1:3" x14ac:dyDescent="0.25">
      <c r="A1138" t="s">
        <v>1535</v>
      </c>
      <c r="B1138" s="6">
        <v>2379.1800000000003</v>
      </c>
      <c r="C1138">
        <v>-10</v>
      </c>
    </row>
    <row r="1139" spans="1:3" x14ac:dyDescent="0.25">
      <c r="A1139" t="s">
        <v>1536</v>
      </c>
      <c r="B1139" s="6">
        <v>1988.9109999999998</v>
      </c>
      <c r="C1139">
        <v>-8</v>
      </c>
    </row>
    <row r="1140" spans="1:3" x14ac:dyDescent="0.25">
      <c r="A1140" t="s">
        <v>1537</v>
      </c>
      <c r="B1140" s="6">
        <v>2379.1800000000003</v>
      </c>
      <c r="C1140">
        <v>-11</v>
      </c>
    </row>
    <row r="1141" spans="1:3" x14ac:dyDescent="0.25">
      <c r="A1141" t="s">
        <v>1538</v>
      </c>
      <c r="B1141" s="6">
        <v>2281.0909999999999</v>
      </c>
      <c r="C1141">
        <v>-10</v>
      </c>
    </row>
    <row r="1142" spans="1:3" x14ac:dyDescent="0.25">
      <c r="A1142" t="s">
        <v>1539</v>
      </c>
      <c r="B1142" s="6">
        <v>2281.0909999999999</v>
      </c>
      <c r="C1142">
        <v>-9</v>
      </c>
    </row>
    <row r="1143" spans="1:3" x14ac:dyDescent="0.25">
      <c r="A1143" t="s">
        <v>1540</v>
      </c>
      <c r="B1143" s="6">
        <v>2281.0909999999999</v>
      </c>
      <c r="C1143">
        <v>-9</v>
      </c>
    </row>
    <row r="1144" spans="1:3" x14ac:dyDescent="0.25">
      <c r="A1144" t="s">
        <v>1541</v>
      </c>
      <c r="B1144" s="6">
        <v>2281.0909999999999</v>
      </c>
      <c r="C1144">
        <v>-10</v>
      </c>
    </row>
    <row r="1145" spans="1:3" x14ac:dyDescent="0.25">
      <c r="A1145" t="s">
        <v>1542</v>
      </c>
      <c r="B1145" s="6">
        <v>2281.0909999999999</v>
      </c>
      <c r="C1145">
        <v>-9</v>
      </c>
    </row>
    <row r="1146" spans="1:3" x14ac:dyDescent="0.25">
      <c r="A1146" t="s">
        <v>1543</v>
      </c>
      <c r="B1146" s="6">
        <v>2548.2270000000003</v>
      </c>
      <c r="C1146">
        <v>-10</v>
      </c>
    </row>
    <row r="1147" spans="1:3" x14ac:dyDescent="0.25">
      <c r="A1147" t="s">
        <v>1544</v>
      </c>
      <c r="B1147" s="6">
        <v>2087</v>
      </c>
      <c r="C1147">
        <v>-8</v>
      </c>
    </row>
    <row r="1148" spans="1:3" x14ac:dyDescent="0.25">
      <c r="A1148" t="s">
        <v>1545</v>
      </c>
      <c r="B1148" s="6">
        <v>2087</v>
      </c>
      <c r="C1148">
        <v>-8</v>
      </c>
    </row>
    <row r="1149" spans="1:3" x14ac:dyDescent="0.25">
      <c r="A1149" t="s">
        <v>1546</v>
      </c>
      <c r="B1149" s="6">
        <v>2087</v>
      </c>
      <c r="C1149">
        <v>-9</v>
      </c>
    </row>
    <row r="1150" spans="1:3" x14ac:dyDescent="0.25">
      <c r="A1150" t="s">
        <v>1547</v>
      </c>
      <c r="B1150" s="6">
        <v>2548.2270000000003</v>
      </c>
      <c r="C1150">
        <v>-10</v>
      </c>
    </row>
    <row r="1151" spans="1:3" x14ac:dyDescent="0.25">
      <c r="A1151" t="s">
        <v>1548</v>
      </c>
      <c r="B1151" s="6">
        <v>2185.0889999999999</v>
      </c>
      <c r="C1151">
        <v>-9</v>
      </c>
    </row>
    <row r="1152" spans="1:3" x14ac:dyDescent="0.25">
      <c r="A1152" t="s">
        <v>1549</v>
      </c>
      <c r="B1152" s="6">
        <v>2790.319</v>
      </c>
      <c r="C1152">
        <v>-11</v>
      </c>
    </row>
    <row r="1153" spans="1:3" x14ac:dyDescent="0.25">
      <c r="A1153" t="s">
        <v>1550</v>
      </c>
      <c r="B1153" s="6">
        <v>2087</v>
      </c>
      <c r="C1153">
        <v>-8</v>
      </c>
    </row>
    <row r="1154" spans="1:3" x14ac:dyDescent="0.25">
      <c r="A1154" t="s">
        <v>1551</v>
      </c>
      <c r="B1154" s="6">
        <v>2379.1800000000003</v>
      </c>
      <c r="C1154">
        <v>-10</v>
      </c>
    </row>
    <row r="1155" spans="1:3" x14ac:dyDescent="0.25">
      <c r="A1155" t="s">
        <v>1552</v>
      </c>
      <c r="B1155" s="6">
        <v>2185.0889999999999</v>
      </c>
      <c r="C1155">
        <v>-9</v>
      </c>
    </row>
    <row r="1156" spans="1:3" x14ac:dyDescent="0.25">
      <c r="A1156" t="s">
        <v>1553</v>
      </c>
      <c r="B1156" s="6">
        <v>2185.0889999999999</v>
      </c>
      <c r="C1156">
        <v>-9</v>
      </c>
    </row>
    <row r="1157" spans="1:3" x14ac:dyDescent="0.25">
      <c r="A1157" t="s">
        <v>1553</v>
      </c>
      <c r="B1157" s="6">
        <v>2281.0909999999999</v>
      </c>
      <c r="C1157">
        <v>-9</v>
      </c>
    </row>
    <row r="1158" spans="1:3" x14ac:dyDescent="0.25">
      <c r="A1158" t="s">
        <v>1554</v>
      </c>
      <c r="B1158" s="6">
        <v>2185.0889999999999</v>
      </c>
      <c r="C1158">
        <v>-9</v>
      </c>
    </row>
    <row r="1159" spans="1:3" x14ac:dyDescent="0.25">
      <c r="A1159" t="s">
        <v>1554</v>
      </c>
      <c r="B1159" s="6">
        <v>2281.0909999999999</v>
      </c>
      <c r="C1159">
        <v>-10</v>
      </c>
    </row>
    <row r="1160" spans="1:3" x14ac:dyDescent="0.25">
      <c r="A1160" t="s">
        <v>1555</v>
      </c>
      <c r="B1160" s="6">
        <v>2087</v>
      </c>
      <c r="C1160">
        <v>-8</v>
      </c>
    </row>
    <row r="1161" spans="1:3" x14ac:dyDescent="0.25">
      <c r="A1161" t="s">
        <v>1556</v>
      </c>
      <c r="B1161" s="6">
        <v>2087</v>
      </c>
      <c r="C1161">
        <v>-8</v>
      </c>
    </row>
    <row r="1162" spans="1:3" x14ac:dyDescent="0.25">
      <c r="A1162" t="s">
        <v>1557</v>
      </c>
      <c r="B1162" s="6">
        <v>2087</v>
      </c>
      <c r="C1162">
        <v>-9</v>
      </c>
    </row>
    <row r="1163" spans="1:3" x14ac:dyDescent="0.25">
      <c r="A1163" t="s">
        <v>1558</v>
      </c>
      <c r="B1163" s="6">
        <v>2087</v>
      </c>
      <c r="C1163">
        <v>-9</v>
      </c>
    </row>
    <row r="1164" spans="1:3" x14ac:dyDescent="0.25">
      <c r="A1164" t="s">
        <v>1559</v>
      </c>
      <c r="B1164" s="6">
        <v>2087</v>
      </c>
      <c r="C1164">
        <v>-8</v>
      </c>
    </row>
    <row r="1165" spans="1:3" x14ac:dyDescent="0.25">
      <c r="A1165" t="s">
        <v>1560</v>
      </c>
      <c r="B1165" s="6">
        <v>2087</v>
      </c>
      <c r="C1165">
        <v>-8</v>
      </c>
    </row>
    <row r="1166" spans="1:3" x14ac:dyDescent="0.25">
      <c r="A1166" t="s">
        <v>1561</v>
      </c>
      <c r="B1166" s="6">
        <v>2281.0909999999999</v>
      </c>
      <c r="C1166">
        <v>-9</v>
      </c>
    </row>
    <row r="1167" spans="1:3" x14ac:dyDescent="0.25">
      <c r="A1167" t="s">
        <v>1562</v>
      </c>
      <c r="B1167" s="6">
        <v>2281.0909999999999</v>
      </c>
      <c r="C1167">
        <v>-9</v>
      </c>
    </row>
    <row r="1168" spans="1:3" x14ac:dyDescent="0.25">
      <c r="A1168" t="s">
        <v>1563</v>
      </c>
      <c r="B1168" s="6">
        <v>2185.0889999999999</v>
      </c>
      <c r="C1168">
        <v>-9</v>
      </c>
    </row>
    <row r="1169" spans="1:3" x14ac:dyDescent="0.25">
      <c r="A1169" t="s">
        <v>1564</v>
      </c>
      <c r="B1169" s="6">
        <v>2281.0909999999999</v>
      </c>
      <c r="C1169">
        <v>-9</v>
      </c>
    </row>
    <row r="1170" spans="1:3" x14ac:dyDescent="0.25">
      <c r="A1170" t="s">
        <v>1565</v>
      </c>
      <c r="B1170" s="6">
        <v>2185.0889999999999</v>
      </c>
      <c r="C1170">
        <v>-9</v>
      </c>
    </row>
    <row r="1171" spans="1:3" x14ac:dyDescent="0.25">
      <c r="A1171" t="s">
        <v>1566</v>
      </c>
      <c r="B1171" s="6">
        <v>2087</v>
      </c>
      <c r="C1171">
        <v>-8</v>
      </c>
    </row>
    <row r="1172" spans="1:3" x14ac:dyDescent="0.25">
      <c r="A1172" t="s">
        <v>1567</v>
      </c>
      <c r="B1172" s="6">
        <v>2790.319</v>
      </c>
      <c r="C1172">
        <v>-11</v>
      </c>
    </row>
    <row r="1173" spans="1:3" x14ac:dyDescent="0.25">
      <c r="A1173" t="s">
        <v>1568</v>
      </c>
      <c r="B1173" s="6">
        <v>1988.9109999999998</v>
      </c>
      <c r="C1173">
        <v>-8</v>
      </c>
    </row>
    <row r="1174" spans="1:3" x14ac:dyDescent="0.25">
      <c r="A1174" t="s">
        <v>1569</v>
      </c>
      <c r="B1174" s="6">
        <v>1988.9109999999998</v>
      </c>
      <c r="C1174">
        <v>-8</v>
      </c>
    </row>
    <row r="1175" spans="1:3" x14ac:dyDescent="0.25">
      <c r="A1175" t="s">
        <v>1570</v>
      </c>
      <c r="B1175" s="6">
        <v>2087</v>
      </c>
      <c r="C1175">
        <v>-9</v>
      </c>
    </row>
    <row r="1176" spans="1:3" x14ac:dyDescent="0.25">
      <c r="A1176" t="s">
        <v>1571</v>
      </c>
      <c r="B1176" s="6">
        <v>2087</v>
      </c>
      <c r="C1176">
        <v>-8</v>
      </c>
    </row>
    <row r="1177" spans="1:3" x14ac:dyDescent="0.25">
      <c r="A1177" t="s">
        <v>1572</v>
      </c>
      <c r="B1177" s="6">
        <v>1988.9109999999998</v>
      </c>
      <c r="C1177">
        <v>-8</v>
      </c>
    </row>
    <row r="1178" spans="1:3" x14ac:dyDescent="0.25">
      <c r="A1178" t="s">
        <v>1573</v>
      </c>
      <c r="B1178" s="6">
        <v>1988.9109999999998</v>
      </c>
      <c r="C1178">
        <v>-8</v>
      </c>
    </row>
    <row r="1179" spans="1:3" x14ac:dyDescent="0.25">
      <c r="A1179" t="s">
        <v>1574</v>
      </c>
      <c r="B1179" s="6">
        <v>2087</v>
      </c>
      <c r="C1179">
        <v>-9</v>
      </c>
    </row>
    <row r="1180" spans="1:3" x14ac:dyDescent="0.25">
      <c r="A1180" t="s">
        <v>1575</v>
      </c>
      <c r="B1180" s="6">
        <v>2087</v>
      </c>
      <c r="C1180">
        <v>-8</v>
      </c>
    </row>
    <row r="1181" spans="1:3" x14ac:dyDescent="0.25">
      <c r="A1181" t="s">
        <v>1576</v>
      </c>
      <c r="B1181" s="6">
        <v>1988.9109999999998</v>
      </c>
      <c r="C1181">
        <v>-8</v>
      </c>
    </row>
    <row r="1182" spans="1:3" x14ac:dyDescent="0.25">
      <c r="A1182" t="s">
        <v>1577</v>
      </c>
      <c r="B1182" s="6">
        <v>2185.0889999999999</v>
      </c>
      <c r="C1182">
        <v>-8</v>
      </c>
    </row>
    <row r="1183" spans="1:3" x14ac:dyDescent="0.25">
      <c r="A1183" t="s">
        <v>1578</v>
      </c>
      <c r="B1183" s="6">
        <v>1988.9109999999998</v>
      </c>
      <c r="C1183">
        <v>-8</v>
      </c>
    </row>
    <row r="1184" spans="1:3" x14ac:dyDescent="0.25">
      <c r="A1184" t="s">
        <v>1579</v>
      </c>
      <c r="B1184" s="6">
        <v>2087</v>
      </c>
      <c r="C1184">
        <v>-9</v>
      </c>
    </row>
    <row r="1185" spans="1:3" x14ac:dyDescent="0.25">
      <c r="A1185" t="s">
        <v>1579</v>
      </c>
      <c r="B1185" s="6">
        <v>2087</v>
      </c>
      <c r="C1185">
        <v>-9</v>
      </c>
    </row>
    <row r="1186" spans="1:3" x14ac:dyDescent="0.25">
      <c r="A1186" t="s">
        <v>1580</v>
      </c>
      <c r="B1186" s="6">
        <v>1988.9109999999998</v>
      </c>
      <c r="C1186">
        <v>-8</v>
      </c>
    </row>
    <row r="1187" spans="1:3" x14ac:dyDescent="0.25">
      <c r="A1187" t="s">
        <v>1581</v>
      </c>
      <c r="B1187" s="6">
        <v>1988.9109999999998</v>
      </c>
      <c r="C1187">
        <v>-8</v>
      </c>
    </row>
    <row r="1188" spans="1:3" x14ac:dyDescent="0.25">
      <c r="A1188" t="s">
        <v>1582</v>
      </c>
      <c r="B1188" s="6">
        <v>2087</v>
      </c>
      <c r="C1188">
        <v>-9</v>
      </c>
    </row>
    <row r="1189" spans="1:3" x14ac:dyDescent="0.25">
      <c r="A1189" t="s">
        <v>1583</v>
      </c>
      <c r="B1189" s="6">
        <v>2185.0889999999999</v>
      </c>
      <c r="C1189">
        <v>-9</v>
      </c>
    </row>
    <row r="1190" spans="1:3" x14ac:dyDescent="0.25">
      <c r="A1190" t="s">
        <v>1584</v>
      </c>
      <c r="B1190" s="6">
        <v>1988.9109999999998</v>
      </c>
      <c r="C1190">
        <v>-8</v>
      </c>
    </row>
    <row r="1191" spans="1:3" x14ac:dyDescent="0.25">
      <c r="A1191" t="s">
        <v>1585</v>
      </c>
      <c r="B1191" s="6">
        <v>1988.9109999999998</v>
      </c>
      <c r="C1191">
        <v>-8</v>
      </c>
    </row>
    <row r="1192" spans="1:3" x14ac:dyDescent="0.25">
      <c r="A1192" t="s">
        <v>1586</v>
      </c>
      <c r="B1192" s="6">
        <v>2379.1800000000003</v>
      </c>
      <c r="C1192">
        <v>-10</v>
      </c>
    </row>
    <row r="1193" spans="1:3" x14ac:dyDescent="0.25">
      <c r="A1193" t="s">
        <v>1587</v>
      </c>
      <c r="B1193" s="6">
        <v>2185.0889999999999</v>
      </c>
      <c r="C1193">
        <v>-9</v>
      </c>
    </row>
    <row r="1194" spans="1:3" x14ac:dyDescent="0.25">
      <c r="A1194" t="s">
        <v>1588</v>
      </c>
      <c r="B1194" s="6">
        <v>1988.9109999999998</v>
      </c>
      <c r="C1194">
        <v>-8</v>
      </c>
    </row>
    <row r="1195" spans="1:3" x14ac:dyDescent="0.25">
      <c r="A1195" t="s">
        <v>1589</v>
      </c>
      <c r="B1195" s="6">
        <v>1892.9090000000001</v>
      </c>
      <c r="C1195">
        <v>-8</v>
      </c>
    </row>
    <row r="1196" spans="1:3" x14ac:dyDescent="0.25">
      <c r="A1196" t="s">
        <v>1590</v>
      </c>
      <c r="B1196" s="6">
        <v>2087</v>
      </c>
      <c r="C1196">
        <v>-8</v>
      </c>
    </row>
    <row r="1197" spans="1:3" x14ac:dyDescent="0.25">
      <c r="A1197" t="s">
        <v>1591</v>
      </c>
      <c r="B1197" s="6">
        <v>2087</v>
      </c>
      <c r="C1197">
        <v>-8</v>
      </c>
    </row>
    <row r="1198" spans="1:3" x14ac:dyDescent="0.25">
      <c r="A1198" t="s">
        <v>1592</v>
      </c>
      <c r="B1198" s="6">
        <v>2087</v>
      </c>
      <c r="C1198">
        <v>-8</v>
      </c>
    </row>
    <row r="1199" spans="1:3" x14ac:dyDescent="0.25">
      <c r="A1199" t="s">
        <v>1593</v>
      </c>
      <c r="B1199" s="6">
        <v>2087</v>
      </c>
      <c r="C1199">
        <v>-8</v>
      </c>
    </row>
    <row r="1200" spans="1:3" x14ac:dyDescent="0.25">
      <c r="A1200" t="s">
        <v>1594</v>
      </c>
      <c r="B1200" s="6">
        <v>2087</v>
      </c>
      <c r="C1200">
        <v>-8</v>
      </c>
    </row>
    <row r="1201" spans="1:3" x14ac:dyDescent="0.25">
      <c r="A1201" t="s">
        <v>1595</v>
      </c>
      <c r="B1201" s="6">
        <v>2087</v>
      </c>
      <c r="C1201">
        <v>-8</v>
      </c>
    </row>
    <row r="1202" spans="1:3" x14ac:dyDescent="0.25">
      <c r="A1202" t="s">
        <v>1596</v>
      </c>
      <c r="B1202" s="6">
        <v>2087</v>
      </c>
      <c r="C1202">
        <v>-9</v>
      </c>
    </row>
    <row r="1203" spans="1:3" x14ac:dyDescent="0.25">
      <c r="A1203" t="s">
        <v>1597</v>
      </c>
      <c r="B1203" s="6">
        <v>2087</v>
      </c>
      <c r="C1203">
        <v>-8</v>
      </c>
    </row>
    <row r="1204" spans="1:3" x14ac:dyDescent="0.25">
      <c r="A1204" t="s">
        <v>1598</v>
      </c>
      <c r="B1204" s="6">
        <v>1988.9109999999998</v>
      </c>
      <c r="C1204">
        <v>-8</v>
      </c>
    </row>
    <row r="1205" spans="1:3" x14ac:dyDescent="0.25">
      <c r="A1205" t="s">
        <v>1599</v>
      </c>
      <c r="B1205" s="6">
        <v>2185.0889999999999</v>
      </c>
      <c r="C1205">
        <v>-9</v>
      </c>
    </row>
    <row r="1206" spans="1:3" x14ac:dyDescent="0.25">
      <c r="A1206" t="s">
        <v>1600</v>
      </c>
      <c r="B1206" s="6">
        <v>2087</v>
      </c>
      <c r="C1206">
        <v>-8</v>
      </c>
    </row>
    <row r="1207" spans="1:3" x14ac:dyDescent="0.25">
      <c r="A1207" t="s">
        <v>1601</v>
      </c>
      <c r="B1207" s="6">
        <v>2379.1800000000003</v>
      </c>
      <c r="C1207">
        <v>-10</v>
      </c>
    </row>
    <row r="1208" spans="1:3" x14ac:dyDescent="0.25">
      <c r="A1208" t="s">
        <v>1602</v>
      </c>
      <c r="B1208" s="6">
        <v>2185.0889999999999</v>
      </c>
      <c r="C1208">
        <v>-9</v>
      </c>
    </row>
    <row r="1209" spans="1:3" x14ac:dyDescent="0.25">
      <c r="A1209" t="s">
        <v>1603</v>
      </c>
      <c r="B1209" s="6">
        <v>1988.9109999999998</v>
      </c>
      <c r="C1209">
        <v>-8</v>
      </c>
    </row>
    <row r="1210" spans="1:3" x14ac:dyDescent="0.25">
      <c r="A1210" t="s">
        <v>1604</v>
      </c>
      <c r="B1210" s="6">
        <v>2185.0889999999999</v>
      </c>
      <c r="C1210">
        <v>-9</v>
      </c>
    </row>
    <row r="1211" spans="1:3" x14ac:dyDescent="0.25">
      <c r="A1211" t="s">
        <v>1605</v>
      </c>
      <c r="B1211" s="6">
        <v>2087</v>
      </c>
      <c r="C1211">
        <v>-8</v>
      </c>
    </row>
    <row r="1212" spans="1:3" x14ac:dyDescent="0.25">
      <c r="A1212" t="s">
        <v>1606</v>
      </c>
      <c r="B1212" s="6">
        <v>2087</v>
      </c>
      <c r="C1212">
        <v>-8</v>
      </c>
    </row>
    <row r="1213" spans="1:3" x14ac:dyDescent="0.25">
      <c r="A1213" t="s">
        <v>1607</v>
      </c>
      <c r="B1213" s="6">
        <v>2185.0889999999999</v>
      </c>
      <c r="C1213">
        <v>-9</v>
      </c>
    </row>
    <row r="1214" spans="1:3" x14ac:dyDescent="0.25">
      <c r="A1214" t="s">
        <v>1608</v>
      </c>
      <c r="B1214" s="6">
        <v>1892.9090000000001</v>
      </c>
      <c r="C1214">
        <v>-7</v>
      </c>
    </row>
    <row r="1215" spans="1:3" x14ac:dyDescent="0.25">
      <c r="A1215" t="s">
        <v>1609</v>
      </c>
      <c r="B1215" s="6">
        <v>1988.9109999999998</v>
      </c>
      <c r="C1215">
        <v>-8</v>
      </c>
    </row>
    <row r="1216" spans="1:3" x14ac:dyDescent="0.25">
      <c r="A1216" t="s">
        <v>1610</v>
      </c>
      <c r="B1216" s="6">
        <v>2087</v>
      </c>
      <c r="C1216">
        <v>-8</v>
      </c>
    </row>
    <row r="1217" spans="1:3" x14ac:dyDescent="0.25">
      <c r="A1217" t="s">
        <v>1611</v>
      </c>
      <c r="B1217" s="6">
        <v>1988.9109999999998</v>
      </c>
      <c r="C1217">
        <v>-8</v>
      </c>
    </row>
    <row r="1218" spans="1:3" x14ac:dyDescent="0.25">
      <c r="A1218" t="s">
        <v>1612</v>
      </c>
      <c r="B1218" s="6">
        <v>1988.9109999999998</v>
      </c>
      <c r="C1218">
        <v>-8</v>
      </c>
    </row>
    <row r="1219" spans="1:3" x14ac:dyDescent="0.25">
      <c r="A1219" t="s">
        <v>1613</v>
      </c>
      <c r="B1219" s="6">
        <v>1892.9090000000001</v>
      </c>
      <c r="C1219">
        <v>-7</v>
      </c>
    </row>
    <row r="1220" spans="1:3" x14ac:dyDescent="0.25">
      <c r="A1220" t="s">
        <v>1614</v>
      </c>
      <c r="B1220" s="6">
        <v>1892.9090000000001</v>
      </c>
      <c r="C1220">
        <v>-7</v>
      </c>
    </row>
    <row r="1221" spans="1:3" x14ac:dyDescent="0.25">
      <c r="A1221" t="s">
        <v>1615</v>
      </c>
      <c r="B1221" s="6">
        <v>2087</v>
      </c>
      <c r="C1221">
        <v>-8</v>
      </c>
    </row>
    <row r="1222" spans="1:3" x14ac:dyDescent="0.25">
      <c r="A1222" t="s">
        <v>1616</v>
      </c>
      <c r="B1222" s="6">
        <v>1988.9109999999998</v>
      </c>
      <c r="C1222">
        <v>-8</v>
      </c>
    </row>
    <row r="1223" spans="1:3" x14ac:dyDescent="0.25">
      <c r="A1223" t="s">
        <v>1617</v>
      </c>
      <c r="B1223" s="6">
        <v>2087</v>
      </c>
      <c r="C1223">
        <v>-8</v>
      </c>
    </row>
    <row r="1224" spans="1:3" x14ac:dyDescent="0.25">
      <c r="A1224" t="s">
        <v>1618</v>
      </c>
      <c r="B1224" s="6">
        <v>2087</v>
      </c>
      <c r="C1224">
        <v>-9</v>
      </c>
    </row>
    <row r="1225" spans="1:3" x14ac:dyDescent="0.25">
      <c r="A1225" t="s">
        <v>1619</v>
      </c>
      <c r="B1225" s="6">
        <v>1892.9090000000001</v>
      </c>
      <c r="C1225">
        <v>-7</v>
      </c>
    </row>
    <row r="1226" spans="1:3" x14ac:dyDescent="0.25">
      <c r="A1226" t="s">
        <v>1620</v>
      </c>
      <c r="B1226" s="6">
        <v>2087</v>
      </c>
      <c r="C1226">
        <v>-8</v>
      </c>
    </row>
    <row r="1227" spans="1:3" x14ac:dyDescent="0.25">
      <c r="A1227" t="s">
        <v>1621</v>
      </c>
      <c r="B1227" s="6">
        <v>1988.9109999999998</v>
      </c>
      <c r="C1227">
        <v>-8</v>
      </c>
    </row>
    <row r="1228" spans="1:3" x14ac:dyDescent="0.25">
      <c r="A1228" t="s">
        <v>1622</v>
      </c>
      <c r="B1228" s="6">
        <v>2087</v>
      </c>
      <c r="C1228">
        <v>-8</v>
      </c>
    </row>
    <row r="1229" spans="1:3" x14ac:dyDescent="0.25">
      <c r="A1229" t="s">
        <v>1623</v>
      </c>
      <c r="B1229" s="6">
        <v>1988.9109999999998</v>
      </c>
      <c r="C1229">
        <v>-8</v>
      </c>
    </row>
    <row r="1230" spans="1:3" x14ac:dyDescent="0.25">
      <c r="A1230" t="s">
        <v>1624</v>
      </c>
      <c r="B1230" s="6">
        <v>1988.9109999999998</v>
      </c>
      <c r="C1230">
        <v>-8</v>
      </c>
    </row>
    <row r="1231" spans="1:3" x14ac:dyDescent="0.25">
      <c r="A1231" t="s">
        <v>1625</v>
      </c>
      <c r="B1231" s="6">
        <v>1988.9109999999998</v>
      </c>
      <c r="C1231">
        <v>-8</v>
      </c>
    </row>
    <row r="1232" spans="1:3" x14ac:dyDescent="0.25">
      <c r="A1232" t="s">
        <v>1626</v>
      </c>
      <c r="B1232" s="6">
        <v>1988.9109999999998</v>
      </c>
      <c r="C1232">
        <v>-8</v>
      </c>
    </row>
    <row r="1233" spans="1:3" x14ac:dyDescent="0.25">
      <c r="A1233" t="s">
        <v>1627</v>
      </c>
      <c r="B1233" s="6">
        <v>2087</v>
      </c>
      <c r="C1233">
        <v>-8</v>
      </c>
    </row>
    <row r="1234" spans="1:3" x14ac:dyDescent="0.25">
      <c r="A1234" t="s">
        <v>1628</v>
      </c>
      <c r="B1234" s="6">
        <v>2087</v>
      </c>
      <c r="C1234">
        <v>-8</v>
      </c>
    </row>
    <row r="1235" spans="1:3" x14ac:dyDescent="0.25">
      <c r="A1235" t="s">
        <v>1629</v>
      </c>
      <c r="B1235" s="6">
        <v>1988.9109999999998</v>
      </c>
      <c r="C1235">
        <v>-8</v>
      </c>
    </row>
    <row r="1236" spans="1:3" x14ac:dyDescent="0.25">
      <c r="A1236" t="s">
        <v>1630</v>
      </c>
      <c r="B1236" s="6">
        <v>2087</v>
      </c>
      <c r="C1236">
        <v>-9</v>
      </c>
    </row>
    <row r="1237" spans="1:3" x14ac:dyDescent="0.25">
      <c r="A1237" t="s">
        <v>1631</v>
      </c>
      <c r="B1237" s="6">
        <v>2087</v>
      </c>
      <c r="C1237">
        <v>-8</v>
      </c>
    </row>
    <row r="1238" spans="1:3" x14ac:dyDescent="0.25">
      <c r="A1238" t="s">
        <v>1632</v>
      </c>
      <c r="B1238" s="6">
        <v>2087</v>
      </c>
      <c r="C1238">
        <v>-8</v>
      </c>
    </row>
    <row r="1239" spans="1:3" x14ac:dyDescent="0.25">
      <c r="A1239" t="s">
        <v>1633</v>
      </c>
      <c r="B1239" s="6">
        <v>2087</v>
      </c>
      <c r="C1239">
        <v>-9</v>
      </c>
    </row>
    <row r="1240" spans="1:3" x14ac:dyDescent="0.25">
      <c r="A1240" t="s">
        <v>1634</v>
      </c>
      <c r="B1240" s="6">
        <v>2087</v>
      </c>
      <c r="C1240">
        <v>-8</v>
      </c>
    </row>
    <row r="1241" spans="1:3" x14ac:dyDescent="0.25">
      <c r="A1241" t="s">
        <v>1635</v>
      </c>
      <c r="B1241" s="6">
        <v>1988.9109999999998</v>
      </c>
      <c r="C1241">
        <v>-8</v>
      </c>
    </row>
    <row r="1242" spans="1:3" x14ac:dyDescent="0.25">
      <c r="A1242" t="s">
        <v>1636</v>
      </c>
      <c r="B1242" s="6">
        <v>2087</v>
      </c>
      <c r="C1242">
        <v>-8</v>
      </c>
    </row>
    <row r="1243" spans="1:3" x14ac:dyDescent="0.25">
      <c r="A1243" t="s">
        <v>1637</v>
      </c>
      <c r="B1243" s="6">
        <v>2087</v>
      </c>
      <c r="C1243">
        <v>-8</v>
      </c>
    </row>
    <row r="1244" spans="1:3" x14ac:dyDescent="0.25">
      <c r="A1244" t="s">
        <v>1638</v>
      </c>
      <c r="B1244" s="6">
        <v>1988.9109999999998</v>
      </c>
      <c r="C1244">
        <v>-8</v>
      </c>
    </row>
    <row r="1245" spans="1:3" x14ac:dyDescent="0.25">
      <c r="A1245" t="s">
        <v>1639</v>
      </c>
      <c r="B1245" s="6">
        <v>1988.9109999999998</v>
      </c>
      <c r="C1245">
        <v>-8</v>
      </c>
    </row>
    <row r="1246" spans="1:3" x14ac:dyDescent="0.25">
      <c r="A1246" t="s">
        <v>1640</v>
      </c>
      <c r="B1246" s="6">
        <v>1988.9109999999998</v>
      </c>
      <c r="C1246">
        <v>-8</v>
      </c>
    </row>
    <row r="1247" spans="1:3" x14ac:dyDescent="0.25">
      <c r="A1247" t="s">
        <v>1641</v>
      </c>
      <c r="B1247" s="6">
        <v>2087</v>
      </c>
      <c r="C1247">
        <v>-8</v>
      </c>
    </row>
    <row r="1248" spans="1:3" x14ac:dyDescent="0.25">
      <c r="A1248" t="s">
        <v>1642</v>
      </c>
      <c r="B1248" s="6">
        <v>2087</v>
      </c>
      <c r="C1248">
        <v>-8</v>
      </c>
    </row>
    <row r="1249" spans="1:3" x14ac:dyDescent="0.25">
      <c r="A1249" t="s">
        <v>1643</v>
      </c>
      <c r="B1249" s="6">
        <v>2087</v>
      </c>
      <c r="C1249">
        <v>-8</v>
      </c>
    </row>
    <row r="1250" spans="1:3" x14ac:dyDescent="0.25">
      <c r="A1250" t="s">
        <v>1644</v>
      </c>
      <c r="B1250" s="6">
        <v>1988.9109999999998</v>
      </c>
      <c r="C1250">
        <v>-8</v>
      </c>
    </row>
    <row r="1251" spans="1:3" x14ac:dyDescent="0.25">
      <c r="A1251" t="s">
        <v>1645</v>
      </c>
      <c r="B1251" s="6">
        <v>2087</v>
      </c>
      <c r="C1251">
        <v>-9</v>
      </c>
    </row>
    <row r="1252" spans="1:3" x14ac:dyDescent="0.25">
      <c r="A1252" t="s">
        <v>1646</v>
      </c>
      <c r="B1252" s="6">
        <v>2087</v>
      </c>
      <c r="C1252">
        <v>-8</v>
      </c>
    </row>
    <row r="1253" spans="1:3" x14ac:dyDescent="0.25">
      <c r="A1253" t="s">
        <v>1647</v>
      </c>
      <c r="B1253" s="6">
        <v>2087</v>
      </c>
      <c r="C1253">
        <v>-8</v>
      </c>
    </row>
    <row r="1254" spans="1:3" x14ac:dyDescent="0.25">
      <c r="A1254" t="s">
        <v>1648</v>
      </c>
      <c r="B1254" s="6">
        <v>2379.1800000000003</v>
      </c>
      <c r="C1254">
        <v>-11</v>
      </c>
    </row>
    <row r="1255" spans="1:3" x14ac:dyDescent="0.25">
      <c r="A1255" t="s">
        <v>1649</v>
      </c>
      <c r="B1255" s="6">
        <v>2185.0889999999999</v>
      </c>
      <c r="C1255">
        <v>-9</v>
      </c>
    </row>
    <row r="1256" spans="1:3" x14ac:dyDescent="0.25">
      <c r="A1256" t="s">
        <v>1650</v>
      </c>
      <c r="B1256" s="6">
        <v>2185.0889999999999</v>
      </c>
      <c r="C1256">
        <v>-9</v>
      </c>
    </row>
    <row r="1257" spans="1:3" x14ac:dyDescent="0.25">
      <c r="A1257" t="s">
        <v>1651</v>
      </c>
      <c r="B1257" s="6">
        <v>2087</v>
      </c>
      <c r="C1257">
        <v>-8</v>
      </c>
    </row>
    <row r="1258" spans="1:3" x14ac:dyDescent="0.25">
      <c r="A1258" t="s">
        <v>1652</v>
      </c>
      <c r="B1258" s="6">
        <v>2185.0889999999999</v>
      </c>
      <c r="C1258">
        <v>-8</v>
      </c>
    </row>
    <row r="1259" spans="1:3" x14ac:dyDescent="0.25">
      <c r="A1259" t="s">
        <v>1653</v>
      </c>
      <c r="B1259" s="6">
        <v>2185.0889999999999</v>
      </c>
      <c r="C1259">
        <v>-9</v>
      </c>
    </row>
    <row r="1260" spans="1:3" x14ac:dyDescent="0.25">
      <c r="A1260" t="s">
        <v>1654</v>
      </c>
      <c r="B1260" s="6">
        <v>2548.2270000000003</v>
      </c>
      <c r="C1260">
        <v>-10</v>
      </c>
    </row>
    <row r="1261" spans="1:3" x14ac:dyDescent="0.25">
      <c r="A1261" t="s">
        <v>1655</v>
      </c>
      <c r="B1261" s="6">
        <v>2087</v>
      </c>
      <c r="C1261">
        <v>-8</v>
      </c>
    </row>
    <row r="1262" spans="1:3" x14ac:dyDescent="0.25">
      <c r="A1262" t="s">
        <v>1656</v>
      </c>
      <c r="B1262" s="6">
        <v>2379.1800000000003</v>
      </c>
      <c r="C1262">
        <v>-10</v>
      </c>
    </row>
    <row r="1263" spans="1:3" x14ac:dyDescent="0.25">
      <c r="A1263" t="s">
        <v>1657</v>
      </c>
      <c r="B1263" s="6">
        <v>2379.1800000000003</v>
      </c>
      <c r="C1263">
        <v>-10</v>
      </c>
    </row>
    <row r="1264" spans="1:3" x14ac:dyDescent="0.25">
      <c r="A1264" t="s">
        <v>1658</v>
      </c>
      <c r="B1264" s="6">
        <v>2087</v>
      </c>
      <c r="C1264">
        <v>-9</v>
      </c>
    </row>
    <row r="1265" spans="1:3" x14ac:dyDescent="0.25">
      <c r="A1265" t="s">
        <v>1659</v>
      </c>
      <c r="B1265" s="6">
        <v>2087</v>
      </c>
      <c r="C1265">
        <v>-8</v>
      </c>
    </row>
    <row r="1266" spans="1:3" x14ac:dyDescent="0.25">
      <c r="A1266" t="s">
        <v>1660</v>
      </c>
      <c r="B1266" s="6">
        <v>1988.9109999999998</v>
      </c>
      <c r="C1266">
        <v>-8</v>
      </c>
    </row>
    <row r="1267" spans="1:3" x14ac:dyDescent="0.25">
      <c r="A1267" t="s">
        <v>1661</v>
      </c>
      <c r="B1267" s="6">
        <v>2185.0889999999999</v>
      </c>
      <c r="C1267">
        <v>-9</v>
      </c>
    </row>
    <row r="1268" spans="1:3" x14ac:dyDescent="0.25">
      <c r="A1268" t="s">
        <v>1662</v>
      </c>
      <c r="B1268" s="6">
        <v>2790.319</v>
      </c>
      <c r="C1268">
        <v>-10</v>
      </c>
    </row>
    <row r="1269" spans="1:3" x14ac:dyDescent="0.25">
      <c r="A1269" t="s">
        <v>1663</v>
      </c>
      <c r="B1269" s="6">
        <v>2087</v>
      </c>
      <c r="C1269">
        <v>-8</v>
      </c>
    </row>
    <row r="1270" spans="1:3" x14ac:dyDescent="0.25">
      <c r="A1270" t="s">
        <v>1664</v>
      </c>
      <c r="B1270" s="6">
        <v>2087</v>
      </c>
      <c r="C1270">
        <v>-8</v>
      </c>
    </row>
    <row r="1271" spans="1:3" x14ac:dyDescent="0.25">
      <c r="A1271" t="s">
        <v>1665</v>
      </c>
      <c r="B1271" s="6">
        <v>2790.319</v>
      </c>
      <c r="C1271">
        <v>-11</v>
      </c>
    </row>
    <row r="1272" spans="1:3" x14ac:dyDescent="0.25">
      <c r="A1272" t="s">
        <v>1666</v>
      </c>
      <c r="B1272" s="6">
        <v>2087</v>
      </c>
      <c r="C1272">
        <v>-8</v>
      </c>
    </row>
    <row r="1273" spans="1:3" x14ac:dyDescent="0.25">
      <c r="A1273" t="s">
        <v>1667</v>
      </c>
      <c r="B1273" s="6">
        <v>2087</v>
      </c>
      <c r="C1273">
        <v>-8</v>
      </c>
    </row>
    <row r="1274" spans="1:3" x14ac:dyDescent="0.25">
      <c r="A1274" t="s">
        <v>1668</v>
      </c>
      <c r="B1274" s="6">
        <v>2087</v>
      </c>
      <c r="C1274">
        <v>-8</v>
      </c>
    </row>
    <row r="1275" spans="1:3" x14ac:dyDescent="0.25">
      <c r="A1275" t="s">
        <v>1669</v>
      </c>
      <c r="B1275" s="6">
        <v>2379.1800000000003</v>
      </c>
      <c r="C1275">
        <v>-10</v>
      </c>
    </row>
    <row r="1276" spans="1:3" x14ac:dyDescent="0.25">
      <c r="A1276" t="s">
        <v>1670</v>
      </c>
      <c r="B1276" s="6">
        <v>2185.0889999999999</v>
      </c>
      <c r="C1276">
        <v>-9</v>
      </c>
    </row>
    <row r="1277" spans="1:3" x14ac:dyDescent="0.25">
      <c r="A1277" t="s">
        <v>1671</v>
      </c>
      <c r="B1277" s="6">
        <v>2185.0889999999999</v>
      </c>
      <c r="C1277">
        <v>-9</v>
      </c>
    </row>
    <row r="1278" spans="1:3" x14ac:dyDescent="0.25">
      <c r="A1278" t="s">
        <v>1672</v>
      </c>
      <c r="B1278" s="6">
        <v>2185.0889999999999</v>
      </c>
      <c r="C1278">
        <v>-9</v>
      </c>
    </row>
    <row r="1279" spans="1:3" x14ac:dyDescent="0.25">
      <c r="A1279" t="s">
        <v>1673</v>
      </c>
      <c r="B1279" s="6">
        <v>2379.1800000000003</v>
      </c>
      <c r="C1279">
        <v>-10</v>
      </c>
    </row>
    <row r="1280" spans="1:3" x14ac:dyDescent="0.25">
      <c r="A1280" t="s">
        <v>1674</v>
      </c>
      <c r="B1280" s="6">
        <v>1988.9109999999998</v>
      </c>
      <c r="C1280">
        <v>-8</v>
      </c>
    </row>
    <row r="1281" spans="1:3" x14ac:dyDescent="0.25">
      <c r="A1281" t="s">
        <v>1675</v>
      </c>
      <c r="B1281" s="6">
        <v>2185.0889999999999</v>
      </c>
      <c r="C1281">
        <v>-8</v>
      </c>
    </row>
    <row r="1282" spans="1:3" x14ac:dyDescent="0.25">
      <c r="A1282" t="s">
        <v>1676</v>
      </c>
      <c r="B1282" s="6">
        <v>2185.0889999999999</v>
      </c>
      <c r="C1282">
        <v>-8</v>
      </c>
    </row>
    <row r="1283" spans="1:3" x14ac:dyDescent="0.25">
      <c r="A1283" t="s">
        <v>1677</v>
      </c>
      <c r="B1283" s="6">
        <v>1988.9109999999998</v>
      </c>
      <c r="C1283">
        <v>-8</v>
      </c>
    </row>
    <row r="1284" spans="1:3" x14ac:dyDescent="0.25">
      <c r="A1284" t="s">
        <v>1678</v>
      </c>
      <c r="B1284" s="6">
        <v>2281.0909999999999</v>
      </c>
      <c r="C1284">
        <v>-9</v>
      </c>
    </row>
    <row r="1285" spans="1:3" x14ac:dyDescent="0.25">
      <c r="A1285" t="s">
        <v>1679</v>
      </c>
      <c r="B1285" s="6">
        <v>2087</v>
      </c>
      <c r="C1285">
        <v>-8</v>
      </c>
    </row>
    <row r="1286" spans="1:3" x14ac:dyDescent="0.25">
      <c r="A1286" t="s">
        <v>1680</v>
      </c>
      <c r="B1286" s="6">
        <v>2281.0909999999999</v>
      </c>
      <c r="C1286">
        <v>-9</v>
      </c>
    </row>
    <row r="1287" spans="1:3" x14ac:dyDescent="0.25">
      <c r="A1287" t="s">
        <v>1681</v>
      </c>
      <c r="B1287" s="6">
        <v>1988.9109999999998</v>
      </c>
      <c r="C1287">
        <v>-8</v>
      </c>
    </row>
    <row r="1288" spans="1:3" x14ac:dyDescent="0.25">
      <c r="A1288" t="s">
        <v>1682</v>
      </c>
      <c r="B1288" s="6">
        <v>2281.0909999999999</v>
      </c>
      <c r="C1288">
        <v>-9</v>
      </c>
    </row>
    <row r="1289" spans="1:3" x14ac:dyDescent="0.25">
      <c r="A1289" t="s">
        <v>1683</v>
      </c>
      <c r="B1289" s="6">
        <v>2087</v>
      </c>
      <c r="C1289">
        <v>-8</v>
      </c>
    </row>
    <row r="1290" spans="1:3" x14ac:dyDescent="0.25">
      <c r="A1290" t="s">
        <v>1684</v>
      </c>
      <c r="B1290" s="6">
        <v>1988.9109999999998</v>
      </c>
      <c r="C1290">
        <v>-8</v>
      </c>
    </row>
    <row r="1291" spans="1:3" x14ac:dyDescent="0.25">
      <c r="A1291" t="s">
        <v>1685</v>
      </c>
      <c r="B1291" s="6">
        <v>1988.9109999999998</v>
      </c>
      <c r="C1291">
        <v>-8</v>
      </c>
    </row>
    <row r="1292" spans="1:3" x14ac:dyDescent="0.25">
      <c r="A1292" t="s">
        <v>1686</v>
      </c>
      <c r="B1292" s="6">
        <v>2185.0889999999999</v>
      </c>
      <c r="C1292">
        <v>-9</v>
      </c>
    </row>
    <row r="1293" spans="1:3" x14ac:dyDescent="0.25">
      <c r="A1293" t="s">
        <v>1687</v>
      </c>
      <c r="B1293" s="6">
        <v>2087</v>
      </c>
      <c r="C1293">
        <v>-8</v>
      </c>
    </row>
    <row r="1294" spans="1:3" x14ac:dyDescent="0.25">
      <c r="A1294" t="s">
        <v>1688</v>
      </c>
      <c r="B1294" s="6">
        <v>2185.0889999999999</v>
      </c>
      <c r="C1294">
        <v>-9</v>
      </c>
    </row>
    <row r="1295" spans="1:3" x14ac:dyDescent="0.25">
      <c r="A1295" t="s">
        <v>1689</v>
      </c>
      <c r="B1295" s="6">
        <v>2185.0889999999999</v>
      </c>
      <c r="C1295">
        <v>-9</v>
      </c>
    </row>
    <row r="1296" spans="1:3" x14ac:dyDescent="0.25">
      <c r="A1296" t="s">
        <v>1690</v>
      </c>
      <c r="B1296" s="6">
        <v>2087</v>
      </c>
      <c r="C1296">
        <v>-8</v>
      </c>
    </row>
    <row r="1297" spans="1:3" x14ac:dyDescent="0.25">
      <c r="A1297" t="s">
        <v>1691</v>
      </c>
      <c r="B1297" s="6">
        <v>1988.9109999999998</v>
      </c>
      <c r="C1297">
        <v>-8</v>
      </c>
    </row>
    <row r="1298" spans="1:3" x14ac:dyDescent="0.25">
      <c r="A1298" t="s">
        <v>1692</v>
      </c>
      <c r="B1298" s="6">
        <v>2087</v>
      </c>
      <c r="C1298">
        <v>-8</v>
      </c>
    </row>
    <row r="1299" spans="1:3" x14ac:dyDescent="0.25">
      <c r="A1299" t="s">
        <v>1693</v>
      </c>
      <c r="B1299" s="6">
        <v>2087</v>
      </c>
      <c r="C1299">
        <v>-8</v>
      </c>
    </row>
    <row r="1300" spans="1:3" x14ac:dyDescent="0.25">
      <c r="A1300" t="s">
        <v>1694</v>
      </c>
      <c r="B1300" s="6">
        <v>2087</v>
      </c>
      <c r="C1300">
        <v>-8</v>
      </c>
    </row>
    <row r="1301" spans="1:3" x14ac:dyDescent="0.25">
      <c r="A1301" t="s">
        <v>1695</v>
      </c>
      <c r="B1301" s="6">
        <v>2185.0889999999999</v>
      </c>
      <c r="C1301">
        <v>-9</v>
      </c>
    </row>
    <row r="1302" spans="1:3" x14ac:dyDescent="0.25">
      <c r="A1302" t="s">
        <v>1696</v>
      </c>
      <c r="B1302" s="6">
        <v>2379.1800000000003</v>
      </c>
      <c r="C1302">
        <v>-10</v>
      </c>
    </row>
    <row r="1303" spans="1:3" x14ac:dyDescent="0.25">
      <c r="A1303" t="s">
        <v>1697</v>
      </c>
      <c r="B1303" s="6">
        <v>2185.0889999999999</v>
      </c>
      <c r="C1303">
        <v>-8</v>
      </c>
    </row>
    <row r="1304" spans="1:3" x14ac:dyDescent="0.25">
      <c r="A1304" t="s">
        <v>1698</v>
      </c>
      <c r="B1304" s="6">
        <v>1988.9109999999998</v>
      </c>
      <c r="C1304">
        <v>-8</v>
      </c>
    </row>
    <row r="1305" spans="1:3" x14ac:dyDescent="0.25">
      <c r="A1305" t="s">
        <v>1699</v>
      </c>
      <c r="B1305" s="6">
        <v>2548.2270000000003</v>
      </c>
      <c r="C1305">
        <v>-11</v>
      </c>
    </row>
    <row r="1306" spans="1:3" x14ac:dyDescent="0.25">
      <c r="A1306" t="s">
        <v>1700</v>
      </c>
      <c r="B1306" s="6">
        <v>2379.1800000000003</v>
      </c>
      <c r="C1306">
        <v>-10</v>
      </c>
    </row>
    <row r="1307" spans="1:3" x14ac:dyDescent="0.25">
      <c r="A1307" t="s">
        <v>1701</v>
      </c>
      <c r="B1307" s="6">
        <v>2281.0909999999999</v>
      </c>
      <c r="C1307">
        <v>-9</v>
      </c>
    </row>
    <row r="1308" spans="1:3" x14ac:dyDescent="0.25">
      <c r="A1308" t="s">
        <v>1702</v>
      </c>
      <c r="B1308" s="6">
        <v>2281.0909999999999</v>
      </c>
      <c r="C1308">
        <v>-9</v>
      </c>
    </row>
    <row r="1309" spans="1:3" x14ac:dyDescent="0.25">
      <c r="A1309" t="s">
        <v>1703</v>
      </c>
      <c r="B1309" s="6">
        <v>2185.0889999999999</v>
      </c>
      <c r="C1309">
        <v>-8</v>
      </c>
    </row>
    <row r="1310" spans="1:3" x14ac:dyDescent="0.25">
      <c r="A1310" t="s">
        <v>1704</v>
      </c>
      <c r="B1310" s="6">
        <v>2379.1800000000003</v>
      </c>
      <c r="C1310">
        <v>-10</v>
      </c>
    </row>
    <row r="1311" spans="1:3" x14ac:dyDescent="0.25">
      <c r="A1311" t="s">
        <v>1705</v>
      </c>
      <c r="B1311" s="6">
        <v>1988.9109999999998</v>
      </c>
      <c r="C1311">
        <v>-8</v>
      </c>
    </row>
    <row r="1312" spans="1:3" x14ac:dyDescent="0.25">
      <c r="A1312" t="s">
        <v>1706</v>
      </c>
      <c r="B1312" s="6">
        <v>1988.9109999999998</v>
      </c>
      <c r="C1312">
        <v>-8</v>
      </c>
    </row>
    <row r="1313" spans="1:3" x14ac:dyDescent="0.25">
      <c r="A1313" t="s">
        <v>1707</v>
      </c>
      <c r="B1313" s="6">
        <v>1988.9109999999998</v>
      </c>
      <c r="C1313">
        <v>-8</v>
      </c>
    </row>
    <row r="1314" spans="1:3" x14ac:dyDescent="0.25">
      <c r="A1314" t="s">
        <v>1708</v>
      </c>
      <c r="B1314" s="6">
        <v>1988.9109999999998</v>
      </c>
      <c r="C1314">
        <v>-8</v>
      </c>
    </row>
    <row r="1315" spans="1:3" x14ac:dyDescent="0.25">
      <c r="A1315" t="s">
        <v>1709</v>
      </c>
      <c r="B1315" s="6">
        <v>2087</v>
      </c>
      <c r="C1315">
        <v>-8</v>
      </c>
    </row>
    <row r="1316" spans="1:3" x14ac:dyDescent="0.25">
      <c r="A1316" t="s">
        <v>1710</v>
      </c>
      <c r="B1316" s="6">
        <v>2087</v>
      </c>
      <c r="C1316">
        <v>-8</v>
      </c>
    </row>
    <row r="1317" spans="1:3" x14ac:dyDescent="0.25">
      <c r="A1317" t="s">
        <v>1711</v>
      </c>
      <c r="B1317" s="6">
        <v>2185.0889999999999</v>
      </c>
      <c r="C1317">
        <v>-9</v>
      </c>
    </row>
    <row r="1318" spans="1:3" x14ac:dyDescent="0.25">
      <c r="A1318" t="s">
        <v>1712</v>
      </c>
      <c r="B1318" s="6">
        <v>2087</v>
      </c>
      <c r="C1318">
        <v>-8</v>
      </c>
    </row>
    <row r="1319" spans="1:3" x14ac:dyDescent="0.25">
      <c r="A1319" t="s">
        <v>1713</v>
      </c>
      <c r="B1319" s="6">
        <v>2185.0889999999999</v>
      </c>
      <c r="C1319">
        <v>-9</v>
      </c>
    </row>
    <row r="1320" spans="1:3" x14ac:dyDescent="0.25">
      <c r="A1320" t="s">
        <v>1714</v>
      </c>
      <c r="B1320" s="6">
        <v>1988.9109999999998</v>
      </c>
      <c r="C1320">
        <v>-8</v>
      </c>
    </row>
    <row r="1321" spans="1:3" x14ac:dyDescent="0.25">
      <c r="A1321" t="s">
        <v>1715</v>
      </c>
      <c r="B1321" s="6">
        <v>2087</v>
      </c>
      <c r="C1321">
        <v>-8</v>
      </c>
    </row>
    <row r="1322" spans="1:3" x14ac:dyDescent="0.25">
      <c r="A1322" t="s">
        <v>1716</v>
      </c>
      <c r="B1322" s="6">
        <v>1892.9090000000001</v>
      </c>
      <c r="C1322">
        <v>-7</v>
      </c>
    </row>
    <row r="1323" spans="1:3" x14ac:dyDescent="0.25">
      <c r="A1323" t="s">
        <v>1717</v>
      </c>
      <c r="B1323" s="6">
        <v>2790.319</v>
      </c>
      <c r="C1323">
        <v>-11</v>
      </c>
    </row>
    <row r="1324" spans="1:3" x14ac:dyDescent="0.25">
      <c r="A1324" t="s">
        <v>1718</v>
      </c>
      <c r="B1324" s="6">
        <v>2379.1800000000003</v>
      </c>
      <c r="C1324">
        <v>-10</v>
      </c>
    </row>
    <row r="1325" spans="1:3" x14ac:dyDescent="0.25">
      <c r="A1325" t="s">
        <v>1719</v>
      </c>
      <c r="B1325" s="6">
        <v>1892.9090000000001</v>
      </c>
      <c r="C1325">
        <v>-8</v>
      </c>
    </row>
    <row r="1326" spans="1:3" x14ac:dyDescent="0.25">
      <c r="A1326" t="s">
        <v>1720</v>
      </c>
      <c r="B1326" s="6">
        <v>1892.9090000000001</v>
      </c>
      <c r="C1326">
        <v>-7</v>
      </c>
    </row>
    <row r="1327" spans="1:3" x14ac:dyDescent="0.25">
      <c r="A1327" t="s">
        <v>1721</v>
      </c>
      <c r="B1327" s="6">
        <v>2087</v>
      </c>
      <c r="C1327">
        <v>-8</v>
      </c>
    </row>
    <row r="1328" spans="1:3" x14ac:dyDescent="0.25">
      <c r="A1328" t="s">
        <v>1722</v>
      </c>
      <c r="B1328" s="6">
        <v>1988.9109999999998</v>
      </c>
      <c r="C1328">
        <v>-8</v>
      </c>
    </row>
    <row r="1329" spans="1:3" x14ac:dyDescent="0.25">
      <c r="A1329" t="s">
        <v>1723</v>
      </c>
      <c r="B1329" s="6">
        <v>1988.9109999999998</v>
      </c>
      <c r="C1329">
        <v>-8</v>
      </c>
    </row>
    <row r="1330" spans="1:3" x14ac:dyDescent="0.25">
      <c r="A1330" t="s">
        <v>1724</v>
      </c>
      <c r="B1330" s="6">
        <v>1988.9109999999998</v>
      </c>
      <c r="C1330">
        <v>-8</v>
      </c>
    </row>
    <row r="1331" spans="1:3" x14ac:dyDescent="0.25">
      <c r="A1331" t="s">
        <v>1725</v>
      </c>
      <c r="B1331" s="6">
        <v>2087</v>
      </c>
      <c r="C1331">
        <v>-8</v>
      </c>
    </row>
    <row r="1332" spans="1:3" x14ac:dyDescent="0.25">
      <c r="A1332" t="s">
        <v>1726</v>
      </c>
      <c r="B1332" s="6">
        <v>2185.0889999999999</v>
      </c>
      <c r="C1332">
        <v>-9</v>
      </c>
    </row>
    <row r="1333" spans="1:3" x14ac:dyDescent="0.25">
      <c r="A1333" t="s">
        <v>1727</v>
      </c>
      <c r="B1333" s="6">
        <v>2185.0889999999999</v>
      </c>
      <c r="C1333">
        <v>-9</v>
      </c>
    </row>
    <row r="1334" spans="1:3" x14ac:dyDescent="0.25">
      <c r="A1334" t="s">
        <v>1728</v>
      </c>
      <c r="B1334" s="6">
        <v>2185.0889999999999</v>
      </c>
      <c r="C1334">
        <v>-8</v>
      </c>
    </row>
    <row r="1335" spans="1:3" x14ac:dyDescent="0.25">
      <c r="A1335" t="s">
        <v>1729</v>
      </c>
      <c r="B1335" s="6">
        <v>2087</v>
      </c>
      <c r="C1335">
        <v>-8</v>
      </c>
    </row>
    <row r="1336" spans="1:3" x14ac:dyDescent="0.25">
      <c r="A1336" t="s">
        <v>1730</v>
      </c>
      <c r="B1336" s="6">
        <v>2087</v>
      </c>
      <c r="C1336">
        <v>-9</v>
      </c>
    </row>
    <row r="1337" spans="1:3" x14ac:dyDescent="0.25">
      <c r="A1337" t="s">
        <v>1731</v>
      </c>
      <c r="B1337" s="6">
        <v>2281.0909999999999</v>
      </c>
      <c r="C1337">
        <v>-10</v>
      </c>
    </row>
    <row r="1338" spans="1:3" x14ac:dyDescent="0.25">
      <c r="A1338" t="s">
        <v>1732</v>
      </c>
      <c r="B1338" s="6">
        <v>2790.319</v>
      </c>
      <c r="C1338">
        <v>-10</v>
      </c>
    </row>
    <row r="1339" spans="1:3" x14ac:dyDescent="0.25">
      <c r="A1339" t="s">
        <v>1733</v>
      </c>
      <c r="B1339" s="6">
        <v>2548.2270000000003</v>
      </c>
      <c r="C1339">
        <v>-10</v>
      </c>
    </row>
    <row r="1340" spans="1:3" x14ac:dyDescent="0.25">
      <c r="A1340" t="s">
        <v>1734</v>
      </c>
      <c r="B1340" s="6">
        <v>2185.0889999999999</v>
      </c>
      <c r="C1340">
        <v>-9</v>
      </c>
    </row>
    <row r="1341" spans="1:3" x14ac:dyDescent="0.25">
      <c r="A1341" t="s">
        <v>1735</v>
      </c>
      <c r="B1341" s="6">
        <v>2185.0889999999999</v>
      </c>
      <c r="C1341">
        <v>-9</v>
      </c>
    </row>
    <row r="1342" spans="1:3" x14ac:dyDescent="0.25">
      <c r="A1342" t="s">
        <v>1736</v>
      </c>
      <c r="B1342" s="6">
        <v>2087</v>
      </c>
      <c r="C1342">
        <v>-8</v>
      </c>
    </row>
    <row r="1343" spans="1:3" x14ac:dyDescent="0.25">
      <c r="A1343" t="s">
        <v>1737</v>
      </c>
      <c r="B1343" s="6">
        <v>2087</v>
      </c>
      <c r="C1343">
        <v>-8</v>
      </c>
    </row>
    <row r="1344" spans="1:3" x14ac:dyDescent="0.25">
      <c r="A1344" t="s">
        <v>1738</v>
      </c>
      <c r="B1344" s="6">
        <v>2379.1800000000003</v>
      </c>
      <c r="C1344">
        <v>-10</v>
      </c>
    </row>
    <row r="1345" spans="1:3" x14ac:dyDescent="0.25">
      <c r="A1345" t="s">
        <v>1739</v>
      </c>
      <c r="B1345" s="6">
        <v>2548.2270000000003</v>
      </c>
      <c r="C1345">
        <v>-10</v>
      </c>
    </row>
    <row r="1346" spans="1:3" x14ac:dyDescent="0.25">
      <c r="A1346" t="s">
        <v>1740</v>
      </c>
      <c r="B1346" s="6">
        <v>2281.0909999999999</v>
      </c>
      <c r="C1346">
        <v>-9</v>
      </c>
    </row>
    <row r="1347" spans="1:3" x14ac:dyDescent="0.25">
      <c r="A1347" t="s">
        <v>1741</v>
      </c>
      <c r="B1347" s="6">
        <v>2087</v>
      </c>
      <c r="C1347">
        <v>-8</v>
      </c>
    </row>
    <row r="1348" spans="1:3" x14ac:dyDescent="0.25">
      <c r="A1348" t="s">
        <v>1742</v>
      </c>
      <c r="B1348" s="6">
        <v>2281.0909999999999</v>
      </c>
      <c r="C1348">
        <v>-9</v>
      </c>
    </row>
    <row r="1349" spans="1:3" x14ac:dyDescent="0.25">
      <c r="A1349" t="s">
        <v>1743</v>
      </c>
      <c r="B1349" s="6">
        <v>2087</v>
      </c>
      <c r="C1349">
        <v>-8</v>
      </c>
    </row>
    <row r="1350" spans="1:3" x14ac:dyDescent="0.25">
      <c r="A1350" t="s">
        <v>1744</v>
      </c>
      <c r="B1350" s="6">
        <v>2185.0889999999999</v>
      </c>
      <c r="C1350">
        <v>-8</v>
      </c>
    </row>
    <row r="1351" spans="1:3" x14ac:dyDescent="0.25">
      <c r="A1351" t="s">
        <v>1745</v>
      </c>
      <c r="B1351" s="6">
        <v>2087</v>
      </c>
      <c r="C1351">
        <v>-8</v>
      </c>
    </row>
    <row r="1352" spans="1:3" x14ac:dyDescent="0.25">
      <c r="A1352" t="s">
        <v>1746</v>
      </c>
      <c r="B1352" s="6">
        <v>2185.0889999999999</v>
      </c>
      <c r="C1352">
        <v>-9</v>
      </c>
    </row>
    <row r="1353" spans="1:3" x14ac:dyDescent="0.25">
      <c r="A1353" t="s">
        <v>1746</v>
      </c>
      <c r="B1353" s="6">
        <v>2087</v>
      </c>
      <c r="C1353">
        <v>-8</v>
      </c>
    </row>
    <row r="1354" spans="1:3" x14ac:dyDescent="0.25">
      <c r="A1354" t="s">
        <v>1747</v>
      </c>
      <c r="B1354" s="6">
        <v>2087</v>
      </c>
      <c r="C1354">
        <v>-8</v>
      </c>
    </row>
    <row r="1355" spans="1:3" x14ac:dyDescent="0.25">
      <c r="A1355" t="s">
        <v>1748</v>
      </c>
      <c r="B1355" s="6">
        <v>2185.0889999999999</v>
      </c>
      <c r="C1355">
        <v>-8</v>
      </c>
    </row>
    <row r="1356" spans="1:3" x14ac:dyDescent="0.25">
      <c r="A1356" t="s">
        <v>1749</v>
      </c>
      <c r="B1356" s="6">
        <v>2281.0909999999999</v>
      </c>
      <c r="C1356">
        <v>-9</v>
      </c>
    </row>
    <row r="1357" spans="1:3" x14ac:dyDescent="0.25">
      <c r="A1357" t="s">
        <v>1750</v>
      </c>
      <c r="B1357" s="6">
        <v>2185.0889999999999</v>
      </c>
      <c r="C1357">
        <v>-9</v>
      </c>
    </row>
    <row r="1358" spans="1:3" x14ac:dyDescent="0.25">
      <c r="A1358" t="s">
        <v>1751</v>
      </c>
      <c r="B1358" s="6">
        <v>2548.2270000000003</v>
      </c>
      <c r="C1358">
        <v>-11</v>
      </c>
    </row>
    <row r="1359" spans="1:3" x14ac:dyDescent="0.25">
      <c r="A1359" t="s">
        <v>1752</v>
      </c>
      <c r="B1359" s="6">
        <v>2790.319</v>
      </c>
      <c r="C1359">
        <v>-11</v>
      </c>
    </row>
    <row r="1360" spans="1:3" x14ac:dyDescent="0.25">
      <c r="A1360" t="s">
        <v>1753</v>
      </c>
      <c r="B1360" s="6">
        <v>2790.319</v>
      </c>
      <c r="C1360">
        <v>-11</v>
      </c>
    </row>
    <row r="1361" spans="1:3" x14ac:dyDescent="0.25">
      <c r="A1361" t="s">
        <v>1754</v>
      </c>
      <c r="B1361" s="6">
        <v>2087</v>
      </c>
      <c r="C1361">
        <v>-9</v>
      </c>
    </row>
    <row r="1362" spans="1:3" x14ac:dyDescent="0.25">
      <c r="A1362" t="s">
        <v>1755</v>
      </c>
      <c r="B1362" s="6">
        <v>1988.9109999999998</v>
      </c>
      <c r="C1362">
        <v>-8</v>
      </c>
    </row>
    <row r="1363" spans="1:3" x14ac:dyDescent="0.25">
      <c r="A1363" t="s">
        <v>1756</v>
      </c>
      <c r="B1363" s="6">
        <v>2087</v>
      </c>
      <c r="C1363">
        <v>-8</v>
      </c>
    </row>
    <row r="1364" spans="1:3" x14ac:dyDescent="0.25">
      <c r="A1364" t="s">
        <v>1757</v>
      </c>
      <c r="B1364" s="6">
        <v>2087</v>
      </c>
      <c r="C1364">
        <v>-8</v>
      </c>
    </row>
    <row r="1365" spans="1:3" x14ac:dyDescent="0.25">
      <c r="A1365" t="s">
        <v>1758</v>
      </c>
      <c r="B1365" s="6">
        <v>2185.0889999999999</v>
      </c>
      <c r="C1365">
        <v>-9</v>
      </c>
    </row>
    <row r="1366" spans="1:3" x14ac:dyDescent="0.25">
      <c r="A1366" t="s">
        <v>1759</v>
      </c>
      <c r="B1366" s="6">
        <v>1988.9109999999998</v>
      </c>
      <c r="C1366">
        <v>-8</v>
      </c>
    </row>
    <row r="1367" spans="1:3" x14ac:dyDescent="0.25">
      <c r="A1367" t="s">
        <v>1760</v>
      </c>
      <c r="B1367" s="6">
        <v>2087</v>
      </c>
      <c r="C1367">
        <v>-8</v>
      </c>
    </row>
    <row r="1368" spans="1:3" x14ac:dyDescent="0.25">
      <c r="A1368" t="s">
        <v>1761</v>
      </c>
      <c r="B1368" s="6">
        <v>2548.2270000000003</v>
      </c>
      <c r="C1368">
        <v>-11</v>
      </c>
    </row>
    <row r="1369" spans="1:3" x14ac:dyDescent="0.25">
      <c r="A1369" t="s">
        <v>1762</v>
      </c>
      <c r="B1369" s="6">
        <v>2185.0889999999999</v>
      </c>
      <c r="C1369">
        <v>-9</v>
      </c>
    </row>
    <row r="1370" spans="1:3" x14ac:dyDescent="0.25">
      <c r="A1370" t="s">
        <v>1763</v>
      </c>
      <c r="B1370" s="6">
        <v>2185.0889999999999</v>
      </c>
      <c r="C1370">
        <v>-9</v>
      </c>
    </row>
    <row r="1371" spans="1:3" x14ac:dyDescent="0.25">
      <c r="A1371" t="s">
        <v>1764</v>
      </c>
      <c r="B1371" s="6">
        <v>1988.9109999999998</v>
      </c>
      <c r="C1371">
        <v>-8</v>
      </c>
    </row>
    <row r="1372" spans="1:3" x14ac:dyDescent="0.25">
      <c r="A1372" t="s">
        <v>1765</v>
      </c>
      <c r="B1372" s="6">
        <v>2087</v>
      </c>
      <c r="C1372">
        <v>-8</v>
      </c>
    </row>
    <row r="1373" spans="1:3" x14ac:dyDescent="0.25">
      <c r="A1373" t="s">
        <v>1766</v>
      </c>
      <c r="B1373" s="6">
        <v>2185.0889999999999</v>
      </c>
      <c r="C1373">
        <v>-9</v>
      </c>
    </row>
    <row r="1374" spans="1:3" x14ac:dyDescent="0.25">
      <c r="A1374" t="s">
        <v>1767</v>
      </c>
      <c r="B1374" s="6">
        <v>2185.0889999999999</v>
      </c>
      <c r="C1374">
        <v>-9</v>
      </c>
    </row>
    <row r="1375" spans="1:3" x14ac:dyDescent="0.25">
      <c r="A1375" t="s">
        <v>1768</v>
      </c>
      <c r="B1375" s="6">
        <v>2087</v>
      </c>
      <c r="C1375">
        <v>-9</v>
      </c>
    </row>
    <row r="1376" spans="1:3" x14ac:dyDescent="0.25">
      <c r="A1376" t="s">
        <v>1769</v>
      </c>
      <c r="B1376" s="6">
        <v>1988.9109999999998</v>
      </c>
      <c r="C1376">
        <v>-8</v>
      </c>
    </row>
    <row r="1377" spans="1:3" x14ac:dyDescent="0.25">
      <c r="A1377" t="s">
        <v>1770</v>
      </c>
      <c r="B1377" s="6">
        <v>2087</v>
      </c>
      <c r="C1377">
        <v>-9</v>
      </c>
    </row>
    <row r="1378" spans="1:3" x14ac:dyDescent="0.25">
      <c r="A1378" t="s">
        <v>1771</v>
      </c>
      <c r="B1378" s="6">
        <v>2087</v>
      </c>
      <c r="C1378">
        <v>-8</v>
      </c>
    </row>
    <row r="1379" spans="1:3" x14ac:dyDescent="0.25">
      <c r="A1379" t="s">
        <v>1772</v>
      </c>
      <c r="B1379" s="6">
        <v>2379.1800000000003</v>
      </c>
      <c r="C1379">
        <v>-10</v>
      </c>
    </row>
    <row r="1380" spans="1:3" x14ac:dyDescent="0.25">
      <c r="A1380" t="s">
        <v>1773</v>
      </c>
      <c r="B1380" s="6">
        <v>2087</v>
      </c>
      <c r="C1380">
        <v>-8</v>
      </c>
    </row>
    <row r="1381" spans="1:3" x14ac:dyDescent="0.25">
      <c r="A1381" t="s">
        <v>1774</v>
      </c>
      <c r="B1381" s="6">
        <v>2548.2270000000003</v>
      </c>
      <c r="C1381">
        <v>-11</v>
      </c>
    </row>
    <row r="1382" spans="1:3" x14ac:dyDescent="0.25">
      <c r="A1382" t="s">
        <v>1775</v>
      </c>
      <c r="B1382" s="6">
        <v>2185.0889999999999</v>
      </c>
      <c r="C1382">
        <v>-9</v>
      </c>
    </row>
    <row r="1383" spans="1:3" x14ac:dyDescent="0.25">
      <c r="A1383" t="s">
        <v>1776</v>
      </c>
      <c r="B1383" s="6">
        <v>2087</v>
      </c>
      <c r="C1383">
        <v>-9</v>
      </c>
    </row>
    <row r="1384" spans="1:3" x14ac:dyDescent="0.25">
      <c r="A1384" t="s">
        <v>1777</v>
      </c>
      <c r="B1384" s="6">
        <v>2281.0909999999999</v>
      </c>
      <c r="C1384">
        <v>-10</v>
      </c>
    </row>
    <row r="1385" spans="1:3" x14ac:dyDescent="0.25">
      <c r="A1385" t="s">
        <v>1778</v>
      </c>
      <c r="B1385" s="6">
        <v>2087</v>
      </c>
      <c r="C1385">
        <v>-8</v>
      </c>
    </row>
    <row r="1386" spans="1:3" x14ac:dyDescent="0.25">
      <c r="A1386" t="s">
        <v>1779</v>
      </c>
      <c r="B1386" s="6">
        <v>2087</v>
      </c>
      <c r="C1386">
        <v>-8</v>
      </c>
    </row>
    <row r="1387" spans="1:3" x14ac:dyDescent="0.25">
      <c r="A1387" t="s">
        <v>1780</v>
      </c>
      <c r="B1387" s="6">
        <v>2087</v>
      </c>
      <c r="C1387">
        <v>-9</v>
      </c>
    </row>
    <row r="1388" spans="1:3" x14ac:dyDescent="0.25">
      <c r="A1388" t="s">
        <v>1781</v>
      </c>
      <c r="B1388" s="6">
        <v>2087</v>
      </c>
      <c r="C1388">
        <v>-8</v>
      </c>
    </row>
    <row r="1389" spans="1:3" x14ac:dyDescent="0.25">
      <c r="A1389" t="s">
        <v>1782</v>
      </c>
      <c r="B1389" s="6">
        <v>1988.9109999999998</v>
      </c>
      <c r="C1389">
        <v>-8</v>
      </c>
    </row>
    <row r="1390" spans="1:3" x14ac:dyDescent="0.25">
      <c r="A1390" t="s">
        <v>1783</v>
      </c>
      <c r="B1390" s="6">
        <v>2087</v>
      </c>
      <c r="C1390">
        <v>-8</v>
      </c>
    </row>
    <row r="1391" spans="1:3" x14ac:dyDescent="0.25">
      <c r="A1391" t="s">
        <v>1784</v>
      </c>
      <c r="B1391" s="6">
        <v>1988.9109999999998</v>
      </c>
      <c r="C1391">
        <v>-8</v>
      </c>
    </row>
    <row r="1392" spans="1:3" x14ac:dyDescent="0.25">
      <c r="A1392" t="s">
        <v>1785</v>
      </c>
      <c r="B1392" s="6">
        <v>2281.0909999999999</v>
      </c>
      <c r="C1392">
        <v>-10</v>
      </c>
    </row>
    <row r="1393" spans="1:3" x14ac:dyDescent="0.25">
      <c r="A1393" t="s">
        <v>1786</v>
      </c>
      <c r="B1393" s="6">
        <v>1892.9090000000001</v>
      </c>
      <c r="C1393">
        <v>-7</v>
      </c>
    </row>
    <row r="1394" spans="1:3" x14ac:dyDescent="0.25">
      <c r="A1394" t="s">
        <v>1787</v>
      </c>
      <c r="B1394" s="6">
        <v>2281.0909999999999</v>
      </c>
      <c r="C1394">
        <v>-9</v>
      </c>
    </row>
    <row r="1395" spans="1:3" x14ac:dyDescent="0.25">
      <c r="A1395" t="s">
        <v>1788</v>
      </c>
      <c r="B1395" s="6">
        <v>2185.0889999999999</v>
      </c>
      <c r="C1395">
        <v>-9</v>
      </c>
    </row>
    <row r="1396" spans="1:3" x14ac:dyDescent="0.25">
      <c r="A1396" t="s">
        <v>1789</v>
      </c>
      <c r="B1396" s="6">
        <v>1988.9109999999998</v>
      </c>
      <c r="C1396">
        <v>-8</v>
      </c>
    </row>
    <row r="1397" spans="1:3" x14ac:dyDescent="0.25">
      <c r="A1397" t="s">
        <v>1790</v>
      </c>
      <c r="B1397" s="6">
        <v>1988.9109999999998</v>
      </c>
      <c r="C1397">
        <v>-8</v>
      </c>
    </row>
    <row r="1398" spans="1:3" x14ac:dyDescent="0.25">
      <c r="A1398" t="s">
        <v>1791</v>
      </c>
      <c r="B1398" s="6">
        <v>2281.0909999999999</v>
      </c>
      <c r="C1398">
        <v>-9</v>
      </c>
    </row>
    <row r="1399" spans="1:3" x14ac:dyDescent="0.25">
      <c r="A1399" t="s">
        <v>1792</v>
      </c>
      <c r="B1399" s="6">
        <v>1988.9109999999998</v>
      </c>
      <c r="C1399">
        <v>-8</v>
      </c>
    </row>
    <row r="1400" spans="1:3" x14ac:dyDescent="0.25">
      <c r="A1400" t="s">
        <v>1793</v>
      </c>
      <c r="B1400" s="6">
        <v>2185.0889999999999</v>
      </c>
      <c r="C1400">
        <v>-9</v>
      </c>
    </row>
    <row r="1401" spans="1:3" x14ac:dyDescent="0.25">
      <c r="A1401" t="s">
        <v>1794</v>
      </c>
      <c r="B1401" s="6">
        <v>2087</v>
      </c>
      <c r="C1401">
        <v>-9</v>
      </c>
    </row>
    <row r="1402" spans="1:3" x14ac:dyDescent="0.25">
      <c r="A1402" t="s">
        <v>1795</v>
      </c>
      <c r="B1402" s="6">
        <v>1988.9109999999998</v>
      </c>
      <c r="C1402">
        <v>-8</v>
      </c>
    </row>
    <row r="1403" spans="1:3" x14ac:dyDescent="0.25">
      <c r="A1403" t="s">
        <v>1796</v>
      </c>
      <c r="B1403" s="6">
        <v>1988.9109999999998</v>
      </c>
      <c r="C1403">
        <v>-8</v>
      </c>
    </row>
    <row r="1404" spans="1:3" x14ac:dyDescent="0.25">
      <c r="A1404" t="s">
        <v>1797</v>
      </c>
      <c r="B1404" s="6">
        <v>2087</v>
      </c>
      <c r="C1404">
        <v>-9</v>
      </c>
    </row>
    <row r="1405" spans="1:3" x14ac:dyDescent="0.25">
      <c r="A1405" t="s">
        <v>1798</v>
      </c>
      <c r="B1405" s="6">
        <v>1892.9090000000001</v>
      </c>
      <c r="C1405">
        <v>-7</v>
      </c>
    </row>
    <row r="1406" spans="1:3" x14ac:dyDescent="0.25">
      <c r="A1406" t="s">
        <v>1799</v>
      </c>
      <c r="B1406" s="6">
        <v>2087</v>
      </c>
      <c r="C1406">
        <v>-8</v>
      </c>
    </row>
    <row r="1407" spans="1:3" x14ac:dyDescent="0.25">
      <c r="A1407" t="s">
        <v>1800</v>
      </c>
      <c r="B1407" s="6">
        <v>2185.0889999999999</v>
      </c>
      <c r="C1407">
        <v>-9</v>
      </c>
    </row>
    <row r="1408" spans="1:3" x14ac:dyDescent="0.25">
      <c r="A1408" t="s">
        <v>1801</v>
      </c>
      <c r="B1408" s="6">
        <v>2790.319</v>
      </c>
      <c r="C1408">
        <v>-11</v>
      </c>
    </row>
    <row r="1409" spans="1:3" x14ac:dyDescent="0.25">
      <c r="A1409" t="s">
        <v>1802</v>
      </c>
      <c r="B1409" s="6">
        <v>2379.1800000000003</v>
      </c>
      <c r="C1409">
        <v>-10</v>
      </c>
    </row>
    <row r="1410" spans="1:3" x14ac:dyDescent="0.25">
      <c r="A1410" t="s">
        <v>1803</v>
      </c>
      <c r="B1410" s="6">
        <v>2548.2270000000003</v>
      </c>
      <c r="C1410">
        <v>-10</v>
      </c>
    </row>
    <row r="1411" spans="1:3" x14ac:dyDescent="0.25">
      <c r="A1411" t="s">
        <v>1804</v>
      </c>
      <c r="B1411" s="6">
        <v>2185.0889999999999</v>
      </c>
      <c r="C1411">
        <v>-9</v>
      </c>
    </row>
    <row r="1412" spans="1:3" x14ac:dyDescent="0.25">
      <c r="A1412" t="s">
        <v>1805</v>
      </c>
      <c r="B1412" s="6">
        <v>1988.9109999999998</v>
      </c>
      <c r="C1412">
        <v>-8</v>
      </c>
    </row>
    <row r="1413" spans="1:3" x14ac:dyDescent="0.25">
      <c r="A1413" t="s">
        <v>1806</v>
      </c>
      <c r="B1413" s="6">
        <v>2548.2270000000003</v>
      </c>
      <c r="C1413">
        <v>-11</v>
      </c>
    </row>
    <row r="1414" spans="1:3" x14ac:dyDescent="0.25">
      <c r="A1414" t="s">
        <v>1806</v>
      </c>
      <c r="B1414" s="6">
        <v>2185.0889999999999</v>
      </c>
      <c r="C1414">
        <v>-9</v>
      </c>
    </row>
    <row r="1415" spans="1:3" x14ac:dyDescent="0.25">
      <c r="A1415" t="s">
        <v>1807</v>
      </c>
      <c r="B1415" s="6">
        <v>2790.319</v>
      </c>
      <c r="C1415">
        <v>-11</v>
      </c>
    </row>
    <row r="1416" spans="1:3" x14ac:dyDescent="0.25">
      <c r="A1416" t="s">
        <v>1808</v>
      </c>
      <c r="B1416" s="6">
        <v>2087</v>
      </c>
      <c r="C1416">
        <v>-8</v>
      </c>
    </row>
    <row r="1417" spans="1:3" x14ac:dyDescent="0.25">
      <c r="A1417" t="s">
        <v>1809</v>
      </c>
      <c r="B1417" s="6">
        <v>2790.319</v>
      </c>
      <c r="C1417">
        <v>-11</v>
      </c>
    </row>
    <row r="1418" spans="1:3" x14ac:dyDescent="0.25">
      <c r="A1418" t="s">
        <v>1810</v>
      </c>
      <c r="B1418" s="6">
        <v>2379.1800000000003</v>
      </c>
      <c r="C1418">
        <v>-10</v>
      </c>
    </row>
    <row r="1419" spans="1:3" x14ac:dyDescent="0.25">
      <c r="A1419" t="s">
        <v>1811</v>
      </c>
      <c r="B1419" s="6">
        <v>2185.0889999999999</v>
      </c>
      <c r="C1419">
        <v>-9</v>
      </c>
    </row>
    <row r="1420" spans="1:3" x14ac:dyDescent="0.25">
      <c r="A1420" t="s">
        <v>1812</v>
      </c>
      <c r="B1420" s="6">
        <v>2087</v>
      </c>
      <c r="C1420">
        <v>-8</v>
      </c>
    </row>
    <row r="1421" spans="1:3" x14ac:dyDescent="0.25">
      <c r="A1421" t="s">
        <v>1813</v>
      </c>
      <c r="B1421" s="6">
        <v>1988.9109999999998</v>
      </c>
      <c r="C1421">
        <v>-8</v>
      </c>
    </row>
    <row r="1422" spans="1:3" x14ac:dyDescent="0.25">
      <c r="A1422" t="s">
        <v>1814</v>
      </c>
      <c r="B1422" s="6">
        <v>2379.1800000000003</v>
      </c>
      <c r="C1422">
        <v>-10</v>
      </c>
    </row>
    <row r="1423" spans="1:3" x14ac:dyDescent="0.25">
      <c r="A1423" t="s">
        <v>1815</v>
      </c>
      <c r="B1423" s="6">
        <v>2087</v>
      </c>
      <c r="C1423">
        <v>-8</v>
      </c>
    </row>
    <row r="1424" spans="1:3" x14ac:dyDescent="0.25">
      <c r="A1424" t="s">
        <v>1816</v>
      </c>
      <c r="B1424" s="6">
        <v>1988.9109999999998</v>
      </c>
      <c r="C1424">
        <v>-8</v>
      </c>
    </row>
    <row r="1425" spans="1:3" x14ac:dyDescent="0.25">
      <c r="A1425" t="s">
        <v>1817</v>
      </c>
      <c r="B1425" s="6">
        <v>2548.2270000000003</v>
      </c>
      <c r="C1425">
        <v>-11</v>
      </c>
    </row>
    <row r="1426" spans="1:3" x14ac:dyDescent="0.25">
      <c r="A1426" t="s">
        <v>1818</v>
      </c>
      <c r="B1426" s="6">
        <v>2548.2270000000003</v>
      </c>
      <c r="C1426">
        <v>-11</v>
      </c>
    </row>
    <row r="1427" spans="1:3" x14ac:dyDescent="0.25">
      <c r="A1427" t="s">
        <v>1819</v>
      </c>
      <c r="B1427" s="6">
        <v>2185.0889999999999</v>
      </c>
      <c r="C1427">
        <v>-9</v>
      </c>
    </row>
    <row r="1428" spans="1:3" x14ac:dyDescent="0.25">
      <c r="A1428" t="s">
        <v>1820</v>
      </c>
      <c r="B1428" s="6">
        <v>2379.1800000000003</v>
      </c>
      <c r="C1428">
        <v>-10</v>
      </c>
    </row>
    <row r="1429" spans="1:3" x14ac:dyDescent="0.25">
      <c r="A1429" t="s">
        <v>1821</v>
      </c>
      <c r="B1429" s="6">
        <v>1988.9109999999998</v>
      </c>
      <c r="C1429">
        <v>-8</v>
      </c>
    </row>
    <row r="1430" spans="1:3" x14ac:dyDescent="0.25">
      <c r="A1430" t="s">
        <v>1822</v>
      </c>
      <c r="B1430" s="6">
        <v>2087</v>
      </c>
      <c r="C1430">
        <v>-8</v>
      </c>
    </row>
    <row r="1431" spans="1:3" x14ac:dyDescent="0.25">
      <c r="A1431" t="s">
        <v>1823</v>
      </c>
      <c r="B1431" s="6">
        <v>2281.0909999999999</v>
      </c>
      <c r="C1431">
        <v>-9</v>
      </c>
    </row>
    <row r="1432" spans="1:3" x14ac:dyDescent="0.25">
      <c r="A1432" t="s">
        <v>1824</v>
      </c>
      <c r="B1432" s="6">
        <v>2281.0909999999999</v>
      </c>
      <c r="C1432">
        <v>-9</v>
      </c>
    </row>
    <row r="1433" spans="1:3" x14ac:dyDescent="0.25">
      <c r="A1433" t="s">
        <v>1825</v>
      </c>
      <c r="B1433" s="6">
        <v>2087</v>
      </c>
      <c r="C1433">
        <v>-8</v>
      </c>
    </row>
    <row r="1434" spans="1:3" x14ac:dyDescent="0.25">
      <c r="A1434" t="s">
        <v>1826</v>
      </c>
      <c r="B1434" s="6">
        <v>1988.9109999999998</v>
      </c>
      <c r="C1434">
        <v>-8</v>
      </c>
    </row>
    <row r="1435" spans="1:3" x14ac:dyDescent="0.25">
      <c r="A1435" t="s">
        <v>1827</v>
      </c>
      <c r="B1435" s="6">
        <v>2087</v>
      </c>
      <c r="C1435">
        <v>-9</v>
      </c>
    </row>
    <row r="1436" spans="1:3" x14ac:dyDescent="0.25">
      <c r="A1436" t="s">
        <v>1828</v>
      </c>
      <c r="B1436" s="6">
        <v>2281.0909999999999</v>
      </c>
      <c r="C1436">
        <v>-9</v>
      </c>
    </row>
    <row r="1437" spans="1:3" x14ac:dyDescent="0.25">
      <c r="A1437" t="s">
        <v>1829</v>
      </c>
      <c r="B1437" s="6">
        <v>2185.0889999999999</v>
      </c>
      <c r="C1437">
        <v>-9</v>
      </c>
    </row>
    <row r="1438" spans="1:3" x14ac:dyDescent="0.25">
      <c r="A1438" t="s">
        <v>1830</v>
      </c>
      <c r="B1438" s="6">
        <v>2087</v>
      </c>
      <c r="C1438">
        <v>-8</v>
      </c>
    </row>
    <row r="1439" spans="1:3" x14ac:dyDescent="0.25">
      <c r="A1439" t="s">
        <v>1831</v>
      </c>
      <c r="B1439" s="6">
        <v>2087</v>
      </c>
      <c r="C1439">
        <v>-8</v>
      </c>
    </row>
    <row r="1440" spans="1:3" x14ac:dyDescent="0.25">
      <c r="A1440" t="s">
        <v>1832</v>
      </c>
      <c r="B1440" s="6">
        <v>2185.0889999999999</v>
      </c>
      <c r="C1440">
        <v>-9</v>
      </c>
    </row>
    <row r="1441" spans="1:3" x14ac:dyDescent="0.25">
      <c r="A1441" t="s">
        <v>1833</v>
      </c>
      <c r="B1441" s="6">
        <v>2185.0889999999999</v>
      </c>
      <c r="C1441">
        <v>-8</v>
      </c>
    </row>
    <row r="1442" spans="1:3" x14ac:dyDescent="0.25">
      <c r="A1442" t="s">
        <v>1834</v>
      </c>
      <c r="B1442" s="6">
        <v>2548.2270000000003</v>
      </c>
      <c r="C1442">
        <v>-11</v>
      </c>
    </row>
    <row r="1443" spans="1:3" x14ac:dyDescent="0.25">
      <c r="A1443" t="s">
        <v>1835</v>
      </c>
      <c r="B1443" s="6">
        <v>2087</v>
      </c>
      <c r="C1443">
        <v>-8</v>
      </c>
    </row>
    <row r="1444" spans="1:3" x14ac:dyDescent="0.25">
      <c r="A1444" t="s">
        <v>1835</v>
      </c>
      <c r="B1444" s="6">
        <v>1988.9109999999998</v>
      </c>
      <c r="C1444">
        <v>-8</v>
      </c>
    </row>
    <row r="1445" spans="1:3" x14ac:dyDescent="0.25">
      <c r="A1445" t="s">
        <v>1836</v>
      </c>
      <c r="B1445" s="6">
        <v>2281.0909999999999</v>
      </c>
      <c r="C1445">
        <v>-10</v>
      </c>
    </row>
    <row r="1446" spans="1:3" x14ac:dyDescent="0.25">
      <c r="A1446" t="s">
        <v>1837</v>
      </c>
      <c r="B1446" s="6">
        <v>2379.1800000000003</v>
      </c>
      <c r="C1446">
        <v>-11</v>
      </c>
    </row>
    <row r="1447" spans="1:3" x14ac:dyDescent="0.25">
      <c r="A1447" t="s">
        <v>1838</v>
      </c>
      <c r="B1447" s="6">
        <v>2281.0909999999999</v>
      </c>
      <c r="C1447">
        <v>-10</v>
      </c>
    </row>
    <row r="1448" spans="1:3" x14ac:dyDescent="0.25">
      <c r="A1448" t="s">
        <v>1839</v>
      </c>
      <c r="B1448" s="6">
        <v>2087</v>
      </c>
      <c r="C1448">
        <v>-8</v>
      </c>
    </row>
    <row r="1449" spans="1:3" x14ac:dyDescent="0.25">
      <c r="A1449" t="s">
        <v>1840</v>
      </c>
      <c r="B1449" s="6">
        <v>2281.0909999999999</v>
      </c>
      <c r="C1449">
        <v>-10</v>
      </c>
    </row>
    <row r="1450" spans="1:3" x14ac:dyDescent="0.25">
      <c r="A1450" t="s">
        <v>1841</v>
      </c>
      <c r="B1450" s="6">
        <v>2281.0909999999999</v>
      </c>
      <c r="C1450">
        <v>-10</v>
      </c>
    </row>
    <row r="1451" spans="1:3" x14ac:dyDescent="0.25">
      <c r="A1451" t="s">
        <v>1842</v>
      </c>
      <c r="B1451" s="6">
        <v>2087</v>
      </c>
      <c r="C1451">
        <v>-8</v>
      </c>
    </row>
    <row r="1452" spans="1:3" x14ac:dyDescent="0.25">
      <c r="A1452" t="s">
        <v>1843</v>
      </c>
      <c r="B1452" s="6">
        <v>2087</v>
      </c>
      <c r="C1452">
        <v>-8</v>
      </c>
    </row>
    <row r="1453" spans="1:3" x14ac:dyDescent="0.25">
      <c r="A1453" t="s">
        <v>1844</v>
      </c>
      <c r="B1453" s="6">
        <v>2790.319</v>
      </c>
      <c r="C1453">
        <v>-11</v>
      </c>
    </row>
    <row r="1454" spans="1:3" x14ac:dyDescent="0.25">
      <c r="A1454" t="s">
        <v>1845</v>
      </c>
      <c r="B1454" s="6">
        <v>2281.0909999999999</v>
      </c>
      <c r="C1454">
        <v>-9</v>
      </c>
    </row>
    <row r="1455" spans="1:3" x14ac:dyDescent="0.25">
      <c r="A1455" t="s">
        <v>1846</v>
      </c>
      <c r="B1455" s="6">
        <v>2185.0889999999999</v>
      </c>
      <c r="C1455">
        <v>-8</v>
      </c>
    </row>
    <row r="1456" spans="1:3" x14ac:dyDescent="0.25">
      <c r="A1456" t="s">
        <v>1847</v>
      </c>
      <c r="B1456" s="6">
        <v>1988.9109999999998</v>
      </c>
      <c r="C1456">
        <v>-8</v>
      </c>
    </row>
    <row r="1457" spans="1:3" x14ac:dyDescent="0.25">
      <c r="A1457" t="s">
        <v>1848</v>
      </c>
      <c r="B1457" s="6">
        <v>1988.9109999999998</v>
      </c>
      <c r="C1457">
        <v>-8</v>
      </c>
    </row>
    <row r="1458" spans="1:3" x14ac:dyDescent="0.25">
      <c r="A1458" t="s">
        <v>1849</v>
      </c>
      <c r="B1458" s="6">
        <v>2379.1800000000003</v>
      </c>
      <c r="C1458">
        <v>-11</v>
      </c>
    </row>
    <row r="1459" spans="1:3" x14ac:dyDescent="0.25">
      <c r="A1459" t="s">
        <v>1850</v>
      </c>
      <c r="B1459" s="6">
        <v>2185.0889999999999</v>
      </c>
      <c r="C1459">
        <v>-9</v>
      </c>
    </row>
    <row r="1460" spans="1:3" x14ac:dyDescent="0.25">
      <c r="A1460" t="s">
        <v>1851</v>
      </c>
      <c r="B1460" s="6">
        <v>2087</v>
      </c>
      <c r="C1460">
        <v>-9</v>
      </c>
    </row>
    <row r="1461" spans="1:3" x14ac:dyDescent="0.25">
      <c r="A1461" t="s">
        <v>1852</v>
      </c>
      <c r="B1461" s="6">
        <v>2548.2270000000003</v>
      </c>
      <c r="C1461">
        <v>-11</v>
      </c>
    </row>
    <row r="1462" spans="1:3" x14ac:dyDescent="0.25">
      <c r="A1462" t="s">
        <v>1853</v>
      </c>
      <c r="B1462" s="6">
        <v>2281.0909999999999</v>
      </c>
      <c r="C1462">
        <v>-9</v>
      </c>
    </row>
    <row r="1463" spans="1:3" x14ac:dyDescent="0.25">
      <c r="A1463" t="s">
        <v>1854</v>
      </c>
      <c r="B1463" s="6">
        <v>2548.2270000000003</v>
      </c>
      <c r="C1463">
        <v>-11</v>
      </c>
    </row>
    <row r="1464" spans="1:3" x14ac:dyDescent="0.25">
      <c r="A1464" t="s">
        <v>1855</v>
      </c>
      <c r="B1464" s="6">
        <v>2185.0889999999999</v>
      </c>
      <c r="C1464">
        <v>-9</v>
      </c>
    </row>
    <row r="1465" spans="1:3" x14ac:dyDescent="0.25">
      <c r="A1465" t="s">
        <v>1856</v>
      </c>
      <c r="B1465" s="6">
        <v>2961.453</v>
      </c>
      <c r="C1465">
        <v>-11</v>
      </c>
    </row>
    <row r="1466" spans="1:3" x14ac:dyDescent="0.25">
      <c r="A1466" t="s">
        <v>1857</v>
      </c>
      <c r="B1466" s="6">
        <v>2379.1800000000003</v>
      </c>
      <c r="C1466">
        <v>-11</v>
      </c>
    </row>
    <row r="1467" spans="1:3" x14ac:dyDescent="0.25">
      <c r="A1467" t="s">
        <v>1858</v>
      </c>
      <c r="B1467" s="6">
        <v>1892.9090000000001</v>
      </c>
      <c r="C1467">
        <v>-7</v>
      </c>
    </row>
    <row r="1468" spans="1:3" x14ac:dyDescent="0.25">
      <c r="A1468" t="s">
        <v>1859</v>
      </c>
      <c r="B1468" s="6">
        <v>2087</v>
      </c>
      <c r="C1468">
        <v>-9</v>
      </c>
    </row>
    <row r="1469" spans="1:3" x14ac:dyDescent="0.25">
      <c r="A1469" t="s">
        <v>1860</v>
      </c>
      <c r="B1469" s="6">
        <v>2185.0889999999999</v>
      </c>
      <c r="C1469">
        <v>-9</v>
      </c>
    </row>
    <row r="1470" spans="1:3" x14ac:dyDescent="0.25">
      <c r="A1470" t="s">
        <v>1861</v>
      </c>
      <c r="B1470" s="6">
        <v>2281.0909999999999</v>
      </c>
      <c r="C1470">
        <v>-9</v>
      </c>
    </row>
    <row r="1471" spans="1:3" x14ac:dyDescent="0.25">
      <c r="A1471" t="s">
        <v>1862</v>
      </c>
      <c r="B1471" s="6">
        <v>2087</v>
      </c>
      <c r="C1471">
        <v>-9</v>
      </c>
    </row>
    <row r="1472" spans="1:3" x14ac:dyDescent="0.25">
      <c r="A1472" t="s">
        <v>1863</v>
      </c>
      <c r="B1472" s="6">
        <v>2281.0909999999999</v>
      </c>
      <c r="C1472">
        <v>-9</v>
      </c>
    </row>
    <row r="1473" spans="1:3" x14ac:dyDescent="0.25">
      <c r="A1473" t="s">
        <v>1864</v>
      </c>
      <c r="B1473" s="6">
        <v>2379.1800000000003</v>
      </c>
      <c r="C1473">
        <v>-10</v>
      </c>
    </row>
    <row r="1474" spans="1:3" x14ac:dyDescent="0.25">
      <c r="A1474" t="s">
        <v>1865</v>
      </c>
      <c r="B1474" s="6">
        <v>2185.0889999999999</v>
      </c>
      <c r="C1474">
        <v>-9</v>
      </c>
    </row>
    <row r="1475" spans="1:3" x14ac:dyDescent="0.25">
      <c r="A1475" t="s">
        <v>1866</v>
      </c>
      <c r="B1475" s="6">
        <v>2281.0909999999999</v>
      </c>
      <c r="C1475">
        <v>-10</v>
      </c>
    </row>
    <row r="1476" spans="1:3" x14ac:dyDescent="0.25">
      <c r="A1476" t="s">
        <v>1867</v>
      </c>
      <c r="B1476" s="6">
        <v>2087</v>
      </c>
      <c r="C1476">
        <v>-8</v>
      </c>
    </row>
    <row r="1477" spans="1:3" x14ac:dyDescent="0.25">
      <c r="A1477" t="s">
        <v>1868</v>
      </c>
      <c r="B1477" s="6">
        <v>2185.0889999999999</v>
      </c>
      <c r="C1477">
        <v>-9</v>
      </c>
    </row>
    <row r="1478" spans="1:3" x14ac:dyDescent="0.25">
      <c r="A1478" t="s">
        <v>1869</v>
      </c>
      <c r="B1478" s="6">
        <v>2185.0889999999999</v>
      </c>
      <c r="C1478">
        <v>-9</v>
      </c>
    </row>
    <row r="1479" spans="1:3" x14ac:dyDescent="0.25">
      <c r="A1479" t="s">
        <v>1870</v>
      </c>
      <c r="B1479" s="6">
        <v>2548.2270000000003</v>
      </c>
      <c r="C1479">
        <v>-10</v>
      </c>
    </row>
    <row r="1480" spans="1:3" x14ac:dyDescent="0.25">
      <c r="A1480" t="s">
        <v>1871</v>
      </c>
      <c r="B1480" s="6">
        <v>2087</v>
      </c>
      <c r="C1480">
        <v>-8</v>
      </c>
    </row>
    <row r="1481" spans="1:3" x14ac:dyDescent="0.25">
      <c r="A1481" t="s">
        <v>1872</v>
      </c>
      <c r="B1481" s="6">
        <v>2379.1800000000003</v>
      </c>
      <c r="C1481">
        <v>-10</v>
      </c>
    </row>
    <row r="1482" spans="1:3" x14ac:dyDescent="0.25">
      <c r="A1482" t="s">
        <v>1873</v>
      </c>
      <c r="B1482" s="6">
        <v>1988.9109999999998</v>
      </c>
      <c r="C1482">
        <v>-8</v>
      </c>
    </row>
    <row r="1483" spans="1:3" x14ac:dyDescent="0.25">
      <c r="A1483" t="s">
        <v>1873</v>
      </c>
      <c r="B1483" s="6">
        <v>1892.9090000000001</v>
      </c>
      <c r="C1483">
        <v>-7</v>
      </c>
    </row>
    <row r="1484" spans="1:3" x14ac:dyDescent="0.25">
      <c r="A1484" t="s">
        <v>1874</v>
      </c>
      <c r="B1484" s="6">
        <v>1988.9109999999998</v>
      </c>
      <c r="C1484">
        <v>-8</v>
      </c>
    </row>
    <row r="1485" spans="1:3" x14ac:dyDescent="0.25">
      <c r="A1485" t="s">
        <v>1875</v>
      </c>
      <c r="B1485" s="6">
        <v>2379.1800000000003</v>
      </c>
      <c r="C1485">
        <v>-10</v>
      </c>
    </row>
    <row r="1486" spans="1:3" x14ac:dyDescent="0.25">
      <c r="A1486" t="s">
        <v>1876</v>
      </c>
      <c r="B1486" s="6">
        <v>2087</v>
      </c>
      <c r="C1486">
        <v>-8</v>
      </c>
    </row>
    <row r="1487" spans="1:3" x14ac:dyDescent="0.25">
      <c r="A1487" t="s">
        <v>1877</v>
      </c>
      <c r="B1487" s="6">
        <v>1988.9109999999998</v>
      </c>
      <c r="C1487">
        <v>-8</v>
      </c>
    </row>
    <row r="1488" spans="1:3" x14ac:dyDescent="0.25">
      <c r="A1488" t="s">
        <v>1878</v>
      </c>
      <c r="B1488" s="6">
        <v>1988.9109999999998</v>
      </c>
      <c r="C1488">
        <v>-8</v>
      </c>
    </row>
    <row r="1489" spans="1:3" x14ac:dyDescent="0.25">
      <c r="A1489" t="s">
        <v>1879</v>
      </c>
      <c r="B1489" s="6">
        <v>2185.0889999999999</v>
      </c>
      <c r="C1489">
        <v>-9</v>
      </c>
    </row>
    <row r="1490" spans="1:3" x14ac:dyDescent="0.25">
      <c r="A1490" t="s">
        <v>1880</v>
      </c>
      <c r="B1490" s="6">
        <v>2087</v>
      </c>
      <c r="C1490">
        <v>-8</v>
      </c>
    </row>
    <row r="1491" spans="1:3" x14ac:dyDescent="0.25">
      <c r="A1491" t="s">
        <v>1881</v>
      </c>
      <c r="B1491" s="6">
        <v>2790.319</v>
      </c>
      <c r="C1491">
        <v>-11</v>
      </c>
    </row>
    <row r="1492" spans="1:3" x14ac:dyDescent="0.25">
      <c r="A1492" t="s">
        <v>1882</v>
      </c>
      <c r="B1492" s="6">
        <v>2087</v>
      </c>
      <c r="C1492">
        <v>-8</v>
      </c>
    </row>
    <row r="1493" spans="1:3" x14ac:dyDescent="0.25">
      <c r="A1493" t="s">
        <v>1883</v>
      </c>
      <c r="B1493" s="6">
        <v>2379.1800000000003</v>
      </c>
      <c r="C1493">
        <v>-10</v>
      </c>
    </row>
    <row r="1494" spans="1:3" x14ac:dyDescent="0.25">
      <c r="A1494" t="s">
        <v>1884</v>
      </c>
      <c r="B1494" s="6">
        <v>2548.2270000000003</v>
      </c>
      <c r="C1494">
        <v>-10</v>
      </c>
    </row>
    <row r="1495" spans="1:3" x14ac:dyDescent="0.25">
      <c r="A1495" t="s">
        <v>1885</v>
      </c>
      <c r="B1495" s="6">
        <v>2087</v>
      </c>
      <c r="C1495">
        <v>-8</v>
      </c>
    </row>
    <row r="1496" spans="1:3" x14ac:dyDescent="0.25">
      <c r="A1496" t="s">
        <v>1886</v>
      </c>
      <c r="B1496" s="6">
        <v>2087</v>
      </c>
      <c r="C1496">
        <v>-8</v>
      </c>
    </row>
    <row r="1497" spans="1:3" x14ac:dyDescent="0.25">
      <c r="A1497" t="s">
        <v>1887</v>
      </c>
      <c r="B1497" s="6">
        <v>1988.9109999999998</v>
      </c>
      <c r="C1497">
        <v>-8</v>
      </c>
    </row>
    <row r="1498" spans="1:3" x14ac:dyDescent="0.25">
      <c r="A1498" t="s">
        <v>1888</v>
      </c>
      <c r="B1498" s="6">
        <v>2087</v>
      </c>
      <c r="C1498">
        <v>-9</v>
      </c>
    </row>
    <row r="1499" spans="1:3" x14ac:dyDescent="0.25">
      <c r="A1499" t="s">
        <v>1889</v>
      </c>
      <c r="B1499" s="6">
        <v>2379.1800000000003</v>
      </c>
      <c r="C1499">
        <v>-10</v>
      </c>
    </row>
    <row r="1500" spans="1:3" x14ac:dyDescent="0.25">
      <c r="A1500" t="s">
        <v>1890</v>
      </c>
      <c r="B1500" s="6">
        <v>2379.1800000000003</v>
      </c>
      <c r="C1500">
        <v>-10</v>
      </c>
    </row>
    <row r="1501" spans="1:3" x14ac:dyDescent="0.25">
      <c r="A1501" t="s">
        <v>1891</v>
      </c>
      <c r="B1501" s="6">
        <v>2087</v>
      </c>
      <c r="C1501">
        <v>-8</v>
      </c>
    </row>
    <row r="1502" spans="1:3" x14ac:dyDescent="0.25">
      <c r="A1502" t="s">
        <v>1892</v>
      </c>
      <c r="B1502" s="6">
        <v>2087</v>
      </c>
      <c r="C1502">
        <v>-8</v>
      </c>
    </row>
    <row r="1503" spans="1:3" x14ac:dyDescent="0.25">
      <c r="A1503" t="s">
        <v>1893</v>
      </c>
      <c r="B1503" s="6">
        <v>2087</v>
      </c>
      <c r="C1503">
        <v>-8</v>
      </c>
    </row>
    <row r="1504" spans="1:3" x14ac:dyDescent="0.25">
      <c r="A1504" t="s">
        <v>1894</v>
      </c>
      <c r="B1504" s="6">
        <v>2185.0889999999999</v>
      </c>
      <c r="C1504">
        <v>-8</v>
      </c>
    </row>
    <row r="1505" spans="1:3" x14ac:dyDescent="0.25">
      <c r="A1505" t="s">
        <v>1895</v>
      </c>
      <c r="B1505" s="6">
        <v>2379.1800000000003</v>
      </c>
      <c r="C1505">
        <v>-10</v>
      </c>
    </row>
    <row r="1506" spans="1:3" x14ac:dyDescent="0.25">
      <c r="A1506" t="s">
        <v>1896</v>
      </c>
      <c r="B1506" s="6">
        <v>2087</v>
      </c>
      <c r="C1506">
        <v>-8</v>
      </c>
    </row>
    <row r="1507" spans="1:3" x14ac:dyDescent="0.25">
      <c r="A1507" t="s">
        <v>1897</v>
      </c>
      <c r="B1507" s="6">
        <v>2185.0889999999999</v>
      </c>
      <c r="C1507">
        <v>-9</v>
      </c>
    </row>
    <row r="1508" spans="1:3" x14ac:dyDescent="0.25">
      <c r="A1508" t="s">
        <v>1898</v>
      </c>
      <c r="B1508" s="6">
        <v>2281.0909999999999</v>
      </c>
      <c r="C1508">
        <v>-10</v>
      </c>
    </row>
    <row r="1509" spans="1:3" x14ac:dyDescent="0.25">
      <c r="A1509" t="s">
        <v>1899</v>
      </c>
      <c r="B1509" s="6">
        <v>2087</v>
      </c>
      <c r="C1509">
        <v>-8</v>
      </c>
    </row>
    <row r="1510" spans="1:3" x14ac:dyDescent="0.25">
      <c r="A1510" t="s">
        <v>1900</v>
      </c>
      <c r="B1510" s="6">
        <v>2185.0889999999999</v>
      </c>
      <c r="C1510">
        <v>-8</v>
      </c>
    </row>
    <row r="1511" spans="1:3" x14ac:dyDescent="0.25">
      <c r="A1511" t="s">
        <v>1901</v>
      </c>
      <c r="B1511" s="6">
        <v>1988.9109999999998</v>
      </c>
      <c r="C1511">
        <v>-8</v>
      </c>
    </row>
    <row r="1512" spans="1:3" x14ac:dyDescent="0.25">
      <c r="A1512" t="s">
        <v>1902</v>
      </c>
      <c r="B1512" s="6">
        <v>2185.0889999999999</v>
      </c>
      <c r="C1512">
        <v>-9</v>
      </c>
    </row>
    <row r="1513" spans="1:3" x14ac:dyDescent="0.25">
      <c r="A1513" t="s">
        <v>1903</v>
      </c>
      <c r="B1513" s="6">
        <v>2087</v>
      </c>
      <c r="C1513">
        <v>-9</v>
      </c>
    </row>
    <row r="1514" spans="1:3" x14ac:dyDescent="0.25">
      <c r="A1514" t="s">
        <v>1904</v>
      </c>
      <c r="B1514" s="6">
        <v>2185.0889999999999</v>
      </c>
      <c r="C1514">
        <v>-9</v>
      </c>
    </row>
    <row r="1515" spans="1:3" x14ac:dyDescent="0.25">
      <c r="A1515" t="s">
        <v>1905</v>
      </c>
      <c r="B1515" s="6">
        <v>2087</v>
      </c>
      <c r="C1515">
        <v>-8</v>
      </c>
    </row>
    <row r="1516" spans="1:3" x14ac:dyDescent="0.25">
      <c r="A1516" t="s">
        <v>1906</v>
      </c>
      <c r="B1516" s="6">
        <v>2087</v>
      </c>
      <c r="C1516">
        <v>-8</v>
      </c>
    </row>
    <row r="1517" spans="1:3" x14ac:dyDescent="0.25">
      <c r="A1517" t="s">
        <v>1907</v>
      </c>
      <c r="B1517" s="6">
        <v>1892.9090000000001</v>
      </c>
      <c r="C1517">
        <v>-8</v>
      </c>
    </row>
    <row r="1518" spans="1:3" x14ac:dyDescent="0.25">
      <c r="A1518" t="s">
        <v>1908</v>
      </c>
      <c r="B1518" s="6">
        <v>2087</v>
      </c>
      <c r="C1518">
        <v>-9</v>
      </c>
    </row>
    <row r="1519" spans="1:3" x14ac:dyDescent="0.25">
      <c r="A1519" t="s">
        <v>1909</v>
      </c>
      <c r="B1519" s="6">
        <v>2185.0889999999999</v>
      </c>
      <c r="C1519">
        <v>-9</v>
      </c>
    </row>
    <row r="1520" spans="1:3" x14ac:dyDescent="0.25">
      <c r="A1520" t="s">
        <v>1910</v>
      </c>
      <c r="B1520" s="6">
        <v>2185.0889999999999</v>
      </c>
      <c r="C1520">
        <v>-8</v>
      </c>
    </row>
    <row r="1521" spans="1:3" x14ac:dyDescent="0.25">
      <c r="A1521" t="s">
        <v>1911</v>
      </c>
      <c r="B1521" s="6">
        <v>1988.9109999999998</v>
      </c>
      <c r="C1521">
        <v>-8</v>
      </c>
    </row>
    <row r="1522" spans="1:3" x14ac:dyDescent="0.25">
      <c r="A1522" t="s">
        <v>1912</v>
      </c>
      <c r="B1522" s="6">
        <v>2185.0889999999999</v>
      </c>
      <c r="C1522">
        <v>-9</v>
      </c>
    </row>
    <row r="1523" spans="1:3" x14ac:dyDescent="0.25">
      <c r="A1523" t="s">
        <v>1913</v>
      </c>
      <c r="B1523" s="6">
        <v>2185.0889999999999</v>
      </c>
      <c r="C1523">
        <v>-9</v>
      </c>
    </row>
    <row r="1524" spans="1:3" x14ac:dyDescent="0.25">
      <c r="A1524" t="s">
        <v>1914</v>
      </c>
      <c r="B1524" s="6">
        <v>2185.0889999999999</v>
      </c>
      <c r="C1524">
        <v>-9</v>
      </c>
    </row>
    <row r="1525" spans="1:3" x14ac:dyDescent="0.25">
      <c r="A1525" t="s">
        <v>1915</v>
      </c>
      <c r="B1525" s="6">
        <v>1988.9109999999998</v>
      </c>
      <c r="C1525">
        <v>-8</v>
      </c>
    </row>
    <row r="1526" spans="1:3" x14ac:dyDescent="0.25">
      <c r="A1526" t="s">
        <v>1916</v>
      </c>
      <c r="B1526" s="6">
        <v>2087</v>
      </c>
      <c r="C1526">
        <v>-8</v>
      </c>
    </row>
    <row r="1527" spans="1:3" x14ac:dyDescent="0.25">
      <c r="A1527" t="s">
        <v>1917</v>
      </c>
      <c r="B1527" s="6">
        <v>2087</v>
      </c>
      <c r="C1527">
        <v>-8</v>
      </c>
    </row>
    <row r="1528" spans="1:3" x14ac:dyDescent="0.25">
      <c r="A1528" t="s">
        <v>1918</v>
      </c>
      <c r="B1528" s="6">
        <v>2548.2270000000003</v>
      </c>
      <c r="C1528">
        <v>-10</v>
      </c>
    </row>
    <row r="1529" spans="1:3" x14ac:dyDescent="0.25">
      <c r="A1529" t="s">
        <v>1919</v>
      </c>
      <c r="B1529" s="6">
        <v>2379.1800000000003</v>
      </c>
      <c r="C1529">
        <v>-10</v>
      </c>
    </row>
    <row r="1530" spans="1:3" x14ac:dyDescent="0.25">
      <c r="A1530" t="s">
        <v>1920</v>
      </c>
      <c r="B1530" s="6">
        <v>2087</v>
      </c>
      <c r="C1530">
        <v>-8</v>
      </c>
    </row>
    <row r="1531" spans="1:3" x14ac:dyDescent="0.25">
      <c r="A1531" t="s">
        <v>1921</v>
      </c>
      <c r="B1531" s="6">
        <v>2087</v>
      </c>
      <c r="C1531">
        <v>-8</v>
      </c>
    </row>
    <row r="1532" spans="1:3" x14ac:dyDescent="0.25">
      <c r="A1532" t="s">
        <v>1921</v>
      </c>
      <c r="B1532" s="6">
        <v>2087</v>
      </c>
      <c r="C1532">
        <v>-8</v>
      </c>
    </row>
    <row r="1533" spans="1:3" x14ac:dyDescent="0.25">
      <c r="A1533" t="s">
        <v>1921</v>
      </c>
      <c r="B1533" s="6">
        <v>2087</v>
      </c>
      <c r="C1533">
        <v>-9</v>
      </c>
    </row>
    <row r="1534" spans="1:3" x14ac:dyDescent="0.25">
      <c r="A1534" t="s">
        <v>1922</v>
      </c>
      <c r="B1534" s="6">
        <v>2281.0909999999999</v>
      </c>
      <c r="C1534">
        <v>-9</v>
      </c>
    </row>
    <row r="1535" spans="1:3" x14ac:dyDescent="0.25">
      <c r="A1535" t="s">
        <v>1923</v>
      </c>
      <c r="B1535" s="6">
        <v>2087</v>
      </c>
      <c r="C1535">
        <v>-8</v>
      </c>
    </row>
    <row r="1536" spans="1:3" x14ac:dyDescent="0.25">
      <c r="A1536" t="s">
        <v>1924</v>
      </c>
      <c r="B1536" s="6">
        <v>2087</v>
      </c>
      <c r="C1536">
        <v>-8</v>
      </c>
    </row>
    <row r="1537" spans="1:3" x14ac:dyDescent="0.25">
      <c r="A1537" t="s">
        <v>1925</v>
      </c>
      <c r="B1537" s="6">
        <v>1988.9109999999998</v>
      </c>
      <c r="C1537">
        <v>-8</v>
      </c>
    </row>
    <row r="1538" spans="1:3" x14ac:dyDescent="0.25">
      <c r="A1538" t="s">
        <v>1926</v>
      </c>
      <c r="B1538" s="6">
        <v>2185.0889999999999</v>
      </c>
      <c r="C1538">
        <v>-9</v>
      </c>
    </row>
    <row r="1539" spans="1:3" x14ac:dyDescent="0.25">
      <c r="A1539" t="s">
        <v>1927</v>
      </c>
      <c r="B1539" s="6">
        <v>2087</v>
      </c>
      <c r="C1539">
        <v>-8</v>
      </c>
    </row>
    <row r="1540" spans="1:3" x14ac:dyDescent="0.25">
      <c r="A1540" t="s">
        <v>1928</v>
      </c>
      <c r="B1540" s="6">
        <v>2185.0889999999999</v>
      </c>
      <c r="C1540">
        <v>-9</v>
      </c>
    </row>
    <row r="1541" spans="1:3" x14ac:dyDescent="0.25">
      <c r="A1541" t="s">
        <v>1929</v>
      </c>
      <c r="B1541" s="6">
        <v>2790.319</v>
      </c>
      <c r="C1541">
        <v>-11</v>
      </c>
    </row>
    <row r="1542" spans="1:3" x14ac:dyDescent="0.25">
      <c r="A1542" t="s">
        <v>1930</v>
      </c>
      <c r="B1542" s="6">
        <v>2087</v>
      </c>
      <c r="C1542">
        <v>-8</v>
      </c>
    </row>
    <row r="1543" spans="1:3" x14ac:dyDescent="0.25">
      <c r="A1543" t="s">
        <v>1931</v>
      </c>
      <c r="B1543" s="6">
        <v>1988.9109999999998</v>
      </c>
      <c r="C1543">
        <v>-8</v>
      </c>
    </row>
    <row r="1544" spans="1:3" x14ac:dyDescent="0.25">
      <c r="A1544" t="s">
        <v>1932</v>
      </c>
      <c r="B1544" s="6">
        <v>1988.9109999999998</v>
      </c>
      <c r="C1544">
        <v>-8</v>
      </c>
    </row>
    <row r="1545" spans="1:3" x14ac:dyDescent="0.25">
      <c r="A1545" t="s">
        <v>1933</v>
      </c>
      <c r="B1545" s="6">
        <v>2379.1800000000003</v>
      </c>
      <c r="C1545">
        <v>-10</v>
      </c>
    </row>
    <row r="1546" spans="1:3" x14ac:dyDescent="0.25">
      <c r="A1546" t="s">
        <v>1934</v>
      </c>
      <c r="B1546" s="6">
        <v>2548.2270000000003</v>
      </c>
      <c r="C1546">
        <v>-11</v>
      </c>
    </row>
    <row r="1547" spans="1:3" x14ac:dyDescent="0.25">
      <c r="A1547" t="s">
        <v>1935</v>
      </c>
      <c r="B1547" s="6">
        <v>2087</v>
      </c>
      <c r="C1547">
        <v>-8</v>
      </c>
    </row>
    <row r="1548" spans="1:3" x14ac:dyDescent="0.25">
      <c r="A1548" t="s">
        <v>1936</v>
      </c>
      <c r="B1548" s="6">
        <v>1988.9109999999998</v>
      </c>
      <c r="C1548">
        <v>-8</v>
      </c>
    </row>
    <row r="1549" spans="1:3" x14ac:dyDescent="0.25">
      <c r="A1549" t="s">
        <v>1937</v>
      </c>
      <c r="B1549" s="6">
        <v>1988.9109999999998</v>
      </c>
      <c r="C1549">
        <v>-8</v>
      </c>
    </row>
    <row r="1550" spans="1:3" x14ac:dyDescent="0.25">
      <c r="A1550" t="s">
        <v>1938</v>
      </c>
      <c r="B1550" s="6">
        <v>2185.0889999999999</v>
      </c>
      <c r="C1550">
        <v>-9</v>
      </c>
    </row>
    <row r="1551" spans="1:3" x14ac:dyDescent="0.25">
      <c r="A1551" t="s">
        <v>1939</v>
      </c>
      <c r="B1551" s="6">
        <v>2185.0889999999999</v>
      </c>
      <c r="C1551">
        <v>-9</v>
      </c>
    </row>
    <row r="1552" spans="1:3" x14ac:dyDescent="0.25">
      <c r="A1552" t="s">
        <v>1940</v>
      </c>
      <c r="B1552" s="6">
        <v>2087</v>
      </c>
      <c r="C1552">
        <v>-8</v>
      </c>
    </row>
    <row r="1553" spans="1:3" x14ac:dyDescent="0.25">
      <c r="A1553" t="s">
        <v>1941</v>
      </c>
      <c r="B1553" s="6">
        <v>2185.0889999999999</v>
      </c>
      <c r="C1553">
        <v>-9</v>
      </c>
    </row>
    <row r="1554" spans="1:3" x14ac:dyDescent="0.25">
      <c r="A1554" t="s">
        <v>1942</v>
      </c>
      <c r="B1554" s="6">
        <v>2087</v>
      </c>
      <c r="C1554">
        <v>-8</v>
      </c>
    </row>
    <row r="1555" spans="1:3" x14ac:dyDescent="0.25">
      <c r="A1555" t="s">
        <v>1943</v>
      </c>
      <c r="B1555" s="6">
        <v>1988.9109999999998</v>
      </c>
      <c r="C1555">
        <v>-8</v>
      </c>
    </row>
    <row r="1556" spans="1:3" x14ac:dyDescent="0.25">
      <c r="A1556" t="s">
        <v>1944</v>
      </c>
      <c r="B1556" s="6">
        <v>1988.9109999999998</v>
      </c>
      <c r="C1556">
        <v>-8</v>
      </c>
    </row>
    <row r="1557" spans="1:3" x14ac:dyDescent="0.25">
      <c r="A1557" t="s">
        <v>1945</v>
      </c>
      <c r="B1557" s="6">
        <v>1988.9109999999998</v>
      </c>
      <c r="C1557">
        <v>-8</v>
      </c>
    </row>
    <row r="1558" spans="1:3" x14ac:dyDescent="0.25">
      <c r="A1558" t="s">
        <v>1946</v>
      </c>
      <c r="B1558" s="6">
        <v>1988.9109999999998</v>
      </c>
      <c r="C1558">
        <v>-9</v>
      </c>
    </row>
    <row r="1559" spans="1:3" x14ac:dyDescent="0.25">
      <c r="A1559" t="s">
        <v>1947</v>
      </c>
      <c r="B1559" s="6">
        <v>2185.0889999999999</v>
      </c>
      <c r="C1559">
        <v>-9</v>
      </c>
    </row>
    <row r="1560" spans="1:3" x14ac:dyDescent="0.25">
      <c r="A1560" t="s">
        <v>1948</v>
      </c>
      <c r="B1560" s="6">
        <v>2281.0909999999999</v>
      </c>
      <c r="C1560">
        <v>-10</v>
      </c>
    </row>
    <row r="1561" spans="1:3" x14ac:dyDescent="0.25">
      <c r="A1561" t="s">
        <v>1949</v>
      </c>
      <c r="B1561" s="6">
        <v>1988.9109999999998</v>
      </c>
      <c r="C1561">
        <v>-8</v>
      </c>
    </row>
    <row r="1562" spans="1:3" x14ac:dyDescent="0.25">
      <c r="A1562" t="s">
        <v>1950</v>
      </c>
      <c r="B1562" s="6">
        <v>2087</v>
      </c>
      <c r="C1562">
        <v>-8</v>
      </c>
    </row>
    <row r="1563" spans="1:3" x14ac:dyDescent="0.25">
      <c r="A1563" t="s">
        <v>1951</v>
      </c>
      <c r="B1563" s="6">
        <v>2379.1800000000003</v>
      </c>
      <c r="C1563">
        <v>-10</v>
      </c>
    </row>
    <row r="1564" spans="1:3" x14ac:dyDescent="0.25">
      <c r="A1564" t="s">
        <v>1952</v>
      </c>
      <c r="B1564" s="6">
        <v>2379.1800000000003</v>
      </c>
      <c r="C1564">
        <v>-10</v>
      </c>
    </row>
    <row r="1565" spans="1:3" x14ac:dyDescent="0.25">
      <c r="A1565" t="s">
        <v>1953</v>
      </c>
      <c r="B1565" s="6">
        <v>1988.9109999999998</v>
      </c>
      <c r="C1565">
        <v>-8</v>
      </c>
    </row>
    <row r="1566" spans="1:3" x14ac:dyDescent="0.25">
      <c r="A1566" t="s">
        <v>1954</v>
      </c>
      <c r="B1566" s="6">
        <v>2379.1800000000003</v>
      </c>
      <c r="C1566">
        <v>-10</v>
      </c>
    </row>
    <row r="1567" spans="1:3" x14ac:dyDescent="0.25">
      <c r="A1567" t="s">
        <v>1955</v>
      </c>
      <c r="B1567" s="6">
        <v>2087</v>
      </c>
      <c r="C1567">
        <v>-9</v>
      </c>
    </row>
    <row r="1568" spans="1:3" x14ac:dyDescent="0.25">
      <c r="A1568" t="s">
        <v>1956</v>
      </c>
      <c r="B1568" s="6">
        <v>2185.0889999999999</v>
      </c>
      <c r="C1568">
        <v>-8</v>
      </c>
    </row>
    <row r="1569" spans="1:3" x14ac:dyDescent="0.25">
      <c r="A1569" t="s">
        <v>1957</v>
      </c>
      <c r="B1569" s="6">
        <v>2087</v>
      </c>
      <c r="C1569">
        <v>-8</v>
      </c>
    </row>
    <row r="1570" spans="1:3" x14ac:dyDescent="0.25">
      <c r="A1570" t="s">
        <v>1958</v>
      </c>
      <c r="B1570" s="6">
        <v>2281.0909999999999</v>
      </c>
      <c r="C1570">
        <v>-10</v>
      </c>
    </row>
    <row r="1571" spans="1:3" x14ac:dyDescent="0.25">
      <c r="A1571" t="s">
        <v>1959</v>
      </c>
      <c r="B1571" s="6">
        <v>1988.9109999999998</v>
      </c>
      <c r="C1571">
        <v>-8</v>
      </c>
    </row>
    <row r="1572" spans="1:3" x14ac:dyDescent="0.25">
      <c r="A1572" t="s">
        <v>1960</v>
      </c>
      <c r="B1572" s="6">
        <v>2185.0889999999999</v>
      </c>
      <c r="C1572">
        <v>-9</v>
      </c>
    </row>
    <row r="1573" spans="1:3" x14ac:dyDescent="0.25">
      <c r="A1573" t="s">
        <v>1961</v>
      </c>
      <c r="B1573" s="6">
        <v>2087</v>
      </c>
      <c r="C1573">
        <v>-8</v>
      </c>
    </row>
    <row r="1574" spans="1:3" x14ac:dyDescent="0.25">
      <c r="A1574" t="s">
        <v>1962</v>
      </c>
      <c r="B1574" s="6">
        <v>2961.453</v>
      </c>
      <c r="C1574">
        <v>-11</v>
      </c>
    </row>
    <row r="1575" spans="1:3" x14ac:dyDescent="0.25">
      <c r="A1575" t="s">
        <v>1963</v>
      </c>
      <c r="B1575" s="6">
        <v>2087</v>
      </c>
      <c r="C1575">
        <v>-8</v>
      </c>
    </row>
    <row r="1576" spans="1:3" x14ac:dyDescent="0.25">
      <c r="A1576" t="s">
        <v>1964</v>
      </c>
      <c r="B1576" s="6">
        <v>2281.0909999999999</v>
      </c>
      <c r="C1576">
        <v>-10</v>
      </c>
    </row>
    <row r="1577" spans="1:3" x14ac:dyDescent="0.25">
      <c r="A1577" t="s">
        <v>1965</v>
      </c>
      <c r="B1577" s="6">
        <v>1988.9109999999998</v>
      </c>
      <c r="C1577">
        <v>-8</v>
      </c>
    </row>
    <row r="1578" spans="1:3" x14ac:dyDescent="0.25">
      <c r="A1578" t="s">
        <v>1966</v>
      </c>
      <c r="B1578" s="6">
        <v>1892.9090000000001</v>
      </c>
      <c r="C1578">
        <v>-7</v>
      </c>
    </row>
    <row r="1579" spans="1:3" x14ac:dyDescent="0.25">
      <c r="A1579" t="s">
        <v>1967</v>
      </c>
      <c r="B1579" s="6">
        <v>2281.0909999999999</v>
      </c>
      <c r="C1579">
        <v>-10</v>
      </c>
    </row>
    <row r="1580" spans="1:3" x14ac:dyDescent="0.25">
      <c r="A1580" t="s">
        <v>1968</v>
      </c>
      <c r="B1580" s="6">
        <v>2087</v>
      </c>
      <c r="C1580">
        <v>-9</v>
      </c>
    </row>
    <row r="1581" spans="1:3" x14ac:dyDescent="0.25">
      <c r="A1581" t="s">
        <v>1969</v>
      </c>
      <c r="B1581" s="6">
        <v>2087</v>
      </c>
      <c r="C1581">
        <v>-8</v>
      </c>
    </row>
    <row r="1582" spans="1:3" x14ac:dyDescent="0.25">
      <c r="A1582" t="s">
        <v>1970</v>
      </c>
      <c r="B1582" s="6">
        <v>2185.0889999999999</v>
      </c>
      <c r="C1582">
        <v>-8</v>
      </c>
    </row>
    <row r="1583" spans="1:3" x14ac:dyDescent="0.25">
      <c r="A1583" t="s">
        <v>1971</v>
      </c>
      <c r="B1583" s="6">
        <v>2185.0889999999999</v>
      </c>
      <c r="C1583">
        <v>-9</v>
      </c>
    </row>
    <row r="1584" spans="1:3" x14ac:dyDescent="0.25">
      <c r="A1584" t="s">
        <v>1972</v>
      </c>
      <c r="B1584" s="6">
        <v>2185.0889999999999</v>
      </c>
      <c r="C1584">
        <v>-9</v>
      </c>
    </row>
    <row r="1585" spans="1:3" x14ac:dyDescent="0.25">
      <c r="A1585" t="s">
        <v>1973</v>
      </c>
      <c r="B1585" s="6">
        <v>2548.2270000000003</v>
      </c>
      <c r="C1585">
        <v>-10</v>
      </c>
    </row>
    <row r="1586" spans="1:3" x14ac:dyDescent="0.25">
      <c r="A1586" t="s">
        <v>1974</v>
      </c>
      <c r="B1586" s="6">
        <v>2281.0909999999999</v>
      </c>
      <c r="C1586">
        <v>-10</v>
      </c>
    </row>
    <row r="1587" spans="1:3" x14ac:dyDescent="0.25">
      <c r="A1587" t="s">
        <v>1975</v>
      </c>
      <c r="B1587" s="6">
        <v>2185.0889999999999</v>
      </c>
      <c r="C1587">
        <v>-9</v>
      </c>
    </row>
    <row r="1588" spans="1:3" x14ac:dyDescent="0.25">
      <c r="A1588" t="s">
        <v>1976</v>
      </c>
      <c r="B1588" s="6">
        <v>1988.9109999999998</v>
      </c>
      <c r="C1588">
        <v>-8</v>
      </c>
    </row>
    <row r="1589" spans="1:3" x14ac:dyDescent="0.25">
      <c r="A1589" t="s">
        <v>1977</v>
      </c>
      <c r="B1589" s="6">
        <v>2087</v>
      </c>
      <c r="C1589">
        <v>-8</v>
      </c>
    </row>
    <row r="1590" spans="1:3" x14ac:dyDescent="0.25">
      <c r="A1590" t="s">
        <v>1977</v>
      </c>
      <c r="B1590" s="6">
        <v>1988.9109999999998</v>
      </c>
      <c r="C1590">
        <v>-8</v>
      </c>
    </row>
    <row r="1591" spans="1:3" x14ac:dyDescent="0.25">
      <c r="A1591" t="s">
        <v>1978</v>
      </c>
      <c r="B1591" s="6">
        <v>1988.9109999999998</v>
      </c>
      <c r="C1591">
        <v>-8</v>
      </c>
    </row>
    <row r="1592" spans="1:3" x14ac:dyDescent="0.25">
      <c r="A1592" t="s">
        <v>1979</v>
      </c>
      <c r="B1592" s="6">
        <v>1988.9109999999998</v>
      </c>
      <c r="C1592">
        <v>-8</v>
      </c>
    </row>
    <row r="1593" spans="1:3" x14ac:dyDescent="0.25">
      <c r="A1593" t="s">
        <v>1980</v>
      </c>
      <c r="B1593" s="6">
        <v>1988.9109999999998</v>
      </c>
      <c r="C1593">
        <v>-8</v>
      </c>
    </row>
    <row r="1594" spans="1:3" x14ac:dyDescent="0.25">
      <c r="A1594" t="s">
        <v>1981</v>
      </c>
      <c r="B1594" s="6">
        <v>2281.0909999999999</v>
      </c>
      <c r="C1594">
        <v>-9</v>
      </c>
    </row>
    <row r="1595" spans="1:3" x14ac:dyDescent="0.25">
      <c r="A1595" t="s">
        <v>1982</v>
      </c>
      <c r="B1595" s="6">
        <v>2281.0909999999999</v>
      </c>
      <c r="C1595">
        <v>-10</v>
      </c>
    </row>
    <row r="1596" spans="1:3" x14ac:dyDescent="0.25">
      <c r="A1596" t="s">
        <v>1983</v>
      </c>
      <c r="B1596" s="6">
        <v>2185.0889999999999</v>
      </c>
      <c r="C1596">
        <v>-9</v>
      </c>
    </row>
    <row r="1597" spans="1:3" x14ac:dyDescent="0.25">
      <c r="A1597" t="s">
        <v>1984</v>
      </c>
      <c r="B1597" s="6">
        <v>2548.2270000000003</v>
      </c>
      <c r="C1597">
        <v>-11</v>
      </c>
    </row>
    <row r="1598" spans="1:3" x14ac:dyDescent="0.25">
      <c r="A1598" t="s">
        <v>1985</v>
      </c>
      <c r="B1598" s="6">
        <v>2087</v>
      </c>
      <c r="C1598">
        <v>-9</v>
      </c>
    </row>
    <row r="1599" spans="1:3" x14ac:dyDescent="0.25">
      <c r="A1599" t="s">
        <v>1986</v>
      </c>
      <c r="B1599" s="6">
        <v>2087</v>
      </c>
      <c r="C1599">
        <v>-8</v>
      </c>
    </row>
    <row r="1600" spans="1:3" x14ac:dyDescent="0.25">
      <c r="A1600" t="s">
        <v>1987</v>
      </c>
      <c r="B1600" s="6">
        <v>2087</v>
      </c>
      <c r="C1600">
        <v>-9</v>
      </c>
    </row>
    <row r="1601" spans="1:3" x14ac:dyDescent="0.25">
      <c r="A1601" t="s">
        <v>1988</v>
      </c>
      <c r="B1601" s="6">
        <v>2087</v>
      </c>
      <c r="C1601">
        <v>-8</v>
      </c>
    </row>
    <row r="1602" spans="1:3" x14ac:dyDescent="0.25">
      <c r="A1602" t="s">
        <v>1989</v>
      </c>
      <c r="B1602" s="6">
        <v>2185.0889999999999</v>
      </c>
      <c r="C1602">
        <v>-9</v>
      </c>
    </row>
    <row r="1603" spans="1:3" x14ac:dyDescent="0.25">
      <c r="A1603" t="s">
        <v>1990</v>
      </c>
      <c r="B1603" s="6">
        <v>2087</v>
      </c>
      <c r="C1603">
        <v>-9</v>
      </c>
    </row>
    <row r="1604" spans="1:3" x14ac:dyDescent="0.25">
      <c r="A1604" t="s">
        <v>1991</v>
      </c>
      <c r="B1604" s="6">
        <v>2087</v>
      </c>
      <c r="C1604">
        <v>-8</v>
      </c>
    </row>
    <row r="1605" spans="1:3" x14ac:dyDescent="0.25">
      <c r="A1605" t="s">
        <v>1992</v>
      </c>
      <c r="B1605" s="6">
        <v>2185.0889999999999</v>
      </c>
      <c r="C1605">
        <v>-9</v>
      </c>
    </row>
    <row r="1606" spans="1:3" x14ac:dyDescent="0.25">
      <c r="A1606" t="s">
        <v>1993</v>
      </c>
      <c r="B1606" s="6">
        <v>2379.1800000000003</v>
      </c>
      <c r="C1606">
        <v>-10</v>
      </c>
    </row>
    <row r="1607" spans="1:3" x14ac:dyDescent="0.25">
      <c r="A1607" t="s">
        <v>1994</v>
      </c>
      <c r="B1607" s="6">
        <v>2185.0889999999999</v>
      </c>
      <c r="C1607">
        <v>-9</v>
      </c>
    </row>
    <row r="1608" spans="1:3" x14ac:dyDescent="0.25">
      <c r="A1608" t="s">
        <v>1995</v>
      </c>
      <c r="B1608" s="6">
        <v>2548.2270000000003</v>
      </c>
      <c r="C1608">
        <v>-11</v>
      </c>
    </row>
    <row r="1609" spans="1:3" x14ac:dyDescent="0.25">
      <c r="A1609" t="s">
        <v>1996</v>
      </c>
      <c r="B1609" s="6">
        <v>2379.1800000000003</v>
      </c>
      <c r="C1609">
        <v>-10</v>
      </c>
    </row>
    <row r="1610" spans="1:3" x14ac:dyDescent="0.25">
      <c r="A1610" t="s">
        <v>1997</v>
      </c>
      <c r="B1610" s="6">
        <v>2281.0909999999999</v>
      </c>
      <c r="C1610">
        <v>-9</v>
      </c>
    </row>
    <row r="1611" spans="1:3" x14ac:dyDescent="0.25">
      <c r="A1611" t="s">
        <v>1998</v>
      </c>
      <c r="B1611" s="6">
        <v>2185.0889999999999</v>
      </c>
      <c r="C1611">
        <v>-8</v>
      </c>
    </row>
    <row r="1612" spans="1:3" x14ac:dyDescent="0.25">
      <c r="A1612" t="s">
        <v>1999</v>
      </c>
      <c r="B1612" s="6">
        <v>2087</v>
      </c>
      <c r="C1612">
        <v>-9</v>
      </c>
    </row>
    <row r="1613" spans="1:3" x14ac:dyDescent="0.25">
      <c r="A1613" t="s">
        <v>2000</v>
      </c>
      <c r="B1613" s="6">
        <v>2185.0889999999999</v>
      </c>
      <c r="C1613">
        <v>-9</v>
      </c>
    </row>
    <row r="1614" spans="1:3" x14ac:dyDescent="0.25">
      <c r="A1614" t="s">
        <v>2001</v>
      </c>
      <c r="B1614" s="6">
        <v>2548.2270000000003</v>
      </c>
      <c r="C1614">
        <v>-11</v>
      </c>
    </row>
    <row r="1615" spans="1:3" x14ac:dyDescent="0.25">
      <c r="A1615" t="s">
        <v>2002</v>
      </c>
      <c r="B1615" s="6">
        <v>2185.0889999999999</v>
      </c>
      <c r="C1615">
        <v>-9</v>
      </c>
    </row>
    <row r="1616" spans="1:3" x14ac:dyDescent="0.25">
      <c r="A1616" t="s">
        <v>2003</v>
      </c>
      <c r="B1616" s="6">
        <v>2087</v>
      </c>
      <c r="C1616">
        <v>-8</v>
      </c>
    </row>
    <row r="1617" spans="1:3" x14ac:dyDescent="0.25">
      <c r="A1617" t="s">
        <v>2004</v>
      </c>
      <c r="B1617" s="6">
        <v>2185.0889999999999</v>
      </c>
      <c r="C1617">
        <v>-8</v>
      </c>
    </row>
    <row r="1618" spans="1:3" x14ac:dyDescent="0.25">
      <c r="A1618" t="s">
        <v>2005</v>
      </c>
      <c r="B1618" s="6">
        <v>2185.0889999999999</v>
      </c>
      <c r="C1618">
        <v>-9</v>
      </c>
    </row>
    <row r="1619" spans="1:3" x14ac:dyDescent="0.25">
      <c r="A1619" t="s">
        <v>2006</v>
      </c>
      <c r="B1619" s="6">
        <v>2379.1800000000003</v>
      </c>
      <c r="C1619">
        <v>-10</v>
      </c>
    </row>
    <row r="1620" spans="1:3" x14ac:dyDescent="0.25">
      <c r="A1620" t="s">
        <v>2007</v>
      </c>
      <c r="B1620" s="6">
        <v>2087</v>
      </c>
      <c r="C1620">
        <v>-8</v>
      </c>
    </row>
    <row r="1621" spans="1:3" x14ac:dyDescent="0.25">
      <c r="A1621" t="s">
        <v>2008</v>
      </c>
      <c r="B1621" s="6">
        <v>2087</v>
      </c>
      <c r="C1621">
        <v>-8</v>
      </c>
    </row>
    <row r="1622" spans="1:3" x14ac:dyDescent="0.25">
      <c r="A1622" t="s">
        <v>2001</v>
      </c>
      <c r="B1622" s="6">
        <v>2281.0909999999999</v>
      </c>
      <c r="C1622">
        <v>-9</v>
      </c>
    </row>
    <row r="1623" spans="1:3" x14ac:dyDescent="0.25">
      <c r="A1623" t="s">
        <v>2009</v>
      </c>
      <c r="B1623" s="6">
        <v>2281.0909999999999</v>
      </c>
      <c r="C1623">
        <v>-10</v>
      </c>
    </row>
    <row r="1624" spans="1:3" x14ac:dyDescent="0.25">
      <c r="A1624" t="s">
        <v>2010</v>
      </c>
      <c r="B1624" s="6">
        <v>2185.0889999999999</v>
      </c>
      <c r="C1624">
        <v>-9</v>
      </c>
    </row>
    <row r="1625" spans="1:3" x14ac:dyDescent="0.25">
      <c r="A1625" t="s">
        <v>2011</v>
      </c>
      <c r="B1625" s="6">
        <v>2087</v>
      </c>
      <c r="C1625">
        <v>-9</v>
      </c>
    </row>
    <row r="1626" spans="1:3" x14ac:dyDescent="0.25">
      <c r="A1626" t="s">
        <v>2012</v>
      </c>
      <c r="B1626" s="6">
        <v>2185.0889999999999</v>
      </c>
      <c r="C1626">
        <v>-9</v>
      </c>
    </row>
    <row r="1627" spans="1:3" x14ac:dyDescent="0.25">
      <c r="A1627" t="s">
        <v>2013</v>
      </c>
      <c r="B1627" s="6">
        <v>2087</v>
      </c>
      <c r="C1627">
        <v>-8</v>
      </c>
    </row>
    <row r="1628" spans="1:3" x14ac:dyDescent="0.25">
      <c r="A1628" t="s">
        <v>2014</v>
      </c>
      <c r="B1628" s="6">
        <v>2281.0909999999999</v>
      </c>
      <c r="C1628">
        <v>-9</v>
      </c>
    </row>
    <row r="1629" spans="1:3" x14ac:dyDescent="0.25">
      <c r="A1629" t="s">
        <v>2015</v>
      </c>
      <c r="B1629" s="6">
        <v>2087</v>
      </c>
      <c r="C1629">
        <v>-8</v>
      </c>
    </row>
    <row r="1630" spans="1:3" x14ac:dyDescent="0.25">
      <c r="A1630" t="s">
        <v>2016</v>
      </c>
      <c r="B1630" s="6">
        <v>2281.0909999999999</v>
      </c>
      <c r="C1630">
        <v>-9</v>
      </c>
    </row>
    <row r="1631" spans="1:3" x14ac:dyDescent="0.25">
      <c r="A1631" t="s">
        <v>2017</v>
      </c>
      <c r="B1631" s="6">
        <v>2548.2270000000003</v>
      </c>
      <c r="C1631">
        <v>-11</v>
      </c>
    </row>
    <row r="1632" spans="1:3" x14ac:dyDescent="0.25">
      <c r="A1632" t="s">
        <v>2018</v>
      </c>
      <c r="B1632" s="6">
        <v>2087</v>
      </c>
      <c r="C1632">
        <v>-8</v>
      </c>
    </row>
    <row r="1633" spans="1:3" x14ac:dyDescent="0.25">
      <c r="A1633" t="s">
        <v>2019</v>
      </c>
      <c r="B1633" s="6">
        <v>2087</v>
      </c>
      <c r="C1633">
        <v>-8</v>
      </c>
    </row>
    <row r="1634" spans="1:3" x14ac:dyDescent="0.25">
      <c r="A1634" t="s">
        <v>2020</v>
      </c>
      <c r="B1634" s="6">
        <v>2379.1800000000003</v>
      </c>
      <c r="C1634">
        <v>-10</v>
      </c>
    </row>
    <row r="1635" spans="1:3" x14ac:dyDescent="0.25">
      <c r="A1635" t="s">
        <v>2021</v>
      </c>
      <c r="B1635" s="6">
        <v>2087</v>
      </c>
      <c r="C1635">
        <v>-8</v>
      </c>
    </row>
    <row r="1636" spans="1:3" x14ac:dyDescent="0.25">
      <c r="A1636" t="s">
        <v>2022</v>
      </c>
      <c r="B1636" s="6">
        <v>1988.9109999999998</v>
      </c>
      <c r="C1636">
        <v>-8</v>
      </c>
    </row>
    <row r="1637" spans="1:3" x14ac:dyDescent="0.25">
      <c r="A1637" t="s">
        <v>2023</v>
      </c>
      <c r="B1637" s="6">
        <v>1988.9109999999998</v>
      </c>
      <c r="C1637">
        <v>-8</v>
      </c>
    </row>
    <row r="1638" spans="1:3" x14ac:dyDescent="0.25">
      <c r="A1638" t="s">
        <v>2024</v>
      </c>
      <c r="B1638" s="6">
        <v>1988.9109999999998</v>
      </c>
      <c r="C1638">
        <v>-8</v>
      </c>
    </row>
    <row r="1639" spans="1:3" x14ac:dyDescent="0.25">
      <c r="A1639" t="s">
        <v>2025</v>
      </c>
      <c r="B1639" s="6">
        <v>2087</v>
      </c>
      <c r="C1639">
        <v>-8</v>
      </c>
    </row>
    <row r="1640" spans="1:3" x14ac:dyDescent="0.25">
      <c r="A1640" t="s">
        <v>2026</v>
      </c>
      <c r="B1640" s="6">
        <v>2087</v>
      </c>
      <c r="C1640">
        <v>-8</v>
      </c>
    </row>
    <row r="1641" spans="1:3" x14ac:dyDescent="0.25">
      <c r="A1641" t="s">
        <v>2027</v>
      </c>
      <c r="B1641" s="6">
        <v>2281.0909999999999</v>
      </c>
      <c r="C1641">
        <v>-10</v>
      </c>
    </row>
    <row r="1642" spans="1:3" x14ac:dyDescent="0.25">
      <c r="A1642" t="s">
        <v>2028</v>
      </c>
      <c r="B1642" s="6">
        <v>2790.319</v>
      </c>
      <c r="C1642">
        <v>-11</v>
      </c>
    </row>
    <row r="1643" spans="1:3" x14ac:dyDescent="0.25">
      <c r="A1643" t="s">
        <v>2029</v>
      </c>
      <c r="B1643" s="6">
        <v>2281.0909999999999</v>
      </c>
      <c r="C1643">
        <v>-10</v>
      </c>
    </row>
    <row r="1644" spans="1:3" x14ac:dyDescent="0.25">
      <c r="A1644" t="s">
        <v>2030</v>
      </c>
      <c r="B1644" s="6">
        <v>2087</v>
      </c>
      <c r="C1644">
        <v>-9</v>
      </c>
    </row>
    <row r="1645" spans="1:3" x14ac:dyDescent="0.25">
      <c r="A1645" t="s">
        <v>2031</v>
      </c>
      <c r="B1645" s="6">
        <v>2185.0889999999999</v>
      </c>
      <c r="C1645">
        <v>-8</v>
      </c>
    </row>
    <row r="1646" spans="1:3" x14ac:dyDescent="0.25">
      <c r="A1646" t="s">
        <v>2032</v>
      </c>
      <c r="B1646" s="6">
        <v>2185.0889999999999</v>
      </c>
      <c r="C1646">
        <v>-8</v>
      </c>
    </row>
    <row r="1647" spans="1:3" x14ac:dyDescent="0.25">
      <c r="A1647" t="s">
        <v>2033</v>
      </c>
      <c r="B1647" s="6">
        <v>2379.1800000000003</v>
      </c>
      <c r="C1647">
        <v>-10</v>
      </c>
    </row>
    <row r="1648" spans="1:3" x14ac:dyDescent="0.25">
      <c r="A1648" t="s">
        <v>2034</v>
      </c>
      <c r="B1648" s="6">
        <v>2185.0889999999999</v>
      </c>
      <c r="C1648">
        <v>-9</v>
      </c>
    </row>
    <row r="1649" spans="1:3" x14ac:dyDescent="0.25">
      <c r="A1649" t="s">
        <v>2035</v>
      </c>
      <c r="B1649" s="6">
        <v>2281.0909999999999</v>
      </c>
      <c r="C1649">
        <v>-9</v>
      </c>
    </row>
    <row r="1650" spans="1:3" x14ac:dyDescent="0.25">
      <c r="A1650" t="s">
        <v>2036</v>
      </c>
      <c r="B1650" s="6">
        <v>2281.0909999999999</v>
      </c>
      <c r="C1650">
        <v>-9</v>
      </c>
    </row>
    <row r="1651" spans="1:3" x14ac:dyDescent="0.25">
      <c r="A1651" t="s">
        <v>2037</v>
      </c>
      <c r="B1651" s="6">
        <v>1988.9109999999998</v>
      </c>
      <c r="C1651">
        <v>-8</v>
      </c>
    </row>
    <row r="1652" spans="1:3" x14ac:dyDescent="0.25">
      <c r="A1652" t="s">
        <v>2038</v>
      </c>
      <c r="B1652" s="6">
        <v>2281.0909999999999</v>
      </c>
      <c r="C1652">
        <v>-10</v>
      </c>
    </row>
    <row r="1653" spans="1:3" x14ac:dyDescent="0.25">
      <c r="A1653" t="s">
        <v>2039</v>
      </c>
      <c r="B1653" s="6">
        <v>2087</v>
      </c>
      <c r="C1653">
        <v>-8</v>
      </c>
    </row>
    <row r="1654" spans="1:3" x14ac:dyDescent="0.25">
      <c r="A1654" t="s">
        <v>2040</v>
      </c>
      <c r="B1654" s="6">
        <v>2087</v>
      </c>
      <c r="C1654">
        <v>-8</v>
      </c>
    </row>
    <row r="1655" spans="1:3" x14ac:dyDescent="0.25">
      <c r="A1655" t="s">
        <v>2041</v>
      </c>
      <c r="B1655" s="6">
        <v>1988.9109999999998</v>
      </c>
      <c r="C1655">
        <v>-8</v>
      </c>
    </row>
    <row r="1656" spans="1:3" x14ac:dyDescent="0.25">
      <c r="A1656" t="s">
        <v>2042</v>
      </c>
      <c r="B1656" s="6">
        <v>2185.0889999999999</v>
      </c>
      <c r="C1656">
        <v>-9</v>
      </c>
    </row>
    <row r="1657" spans="1:3" x14ac:dyDescent="0.25">
      <c r="A1657" t="s">
        <v>2042</v>
      </c>
      <c r="B1657" s="6">
        <v>2087</v>
      </c>
      <c r="C1657">
        <v>-8</v>
      </c>
    </row>
    <row r="1658" spans="1:3" x14ac:dyDescent="0.25">
      <c r="A1658" t="s">
        <v>2043</v>
      </c>
      <c r="B1658" s="6">
        <v>2790.319</v>
      </c>
      <c r="C1658">
        <v>-11</v>
      </c>
    </row>
    <row r="1659" spans="1:3" x14ac:dyDescent="0.25">
      <c r="A1659" t="s">
        <v>2044</v>
      </c>
      <c r="B1659" s="6">
        <v>2185.0889999999999</v>
      </c>
      <c r="C1659">
        <v>-9</v>
      </c>
    </row>
    <row r="1660" spans="1:3" x14ac:dyDescent="0.25">
      <c r="A1660" t="s">
        <v>2045</v>
      </c>
      <c r="B1660" s="6">
        <v>2281.0909999999999</v>
      </c>
      <c r="C1660">
        <v>-9</v>
      </c>
    </row>
    <row r="1661" spans="1:3" x14ac:dyDescent="0.25">
      <c r="A1661" t="s">
        <v>2046</v>
      </c>
      <c r="B1661" s="6">
        <v>2087</v>
      </c>
      <c r="C1661">
        <v>-9</v>
      </c>
    </row>
    <row r="1662" spans="1:3" x14ac:dyDescent="0.25">
      <c r="A1662" t="s">
        <v>2046</v>
      </c>
      <c r="B1662" s="6">
        <v>1988.9109999999998</v>
      </c>
      <c r="C1662">
        <v>-8</v>
      </c>
    </row>
    <row r="1663" spans="1:3" x14ac:dyDescent="0.25">
      <c r="A1663" t="s">
        <v>2047</v>
      </c>
      <c r="B1663" s="6">
        <v>1988.9109999999998</v>
      </c>
      <c r="C1663">
        <v>-8</v>
      </c>
    </row>
    <row r="1664" spans="1:3" x14ac:dyDescent="0.25">
      <c r="A1664" t="s">
        <v>2048</v>
      </c>
      <c r="B1664" s="6">
        <v>2087</v>
      </c>
      <c r="C1664">
        <v>-8</v>
      </c>
    </row>
    <row r="1665" spans="1:3" x14ac:dyDescent="0.25">
      <c r="A1665" t="s">
        <v>2049</v>
      </c>
      <c r="B1665" s="6">
        <v>2790.319</v>
      </c>
      <c r="C1665">
        <v>-10</v>
      </c>
    </row>
    <row r="1666" spans="1:3" x14ac:dyDescent="0.25">
      <c r="A1666" t="s">
        <v>2050</v>
      </c>
      <c r="B1666" s="6">
        <v>2087</v>
      </c>
      <c r="C1666">
        <v>-9</v>
      </c>
    </row>
    <row r="1667" spans="1:3" x14ac:dyDescent="0.25">
      <c r="A1667" t="s">
        <v>2051</v>
      </c>
      <c r="B1667" s="6">
        <v>1988.9109999999998</v>
      </c>
      <c r="C1667">
        <v>-8</v>
      </c>
    </row>
    <row r="1668" spans="1:3" x14ac:dyDescent="0.25">
      <c r="A1668" t="s">
        <v>2052</v>
      </c>
      <c r="B1668" s="6">
        <v>2379.1800000000003</v>
      </c>
      <c r="C1668">
        <v>-10</v>
      </c>
    </row>
    <row r="1669" spans="1:3" x14ac:dyDescent="0.25">
      <c r="A1669" t="s">
        <v>2053</v>
      </c>
      <c r="B1669" s="6">
        <v>2379.1800000000003</v>
      </c>
      <c r="C1669">
        <v>-10</v>
      </c>
    </row>
    <row r="1670" spans="1:3" x14ac:dyDescent="0.25">
      <c r="A1670" t="s">
        <v>2054</v>
      </c>
      <c r="B1670" s="6">
        <v>2379.1800000000003</v>
      </c>
      <c r="C1670">
        <v>-10</v>
      </c>
    </row>
    <row r="1671" spans="1:3" x14ac:dyDescent="0.25">
      <c r="A1671" t="s">
        <v>2055</v>
      </c>
      <c r="B1671" s="6">
        <v>2087</v>
      </c>
      <c r="C1671">
        <v>-8</v>
      </c>
    </row>
    <row r="1672" spans="1:3" x14ac:dyDescent="0.25">
      <c r="A1672" t="s">
        <v>2056</v>
      </c>
      <c r="B1672" s="6">
        <v>2548.2270000000003</v>
      </c>
      <c r="C1672">
        <v>-11</v>
      </c>
    </row>
    <row r="1673" spans="1:3" x14ac:dyDescent="0.25">
      <c r="A1673" t="s">
        <v>2057</v>
      </c>
      <c r="B1673" s="6">
        <v>2548.2270000000003</v>
      </c>
      <c r="C1673">
        <v>-11</v>
      </c>
    </row>
    <row r="1674" spans="1:3" x14ac:dyDescent="0.25">
      <c r="A1674" t="s">
        <v>2058</v>
      </c>
      <c r="B1674" s="6">
        <v>2281.0909999999999</v>
      </c>
      <c r="C1674">
        <v>-9</v>
      </c>
    </row>
    <row r="1675" spans="1:3" x14ac:dyDescent="0.25">
      <c r="A1675" t="s">
        <v>2059</v>
      </c>
      <c r="B1675" s="6">
        <v>2281.0909999999999</v>
      </c>
      <c r="C1675">
        <v>-9</v>
      </c>
    </row>
    <row r="1676" spans="1:3" x14ac:dyDescent="0.25">
      <c r="A1676" t="s">
        <v>2060</v>
      </c>
      <c r="B1676" s="6">
        <v>2281.0909999999999</v>
      </c>
      <c r="C1676">
        <v>-9</v>
      </c>
    </row>
    <row r="1677" spans="1:3" x14ac:dyDescent="0.25">
      <c r="A1677" t="s">
        <v>2061</v>
      </c>
      <c r="B1677" s="6">
        <v>2281.0909999999999</v>
      </c>
      <c r="C1677">
        <v>-10</v>
      </c>
    </row>
    <row r="1678" spans="1:3" x14ac:dyDescent="0.25">
      <c r="A1678" t="s">
        <v>2062</v>
      </c>
      <c r="B1678" s="6">
        <v>2281.0909999999999</v>
      </c>
      <c r="C1678">
        <v>-9</v>
      </c>
    </row>
    <row r="1679" spans="1:3" x14ac:dyDescent="0.25">
      <c r="A1679" t="s">
        <v>2063</v>
      </c>
      <c r="B1679" s="6">
        <v>2548.2270000000003</v>
      </c>
      <c r="C1679">
        <v>-11</v>
      </c>
    </row>
    <row r="1680" spans="1:3" x14ac:dyDescent="0.25">
      <c r="A1680" t="s">
        <v>2064</v>
      </c>
      <c r="B1680" s="6">
        <v>2548.2270000000003</v>
      </c>
      <c r="C1680">
        <v>-10</v>
      </c>
    </row>
    <row r="1681" spans="1:3" x14ac:dyDescent="0.25">
      <c r="A1681" t="s">
        <v>2065</v>
      </c>
      <c r="B1681" s="6">
        <v>2281.0909999999999</v>
      </c>
      <c r="C1681">
        <v>-10</v>
      </c>
    </row>
    <row r="1682" spans="1:3" x14ac:dyDescent="0.25">
      <c r="A1682" t="s">
        <v>2066</v>
      </c>
      <c r="B1682" s="6">
        <v>1988.9109999999998</v>
      </c>
      <c r="C1682">
        <v>-8</v>
      </c>
    </row>
    <row r="1683" spans="1:3" x14ac:dyDescent="0.25">
      <c r="A1683" t="s">
        <v>2067</v>
      </c>
      <c r="B1683" s="6">
        <v>2087</v>
      </c>
      <c r="C1683">
        <v>-8</v>
      </c>
    </row>
    <row r="1684" spans="1:3" x14ac:dyDescent="0.25">
      <c r="A1684" t="s">
        <v>2068</v>
      </c>
      <c r="B1684" s="6">
        <v>2087</v>
      </c>
      <c r="C1684">
        <v>-8</v>
      </c>
    </row>
    <row r="1685" spans="1:3" x14ac:dyDescent="0.25">
      <c r="A1685" t="s">
        <v>2068</v>
      </c>
      <c r="B1685" s="6">
        <v>2087</v>
      </c>
      <c r="C1685">
        <v>-8</v>
      </c>
    </row>
    <row r="1686" spans="1:3" x14ac:dyDescent="0.25">
      <c r="A1686" t="s">
        <v>2069</v>
      </c>
      <c r="B1686" s="6">
        <v>2087</v>
      </c>
      <c r="C1686">
        <v>-8</v>
      </c>
    </row>
    <row r="1687" spans="1:3" x14ac:dyDescent="0.25">
      <c r="A1687" t="s">
        <v>2070</v>
      </c>
      <c r="B1687" s="6">
        <v>2087</v>
      </c>
      <c r="C1687">
        <v>-8</v>
      </c>
    </row>
    <row r="1688" spans="1:3" x14ac:dyDescent="0.25">
      <c r="A1688" t="s">
        <v>2071</v>
      </c>
      <c r="B1688" s="6">
        <v>2087</v>
      </c>
      <c r="C1688">
        <v>-8</v>
      </c>
    </row>
    <row r="1689" spans="1:3" x14ac:dyDescent="0.25">
      <c r="A1689" t="s">
        <v>2072</v>
      </c>
      <c r="B1689" s="6">
        <v>2087</v>
      </c>
      <c r="C1689">
        <v>-8</v>
      </c>
    </row>
    <row r="1690" spans="1:3" x14ac:dyDescent="0.25">
      <c r="A1690" t="s">
        <v>2073</v>
      </c>
      <c r="B1690" s="6">
        <v>2087</v>
      </c>
      <c r="C1690">
        <v>-8</v>
      </c>
    </row>
    <row r="1691" spans="1:3" x14ac:dyDescent="0.25">
      <c r="A1691" t="s">
        <v>2074</v>
      </c>
      <c r="B1691" s="6">
        <v>2087</v>
      </c>
      <c r="C1691">
        <v>-8</v>
      </c>
    </row>
    <row r="1692" spans="1:3" x14ac:dyDescent="0.25">
      <c r="A1692" t="s">
        <v>2075</v>
      </c>
      <c r="B1692" s="6">
        <v>2087</v>
      </c>
      <c r="C1692">
        <v>-8</v>
      </c>
    </row>
    <row r="1693" spans="1:3" x14ac:dyDescent="0.25">
      <c r="A1693" t="s">
        <v>2076</v>
      </c>
      <c r="B1693" s="6">
        <v>2185.0889999999999</v>
      </c>
      <c r="C1693">
        <v>-9</v>
      </c>
    </row>
    <row r="1694" spans="1:3" x14ac:dyDescent="0.25">
      <c r="A1694" t="s">
        <v>2077</v>
      </c>
      <c r="B1694" s="6">
        <v>2185.0889999999999</v>
      </c>
      <c r="C1694">
        <v>-8</v>
      </c>
    </row>
    <row r="1695" spans="1:3" x14ac:dyDescent="0.25">
      <c r="A1695" t="s">
        <v>2078</v>
      </c>
      <c r="B1695" s="6">
        <v>2087</v>
      </c>
      <c r="C1695">
        <v>-8</v>
      </c>
    </row>
    <row r="1696" spans="1:3" x14ac:dyDescent="0.25">
      <c r="A1696" t="s">
        <v>2079</v>
      </c>
      <c r="B1696" s="6">
        <v>2087</v>
      </c>
      <c r="C1696">
        <v>-8</v>
      </c>
    </row>
    <row r="1697" spans="1:3" x14ac:dyDescent="0.25">
      <c r="A1697" t="s">
        <v>2080</v>
      </c>
      <c r="B1697" s="6">
        <v>2087</v>
      </c>
      <c r="C1697">
        <v>-8</v>
      </c>
    </row>
    <row r="1698" spans="1:3" x14ac:dyDescent="0.25">
      <c r="A1698" t="s">
        <v>2081</v>
      </c>
      <c r="B1698" s="6">
        <v>2087</v>
      </c>
      <c r="C1698">
        <v>-8</v>
      </c>
    </row>
    <row r="1699" spans="1:3" x14ac:dyDescent="0.25">
      <c r="A1699" t="s">
        <v>2082</v>
      </c>
      <c r="B1699" s="6">
        <v>2087</v>
      </c>
      <c r="C1699">
        <v>-8</v>
      </c>
    </row>
    <row r="1700" spans="1:3" x14ac:dyDescent="0.25">
      <c r="A1700" t="s">
        <v>2083</v>
      </c>
      <c r="B1700" s="6">
        <v>2185.0889999999999</v>
      </c>
      <c r="C1700">
        <v>-9</v>
      </c>
    </row>
    <row r="1701" spans="1:3" x14ac:dyDescent="0.25">
      <c r="A1701" t="s">
        <v>2084</v>
      </c>
      <c r="B1701" s="6">
        <v>2185.0889999999999</v>
      </c>
      <c r="C1701">
        <v>-9</v>
      </c>
    </row>
    <row r="1702" spans="1:3" x14ac:dyDescent="0.25">
      <c r="A1702" t="s">
        <v>2085</v>
      </c>
      <c r="B1702" s="6">
        <v>2087</v>
      </c>
      <c r="C1702">
        <v>-8</v>
      </c>
    </row>
    <row r="1703" spans="1:3" x14ac:dyDescent="0.25">
      <c r="A1703" t="s">
        <v>2086</v>
      </c>
      <c r="B1703" s="6">
        <v>2087</v>
      </c>
      <c r="C1703">
        <v>-8</v>
      </c>
    </row>
    <row r="1704" spans="1:3" x14ac:dyDescent="0.25">
      <c r="A1704" t="s">
        <v>2087</v>
      </c>
      <c r="B1704" s="6">
        <v>2087</v>
      </c>
      <c r="C1704">
        <v>-8</v>
      </c>
    </row>
    <row r="1705" spans="1:3" x14ac:dyDescent="0.25">
      <c r="A1705" t="s">
        <v>2088</v>
      </c>
      <c r="B1705" s="6">
        <v>2087</v>
      </c>
      <c r="C1705">
        <v>-8</v>
      </c>
    </row>
    <row r="1706" spans="1:3" x14ac:dyDescent="0.25">
      <c r="A1706" t="s">
        <v>2089</v>
      </c>
      <c r="B1706" s="6">
        <v>2185.0889999999999</v>
      </c>
      <c r="C1706">
        <v>-8</v>
      </c>
    </row>
    <row r="1707" spans="1:3" x14ac:dyDescent="0.25">
      <c r="A1707" t="s">
        <v>2090</v>
      </c>
      <c r="B1707" s="6">
        <v>2281.0909999999999</v>
      </c>
      <c r="C1707">
        <v>-9</v>
      </c>
    </row>
    <row r="1708" spans="1:3" x14ac:dyDescent="0.25">
      <c r="A1708" t="s">
        <v>2091</v>
      </c>
      <c r="B1708" s="6">
        <v>2087</v>
      </c>
      <c r="C1708">
        <v>-8</v>
      </c>
    </row>
    <row r="1709" spans="1:3" x14ac:dyDescent="0.25">
      <c r="A1709" t="s">
        <v>2092</v>
      </c>
      <c r="B1709" s="6">
        <v>2379.1800000000003</v>
      </c>
      <c r="C1709">
        <v>-10</v>
      </c>
    </row>
    <row r="1710" spans="1:3" x14ac:dyDescent="0.25">
      <c r="A1710" t="s">
        <v>2093</v>
      </c>
      <c r="B1710" s="6">
        <v>2379.1800000000003</v>
      </c>
      <c r="C1710">
        <v>-10</v>
      </c>
    </row>
    <row r="1711" spans="1:3" x14ac:dyDescent="0.25">
      <c r="A1711" t="s">
        <v>2094</v>
      </c>
      <c r="B1711" s="6">
        <v>2281.0909999999999</v>
      </c>
      <c r="C1711">
        <v>-9</v>
      </c>
    </row>
    <row r="1712" spans="1:3" x14ac:dyDescent="0.25">
      <c r="A1712" t="s">
        <v>2094</v>
      </c>
      <c r="B1712" s="6">
        <v>2790.319</v>
      </c>
      <c r="C1712">
        <v>-11</v>
      </c>
    </row>
    <row r="1713" spans="1:3" x14ac:dyDescent="0.25">
      <c r="A1713" t="s">
        <v>2095</v>
      </c>
      <c r="B1713" s="6">
        <v>2087</v>
      </c>
      <c r="C1713">
        <v>-8</v>
      </c>
    </row>
    <row r="1714" spans="1:3" x14ac:dyDescent="0.25">
      <c r="A1714" t="s">
        <v>2096</v>
      </c>
      <c r="B1714" s="6">
        <v>2087</v>
      </c>
      <c r="C1714">
        <v>-8</v>
      </c>
    </row>
    <row r="1715" spans="1:3" x14ac:dyDescent="0.25">
      <c r="A1715" t="s">
        <v>2097</v>
      </c>
      <c r="B1715" s="6">
        <v>2281.0909999999999</v>
      </c>
      <c r="C1715">
        <v>-10</v>
      </c>
    </row>
    <row r="1716" spans="1:3" x14ac:dyDescent="0.25">
      <c r="A1716" t="s">
        <v>2098</v>
      </c>
      <c r="B1716" s="6">
        <v>2281.0909999999999</v>
      </c>
      <c r="C1716">
        <v>-9</v>
      </c>
    </row>
    <row r="1717" spans="1:3" x14ac:dyDescent="0.25">
      <c r="A1717" t="s">
        <v>2099</v>
      </c>
      <c r="B1717" s="6">
        <v>2281.0909999999999</v>
      </c>
      <c r="C1717">
        <v>-9</v>
      </c>
    </row>
    <row r="1718" spans="1:3" x14ac:dyDescent="0.25">
      <c r="A1718" t="s">
        <v>2100</v>
      </c>
      <c r="B1718" s="6">
        <v>2281.0909999999999</v>
      </c>
      <c r="C1718">
        <v>-10</v>
      </c>
    </row>
    <row r="1719" spans="1:3" x14ac:dyDescent="0.25">
      <c r="A1719" t="s">
        <v>2101</v>
      </c>
      <c r="B1719" s="6">
        <v>1988.9109999999998</v>
      </c>
      <c r="C1719">
        <v>-8</v>
      </c>
    </row>
    <row r="1720" spans="1:3" x14ac:dyDescent="0.25">
      <c r="A1720" t="s">
        <v>2102</v>
      </c>
      <c r="B1720" s="6">
        <v>2185.0889999999999</v>
      </c>
      <c r="C1720">
        <v>-8</v>
      </c>
    </row>
    <row r="1721" spans="1:3" x14ac:dyDescent="0.25">
      <c r="A1721" t="s">
        <v>2103</v>
      </c>
      <c r="B1721" s="6">
        <v>2087</v>
      </c>
      <c r="C1721">
        <v>-9</v>
      </c>
    </row>
    <row r="1722" spans="1:3" x14ac:dyDescent="0.25">
      <c r="A1722" t="s">
        <v>2104</v>
      </c>
      <c r="B1722" s="6">
        <v>1988.9109999999998</v>
      </c>
      <c r="C1722">
        <v>-8</v>
      </c>
    </row>
    <row r="1723" spans="1:3" x14ac:dyDescent="0.25">
      <c r="A1723" t="s">
        <v>2105</v>
      </c>
      <c r="B1723" s="6">
        <v>2087</v>
      </c>
      <c r="C1723">
        <v>-8</v>
      </c>
    </row>
    <row r="1724" spans="1:3" x14ac:dyDescent="0.25">
      <c r="A1724" t="s">
        <v>2106</v>
      </c>
      <c r="B1724" s="6">
        <v>1988.9109999999998</v>
      </c>
      <c r="C1724">
        <v>-8</v>
      </c>
    </row>
    <row r="1725" spans="1:3" x14ac:dyDescent="0.25">
      <c r="A1725" t="s">
        <v>2107</v>
      </c>
      <c r="B1725" s="6">
        <v>2087</v>
      </c>
      <c r="C1725">
        <v>-8</v>
      </c>
    </row>
    <row r="1726" spans="1:3" x14ac:dyDescent="0.25">
      <c r="A1726" t="s">
        <v>2107</v>
      </c>
      <c r="B1726" s="6">
        <v>2087</v>
      </c>
      <c r="C1726">
        <v>-8</v>
      </c>
    </row>
    <row r="1727" spans="1:3" x14ac:dyDescent="0.25">
      <c r="A1727" t="s">
        <v>2108</v>
      </c>
      <c r="B1727" s="6">
        <v>1988.9109999999998</v>
      </c>
      <c r="C1727">
        <v>-8</v>
      </c>
    </row>
    <row r="1728" spans="1:3" x14ac:dyDescent="0.25">
      <c r="A1728" t="s">
        <v>2109</v>
      </c>
      <c r="B1728" s="6">
        <v>1988.9109999999998</v>
      </c>
      <c r="C1728">
        <v>-8</v>
      </c>
    </row>
    <row r="1729" spans="1:3" x14ac:dyDescent="0.25">
      <c r="A1729" t="s">
        <v>2110</v>
      </c>
      <c r="B1729" s="6">
        <v>1892.9090000000001</v>
      </c>
      <c r="C1729">
        <v>-8</v>
      </c>
    </row>
    <row r="1730" spans="1:3" x14ac:dyDescent="0.25">
      <c r="A1730" t="s">
        <v>2111</v>
      </c>
      <c r="B1730" s="6">
        <v>1892.9090000000001</v>
      </c>
      <c r="C1730">
        <v>-7</v>
      </c>
    </row>
    <row r="1731" spans="1:3" x14ac:dyDescent="0.25">
      <c r="A1731" t="s">
        <v>2112</v>
      </c>
      <c r="B1731" s="6">
        <v>1892.9090000000001</v>
      </c>
      <c r="C1731">
        <v>-7</v>
      </c>
    </row>
    <row r="1732" spans="1:3" x14ac:dyDescent="0.25">
      <c r="A1732" t="s">
        <v>2113</v>
      </c>
      <c r="B1732" s="6">
        <v>2087</v>
      </c>
      <c r="C1732">
        <v>-8</v>
      </c>
    </row>
    <row r="1733" spans="1:3" x14ac:dyDescent="0.25">
      <c r="A1733" t="s">
        <v>2114</v>
      </c>
      <c r="B1733" s="6">
        <v>2087</v>
      </c>
      <c r="C1733">
        <v>-9</v>
      </c>
    </row>
    <row r="1734" spans="1:3" x14ac:dyDescent="0.25">
      <c r="A1734" t="s">
        <v>2115</v>
      </c>
      <c r="B1734" s="6">
        <v>2087</v>
      </c>
      <c r="C1734">
        <v>-9</v>
      </c>
    </row>
    <row r="1735" spans="1:3" x14ac:dyDescent="0.25">
      <c r="A1735" t="s">
        <v>2116</v>
      </c>
      <c r="B1735" s="6">
        <v>2087</v>
      </c>
      <c r="C1735">
        <v>-8</v>
      </c>
    </row>
    <row r="1736" spans="1:3" x14ac:dyDescent="0.25">
      <c r="A1736" t="s">
        <v>2117</v>
      </c>
      <c r="B1736" s="6">
        <v>2087</v>
      </c>
      <c r="C1736">
        <v>-8</v>
      </c>
    </row>
    <row r="1737" spans="1:3" x14ac:dyDescent="0.25">
      <c r="A1737" t="s">
        <v>2118</v>
      </c>
      <c r="B1737" s="6">
        <v>2379.1800000000003</v>
      </c>
      <c r="C1737">
        <v>-10</v>
      </c>
    </row>
    <row r="1738" spans="1:3" x14ac:dyDescent="0.25">
      <c r="A1738" t="s">
        <v>2119</v>
      </c>
      <c r="B1738" s="6">
        <v>2087</v>
      </c>
      <c r="C1738">
        <v>-9</v>
      </c>
    </row>
    <row r="1739" spans="1:3" x14ac:dyDescent="0.25">
      <c r="A1739" t="s">
        <v>2120</v>
      </c>
      <c r="B1739" s="6">
        <v>2379.1800000000003</v>
      </c>
      <c r="C1739">
        <v>-10</v>
      </c>
    </row>
    <row r="1740" spans="1:3" x14ac:dyDescent="0.25">
      <c r="A1740" t="s">
        <v>2121</v>
      </c>
      <c r="B1740" s="6">
        <v>2790.319</v>
      </c>
      <c r="C1740">
        <v>-11</v>
      </c>
    </row>
    <row r="1741" spans="1:3" x14ac:dyDescent="0.25">
      <c r="A1741" t="s">
        <v>2122</v>
      </c>
      <c r="B1741" s="6">
        <v>2548.2270000000003</v>
      </c>
      <c r="C1741">
        <v>-11</v>
      </c>
    </row>
    <row r="1742" spans="1:3" x14ac:dyDescent="0.25">
      <c r="A1742" t="s">
        <v>2123</v>
      </c>
      <c r="B1742" s="6">
        <v>2087</v>
      </c>
      <c r="C1742">
        <v>-8</v>
      </c>
    </row>
    <row r="1743" spans="1:3" x14ac:dyDescent="0.25">
      <c r="A1743" t="s">
        <v>2124</v>
      </c>
      <c r="B1743" s="6">
        <v>2087</v>
      </c>
      <c r="C1743">
        <v>-8</v>
      </c>
    </row>
    <row r="1744" spans="1:3" x14ac:dyDescent="0.25">
      <c r="A1744" t="s">
        <v>2125</v>
      </c>
      <c r="B1744" s="6">
        <v>2185.0889999999999</v>
      </c>
      <c r="C1744">
        <v>-8</v>
      </c>
    </row>
    <row r="1745" spans="1:3" x14ac:dyDescent="0.25">
      <c r="A1745" t="s">
        <v>2126</v>
      </c>
      <c r="B1745" s="6">
        <v>2790.319</v>
      </c>
      <c r="C1745">
        <v>-10</v>
      </c>
    </row>
    <row r="1746" spans="1:3" x14ac:dyDescent="0.25">
      <c r="A1746" t="s">
        <v>2127</v>
      </c>
      <c r="B1746" s="6">
        <v>2379.1800000000003</v>
      </c>
      <c r="C1746">
        <v>-10</v>
      </c>
    </row>
    <row r="1747" spans="1:3" x14ac:dyDescent="0.25">
      <c r="A1747" t="s">
        <v>2128</v>
      </c>
      <c r="B1747" s="6">
        <v>1988.9109999999998</v>
      </c>
      <c r="C1747">
        <v>-8</v>
      </c>
    </row>
    <row r="1748" spans="1:3" x14ac:dyDescent="0.25">
      <c r="A1748" t="s">
        <v>2129</v>
      </c>
      <c r="B1748" s="6">
        <v>2790.319</v>
      </c>
      <c r="C1748">
        <v>-11</v>
      </c>
    </row>
    <row r="1749" spans="1:3" x14ac:dyDescent="0.25">
      <c r="A1749" t="s">
        <v>2130</v>
      </c>
      <c r="B1749" s="6">
        <v>2087</v>
      </c>
      <c r="C1749">
        <v>-9</v>
      </c>
    </row>
    <row r="1750" spans="1:3" x14ac:dyDescent="0.25">
      <c r="A1750" t="s">
        <v>2131</v>
      </c>
      <c r="B1750" s="6">
        <v>1988.9109999999998</v>
      </c>
      <c r="C1750">
        <v>-8</v>
      </c>
    </row>
    <row r="1751" spans="1:3" x14ac:dyDescent="0.25">
      <c r="A1751" t="s">
        <v>2132</v>
      </c>
      <c r="B1751" s="6">
        <v>2087</v>
      </c>
      <c r="C1751">
        <v>-8</v>
      </c>
    </row>
    <row r="1752" spans="1:3" x14ac:dyDescent="0.25">
      <c r="A1752" t="s">
        <v>2133</v>
      </c>
      <c r="B1752" s="6">
        <v>2790.319</v>
      </c>
      <c r="C1752">
        <v>-11</v>
      </c>
    </row>
    <row r="1753" spans="1:3" x14ac:dyDescent="0.25">
      <c r="A1753" t="s">
        <v>2134</v>
      </c>
      <c r="B1753" s="6">
        <v>2185.0889999999999</v>
      </c>
      <c r="C1753">
        <v>-8</v>
      </c>
    </row>
    <row r="1754" spans="1:3" x14ac:dyDescent="0.25">
      <c r="A1754" t="s">
        <v>2135</v>
      </c>
      <c r="B1754" s="6">
        <v>2548.2270000000003</v>
      </c>
      <c r="C1754">
        <v>-11</v>
      </c>
    </row>
    <row r="1755" spans="1:3" x14ac:dyDescent="0.25">
      <c r="A1755" t="s">
        <v>2136</v>
      </c>
      <c r="B1755" s="6">
        <v>2185.0889999999999</v>
      </c>
      <c r="C1755">
        <v>-9</v>
      </c>
    </row>
    <row r="1756" spans="1:3" x14ac:dyDescent="0.25">
      <c r="A1756" t="s">
        <v>2137</v>
      </c>
      <c r="B1756" s="6">
        <v>2185.0889999999999</v>
      </c>
      <c r="C1756">
        <v>-9</v>
      </c>
    </row>
    <row r="1757" spans="1:3" x14ac:dyDescent="0.25">
      <c r="A1757" t="s">
        <v>2135</v>
      </c>
      <c r="B1757" s="6">
        <v>2185.0889999999999</v>
      </c>
      <c r="C1757">
        <v>-9</v>
      </c>
    </row>
    <row r="1758" spans="1:3" x14ac:dyDescent="0.25">
      <c r="A1758" t="s">
        <v>2138</v>
      </c>
      <c r="B1758" s="6">
        <v>2087</v>
      </c>
      <c r="C1758">
        <v>-8</v>
      </c>
    </row>
    <row r="1759" spans="1:3" x14ac:dyDescent="0.25">
      <c r="A1759" t="s">
        <v>2139</v>
      </c>
      <c r="B1759" s="6">
        <v>2185.0889999999999</v>
      </c>
      <c r="C1759">
        <v>-9</v>
      </c>
    </row>
    <row r="1760" spans="1:3" x14ac:dyDescent="0.25">
      <c r="A1760" t="s">
        <v>2140</v>
      </c>
      <c r="B1760" s="6">
        <v>2087</v>
      </c>
      <c r="C1760">
        <v>-8</v>
      </c>
    </row>
    <row r="1761" spans="1:3" x14ac:dyDescent="0.25">
      <c r="A1761" t="s">
        <v>2141</v>
      </c>
      <c r="B1761" s="6">
        <v>2087</v>
      </c>
      <c r="C1761">
        <v>-8</v>
      </c>
    </row>
    <row r="1762" spans="1:3" x14ac:dyDescent="0.25">
      <c r="A1762" t="s">
        <v>2142</v>
      </c>
      <c r="B1762" s="6">
        <v>2790.319</v>
      </c>
      <c r="C1762">
        <v>-11</v>
      </c>
    </row>
    <row r="1763" spans="1:3" x14ac:dyDescent="0.25">
      <c r="A1763" t="s">
        <v>2143</v>
      </c>
      <c r="B1763" s="6">
        <v>2281.0909999999999</v>
      </c>
      <c r="C1763">
        <v>-10</v>
      </c>
    </row>
    <row r="1764" spans="1:3" x14ac:dyDescent="0.25">
      <c r="A1764" t="s">
        <v>2144</v>
      </c>
      <c r="B1764" s="6">
        <v>2548.2270000000003</v>
      </c>
      <c r="C1764">
        <v>-11</v>
      </c>
    </row>
    <row r="1765" spans="1:3" x14ac:dyDescent="0.25">
      <c r="A1765" t="s">
        <v>2145</v>
      </c>
      <c r="B1765" s="6">
        <v>2185.0889999999999</v>
      </c>
      <c r="C1765">
        <v>-9</v>
      </c>
    </row>
    <row r="1766" spans="1:3" x14ac:dyDescent="0.25">
      <c r="A1766" t="s">
        <v>2146</v>
      </c>
      <c r="B1766" s="6">
        <v>1988.9109999999998</v>
      </c>
      <c r="C1766">
        <v>-8</v>
      </c>
    </row>
    <row r="1767" spans="1:3" x14ac:dyDescent="0.25">
      <c r="A1767" t="s">
        <v>2147</v>
      </c>
      <c r="B1767" s="6">
        <v>1988.9109999999998</v>
      </c>
      <c r="C1767">
        <v>-8</v>
      </c>
    </row>
    <row r="1768" spans="1:3" x14ac:dyDescent="0.25">
      <c r="A1768" t="s">
        <v>2148</v>
      </c>
      <c r="B1768" s="6">
        <v>1988.9109999999998</v>
      </c>
      <c r="C1768">
        <v>-8</v>
      </c>
    </row>
    <row r="1769" spans="1:3" x14ac:dyDescent="0.25">
      <c r="A1769" t="s">
        <v>2149</v>
      </c>
      <c r="B1769" s="6">
        <v>1892.9090000000001</v>
      </c>
      <c r="C1769">
        <v>-8</v>
      </c>
    </row>
    <row r="1770" spans="1:3" x14ac:dyDescent="0.25">
      <c r="A1770" t="s">
        <v>2150</v>
      </c>
      <c r="B1770" s="6">
        <v>1988.9109999999998</v>
      </c>
      <c r="C1770">
        <v>-8</v>
      </c>
    </row>
    <row r="1771" spans="1:3" x14ac:dyDescent="0.25">
      <c r="A1771" t="s">
        <v>2151</v>
      </c>
      <c r="B1771" s="6">
        <v>2087</v>
      </c>
      <c r="C1771">
        <v>-8</v>
      </c>
    </row>
    <row r="1772" spans="1:3" x14ac:dyDescent="0.25">
      <c r="A1772" t="s">
        <v>2152</v>
      </c>
      <c r="B1772" s="6">
        <v>2087</v>
      </c>
      <c r="C1772">
        <v>-8</v>
      </c>
    </row>
    <row r="1773" spans="1:3" x14ac:dyDescent="0.25">
      <c r="A1773" t="s">
        <v>2153</v>
      </c>
      <c r="B1773" s="6">
        <v>2087</v>
      </c>
      <c r="C1773">
        <v>-9</v>
      </c>
    </row>
    <row r="1774" spans="1:3" x14ac:dyDescent="0.25">
      <c r="A1774" t="s">
        <v>2154</v>
      </c>
      <c r="B1774" s="6">
        <v>2790.319</v>
      </c>
      <c r="C1774">
        <v>-11</v>
      </c>
    </row>
    <row r="1775" spans="1:3" x14ac:dyDescent="0.25">
      <c r="A1775" t="s">
        <v>2155</v>
      </c>
      <c r="B1775" s="6">
        <v>2087</v>
      </c>
      <c r="C1775">
        <v>-8</v>
      </c>
    </row>
    <row r="1776" spans="1:3" x14ac:dyDescent="0.25">
      <c r="A1776" t="s">
        <v>2156</v>
      </c>
      <c r="B1776" s="6">
        <v>2087</v>
      </c>
      <c r="C1776">
        <v>-8</v>
      </c>
    </row>
    <row r="1777" spans="1:3" x14ac:dyDescent="0.25">
      <c r="A1777" t="s">
        <v>2157</v>
      </c>
      <c r="B1777" s="6">
        <v>2281.0909999999999</v>
      </c>
      <c r="C1777">
        <v>-9</v>
      </c>
    </row>
    <row r="1778" spans="1:3" x14ac:dyDescent="0.25">
      <c r="A1778" t="s">
        <v>2158</v>
      </c>
      <c r="B1778" s="6">
        <v>2379.1800000000003</v>
      </c>
      <c r="C1778">
        <v>-10</v>
      </c>
    </row>
    <row r="1779" spans="1:3" x14ac:dyDescent="0.25">
      <c r="A1779" t="s">
        <v>2159</v>
      </c>
      <c r="B1779" s="6">
        <v>2087</v>
      </c>
      <c r="C1779">
        <v>-8</v>
      </c>
    </row>
    <row r="1780" spans="1:3" x14ac:dyDescent="0.25">
      <c r="A1780" t="s">
        <v>2160</v>
      </c>
      <c r="B1780" s="6">
        <v>2790.319</v>
      </c>
      <c r="C1780">
        <v>-11</v>
      </c>
    </row>
    <row r="1781" spans="1:3" x14ac:dyDescent="0.25">
      <c r="A1781" t="s">
        <v>2161</v>
      </c>
      <c r="B1781" s="6">
        <v>2087</v>
      </c>
      <c r="C1781">
        <v>-8</v>
      </c>
    </row>
    <row r="1782" spans="1:3" x14ac:dyDescent="0.25">
      <c r="A1782" t="s">
        <v>2162</v>
      </c>
      <c r="B1782" s="6">
        <v>2087</v>
      </c>
      <c r="C1782">
        <v>-9</v>
      </c>
    </row>
    <row r="1783" spans="1:3" x14ac:dyDescent="0.25">
      <c r="A1783" t="s">
        <v>2163</v>
      </c>
      <c r="B1783" s="6">
        <v>2185.0889999999999</v>
      </c>
      <c r="C1783">
        <v>-9</v>
      </c>
    </row>
    <row r="1784" spans="1:3" x14ac:dyDescent="0.25">
      <c r="A1784" t="s">
        <v>2164</v>
      </c>
      <c r="B1784" s="6">
        <v>2087</v>
      </c>
      <c r="C1784">
        <v>-8</v>
      </c>
    </row>
    <row r="1785" spans="1:3" x14ac:dyDescent="0.25">
      <c r="A1785" t="s">
        <v>2165</v>
      </c>
      <c r="B1785" s="6">
        <v>2379.1800000000003</v>
      </c>
      <c r="C1785">
        <v>-10</v>
      </c>
    </row>
    <row r="1786" spans="1:3" x14ac:dyDescent="0.25">
      <c r="A1786" t="s">
        <v>2166</v>
      </c>
      <c r="B1786" s="6">
        <v>2087</v>
      </c>
      <c r="C1786">
        <v>-9</v>
      </c>
    </row>
    <row r="1787" spans="1:3" x14ac:dyDescent="0.25">
      <c r="A1787" t="s">
        <v>2167</v>
      </c>
      <c r="B1787" s="6">
        <v>2379.1800000000003</v>
      </c>
      <c r="C1787">
        <v>-10</v>
      </c>
    </row>
    <row r="1788" spans="1:3" x14ac:dyDescent="0.25">
      <c r="A1788" t="s">
        <v>2168</v>
      </c>
      <c r="B1788" s="6">
        <v>1988.9109999999998</v>
      </c>
      <c r="C1788">
        <v>-8</v>
      </c>
    </row>
    <row r="1789" spans="1:3" x14ac:dyDescent="0.25">
      <c r="A1789" t="s">
        <v>2169</v>
      </c>
      <c r="B1789" s="6">
        <v>2185.0889999999999</v>
      </c>
      <c r="C1789">
        <v>-9</v>
      </c>
    </row>
    <row r="1790" spans="1:3" x14ac:dyDescent="0.25">
      <c r="A1790" t="s">
        <v>2170</v>
      </c>
      <c r="B1790" s="6">
        <v>2281.0909999999999</v>
      </c>
      <c r="C1790">
        <v>-9</v>
      </c>
    </row>
    <row r="1791" spans="1:3" x14ac:dyDescent="0.25">
      <c r="A1791" t="s">
        <v>2171</v>
      </c>
      <c r="B1791" s="6">
        <v>2379.1800000000003</v>
      </c>
      <c r="C1791">
        <v>-10</v>
      </c>
    </row>
    <row r="1792" spans="1:3" x14ac:dyDescent="0.25">
      <c r="A1792" t="s">
        <v>2172</v>
      </c>
      <c r="B1792" s="6">
        <v>2379.1800000000003</v>
      </c>
      <c r="C1792">
        <v>-10</v>
      </c>
    </row>
    <row r="1793" spans="1:3" x14ac:dyDescent="0.25">
      <c r="A1793" t="s">
        <v>2173</v>
      </c>
      <c r="B1793" s="6">
        <v>2281.0909999999999</v>
      </c>
      <c r="C1793">
        <v>-10</v>
      </c>
    </row>
    <row r="1794" spans="1:3" x14ac:dyDescent="0.25">
      <c r="A1794" t="s">
        <v>2174</v>
      </c>
      <c r="B1794" s="6">
        <v>2087</v>
      </c>
      <c r="C1794">
        <v>-8</v>
      </c>
    </row>
    <row r="1795" spans="1:3" x14ac:dyDescent="0.25">
      <c r="A1795" t="s">
        <v>2175</v>
      </c>
      <c r="B1795" s="6">
        <v>2087</v>
      </c>
      <c r="C1795">
        <v>-8</v>
      </c>
    </row>
    <row r="1796" spans="1:3" x14ac:dyDescent="0.25">
      <c r="A1796" t="s">
        <v>2176</v>
      </c>
      <c r="B1796" s="6">
        <v>2185.0889999999999</v>
      </c>
      <c r="C1796">
        <v>-9</v>
      </c>
    </row>
    <row r="1797" spans="1:3" x14ac:dyDescent="0.25">
      <c r="A1797" t="s">
        <v>2177</v>
      </c>
      <c r="B1797" s="6">
        <v>2087</v>
      </c>
      <c r="C1797">
        <v>-8</v>
      </c>
    </row>
    <row r="1798" spans="1:3" x14ac:dyDescent="0.25">
      <c r="A1798" t="s">
        <v>2178</v>
      </c>
      <c r="B1798" s="6">
        <v>1988.9109999999998</v>
      </c>
      <c r="C1798">
        <v>-8</v>
      </c>
    </row>
    <row r="1799" spans="1:3" x14ac:dyDescent="0.25">
      <c r="A1799" t="s">
        <v>2179</v>
      </c>
      <c r="B1799" s="6">
        <v>1988.9109999999998</v>
      </c>
      <c r="C1799">
        <v>-8</v>
      </c>
    </row>
    <row r="1800" spans="1:3" x14ac:dyDescent="0.25">
      <c r="A1800" t="s">
        <v>2180</v>
      </c>
      <c r="B1800" s="6">
        <v>2087</v>
      </c>
      <c r="C1800">
        <v>-8</v>
      </c>
    </row>
    <row r="1801" spans="1:3" x14ac:dyDescent="0.25">
      <c r="A1801" t="s">
        <v>2181</v>
      </c>
      <c r="B1801" s="6">
        <v>2087</v>
      </c>
      <c r="C1801">
        <v>-8</v>
      </c>
    </row>
    <row r="1802" spans="1:3" x14ac:dyDescent="0.25">
      <c r="A1802" t="s">
        <v>2182</v>
      </c>
      <c r="B1802" s="6">
        <v>2087</v>
      </c>
      <c r="C1802">
        <v>-8</v>
      </c>
    </row>
    <row r="1803" spans="1:3" x14ac:dyDescent="0.25">
      <c r="A1803" t="s">
        <v>2183</v>
      </c>
      <c r="B1803" s="6">
        <v>2087</v>
      </c>
      <c r="C1803">
        <v>-8</v>
      </c>
    </row>
    <row r="1804" spans="1:3" x14ac:dyDescent="0.25">
      <c r="A1804" t="s">
        <v>2184</v>
      </c>
      <c r="B1804" s="6">
        <v>1988.9109999999998</v>
      </c>
      <c r="C1804">
        <v>-8</v>
      </c>
    </row>
    <row r="1805" spans="1:3" x14ac:dyDescent="0.25">
      <c r="A1805" t="s">
        <v>2185</v>
      </c>
      <c r="B1805" s="6">
        <v>1892.9090000000001</v>
      </c>
      <c r="C1805">
        <v>-7</v>
      </c>
    </row>
    <row r="1806" spans="1:3" x14ac:dyDescent="0.25">
      <c r="A1806" t="s">
        <v>2186</v>
      </c>
      <c r="B1806" s="6">
        <v>1988.9109999999998</v>
      </c>
      <c r="C1806">
        <v>-8</v>
      </c>
    </row>
    <row r="1807" spans="1:3" x14ac:dyDescent="0.25">
      <c r="A1807" t="s">
        <v>2187</v>
      </c>
      <c r="B1807" s="6">
        <v>1892.9090000000001</v>
      </c>
      <c r="C1807">
        <v>-7</v>
      </c>
    </row>
    <row r="1808" spans="1:3" x14ac:dyDescent="0.25">
      <c r="A1808" t="s">
        <v>2188</v>
      </c>
      <c r="B1808" s="6">
        <v>1988.9109999999998</v>
      </c>
      <c r="C1808">
        <v>-8</v>
      </c>
    </row>
    <row r="1809" spans="1:3" x14ac:dyDescent="0.25">
      <c r="A1809" t="s">
        <v>2189</v>
      </c>
      <c r="B1809" s="6">
        <v>2087</v>
      </c>
      <c r="C1809">
        <v>-9</v>
      </c>
    </row>
    <row r="1810" spans="1:3" x14ac:dyDescent="0.25">
      <c r="A1810" t="s">
        <v>2190</v>
      </c>
      <c r="B1810" s="6">
        <v>1988.9109999999998</v>
      </c>
      <c r="C1810">
        <v>-8</v>
      </c>
    </row>
    <row r="1811" spans="1:3" x14ac:dyDescent="0.25">
      <c r="A1811" t="s">
        <v>2191</v>
      </c>
      <c r="B1811" s="6">
        <v>1892.9090000000001</v>
      </c>
      <c r="C1811">
        <v>-8</v>
      </c>
    </row>
    <row r="1812" spans="1:3" x14ac:dyDescent="0.25">
      <c r="A1812" t="s">
        <v>2191</v>
      </c>
      <c r="B1812" s="6">
        <v>1988.9109999999998</v>
      </c>
      <c r="C1812">
        <v>-8</v>
      </c>
    </row>
    <row r="1813" spans="1:3" x14ac:dyDescent="0.25">
      <c r="A1813" t="s">
        <v>2192</v>
      </c>
      <c r="B1813" s="6">
        <v>2087</v>
      </c>
      <c r="C1813">
        <v>-9</v>
      </c>
    </row>
    <row r="1814" spans="1:3" x14ac:dyDescent="0.25">
      <c r="A1814" t="s">
        <v>2193</v>
      </c>
      <c r="B1814" s="6">
        <v>1988.9109999999998</v>
      </c>
      <c r="C1814">
        <v>-8</v>
      </c>
    </row>
    <row r="1815" spans="1:3" x14ac:dyDescent="0.25">
      <c r="A1815" t="s">
        <v>2194</v>
      </c>
      <c r="B1815" s="6">
        <v>1988.9109999999998</v>
      </c>
      <c r="C1815">
        <v>-8</v>
      </c>
    </row>
    <row r="1816" spans="1:3" x14ac:dyDescent="0.25">
      <c r="A1816" t="s">
        <v>2195</v>
      </c>
      <c r="B1816" s="6">
        <v>1988.9109999999998</v>
      </c>
      <c r="C1816">
        <v>-8</v>
      </c>
    </row>
    <row r="1817" spans="1:3" x14ac:dyDescent="0.25">
      <c r="A1817" t="s">
        <v>2196</v>
      </c>
      <c r="B1817" s="6">
        <v>1988.9109999999998</v>
      </c>
      <c r="C1817">
        <v>-8</v>
      </c>
    </row>
    <row r="1818" spans="1:3" x14ac:dyDescent="0.25">
      <c r="A1818" t="s">
        <v>2197</v>
      </c>
      <c r="B1818" s="6">
        <v>2087</v>
      </c>
      <c r="C1818">
        <v>-8</v>
      </c>
    </row>
    <row r="1819" spans="1:3" x14ac:dyDescent="0.25">
      <c r="A1819" t="s">
        <v>2198</v>
      </c>
      <c r="B1819" s="6">
        <v>1988.9109999999998</v>
      </c>
      <c r="C1819">
        <v>-8</v>
      </c>
    </row>
    <row r="1820" spans="1:3" x14ac:dyDescent="0.25">
      <c r="A1820" t="s">
        <v>2199</v>
      </c>
      <c r="B1820" s="6">
        <v>2185.0889999999999</v>
      </c>
      <c r="C1820">
        <v>-9</v>
      </c>
    </row>
    <row r="1821" spans="1:3" x14ac:dyDescent="0.25">
      <c r="A1821" t="s">
        <v>2200</v>
      </c>
      <c r="B1821" s="6">
        <v>2185.0889999999999</v>
      </c>
      <c r="C1821">
        <v>-8</v>
      </c>
    </row>
    <row r="1822" spans="1:3" x14ac:dyDescent="0.25">
      <c r="A1822" t="s">
        <v>2201</v>
      </c>
      <c r="B1822" s="6">
        <v>2087</v>
      </c>
      <c r="C1822">
        <v>-8</v>
      </c>
    </row>
    <row r="1823" spans="1:3" x14ac:dyDescent="0.25">
      <c r="A1823" t="s">
        <v>2202</v>
      </c>
      <c r="B1823" s="6">
        <v>2087</v>
      </c>
      <c r="C1823">
        <v>-8</v>
      </c>
    </row>
    <row r="1824" spans="1:3" x14ac:dyDescent="0.25">
      <c r="A1824" t="s">
        <v>2203</v>
      </c>
      <c r="B1824" s="6">
        <v>2087</v>
      </c>
      <c r="C1824">
        <v>-8</v>
      </c>
    </row>
    <row r="1825" spans="1:3" x14ac:dyDescent="0.25">
      <c r="A1825" t="s">
        <v>2204</v>
      </c>
      <c r="B1825" s="6">
        <v>2087</v>
      </c>
      <c r="C1825">
        <v>-8</v>
      </c>
    </row>
    <row r="1826" spans="1:3" x14ac:dyDescent="0.25">
      <c r="A1826" t="s">
        <v>2205</v>
      </c>
      <c r="B1826" s="6">
        <v>2185.0889999999999</v>
      </c>
      <c r="C1826">
        <v>-9</v>
      </c>
    </row>
    <row r="1827" spans="1:3" x14ac:dyDescent="0.25">
      <c r="A1827" t="s">
        <v>2206</v>
      </c>
      <c r="B1827" s="6">
        <v>2185.0889999999999</v>
      </c>
      <c r="C1827">
        <v>-9</v>
      </c>
    </row>
    <row r="1828" spans="1:3" x14ac:dyDescent="0.25">
      <c r="A1828" t="s">
        <v>2207</v>
      </c>
      <c r="B1828" s="6">
        <v>2087</v>
      </c>
      <c r="C1828">
        <v>-8</v>
      </c>
    </row>
    <row r="1829" spans="1:3" x14ac:dyDescent="0.25">
      <c r="A1829" t="s">
        <v>2208</v>
      </c>
      <c r="B1829" s="6">
        <v>2185.0889999999999</v>
      </c>
      <c r="C1829">
        <v>-9</v>
      </c>
    </row>
    <row r="1830" spans="1:3" x14ac:dyDescent="0.25">
      <c r="A1830" t="s">
        <v>2209</v>
      </c>
      <c r="B1830" s="6">
        <v>2548.2270000000003</v>
      </c>
      <c r="C1830">
        <v>-11</v>
      </c>
    </row>
    <row r="1831" spans="1:3" x14ac:dyDescent="0.25">
      <c r="A1831" t="s">
        <v>2210</v>
      </c>
      <c r="B1831" s="6">
        <v>2087</v>
      </c>
      <c r="C1831">
        <v>-9</v>
      </c>
    </row>
    <row r="1832" spans="1:3" x14ac:dyDescent="0.25">
      <c r="A1832" t="s">
        <v>2211</v>
      </c>
      <c r="B1832" s="6">
        <v>1988.9109999999998</v>
      </c>
      <c r="C1832">
        <v>-8</v>
      </c>
    </row>
    <row r="1833" spans="1:3" x14ac:dyDescent="0.25">
      <c r="A1833" t="s">
        <v>2212</v>
      </c>
      <c r="B1833" s="6">
        <v>2087</v>
      </c>
      <c r="C1833">
        <v>-8</v>
      </c>
    </row>
    <row r="1834" spans="1:3" x14ac:dyDescent="0.25">
      <c r="A1834" t="s">
        <v>2213</v>
      </c>
      <c r="B1834" s="6">
        <v>1988.9109999999998</v>
      </c>
      <c r="C1834">
        <v>-8</v>
      </c>
    </row>
    <row r="1835" spans="1:3" x14ac:dyDescent="0.25">
      <c r="A1835" t="s">
        <v>2214</v>
      </c>
      <c r="B1835" s="6">
        <v>2185.0889999999999</v>
      </c>
      <c r="C1835">
        <v>-9</v>
      </c>
    </row>
    <row r="1836" spans="1:3" x14ac:dyDescent="0.25">
      <c r="A1836" t="s">
        <v>2215</v>
      </c>
      <c r="B1836" s="6">
        <v>2548.2270000000003</v>
      </c>
      <c r="C1836">
        <v>-11</v>
      </c>
    </row>
    <row r="1837" spans="1:3" x14ac:dyDescent="0.25">
      <c r="A1837" t="s">
        <v>2216</v>
      </c>
      <c r="B1837" s="6">
        <v>2087</v>
      </c>
      <c r="C1837">
        <v>-8</v>
      </c>
    </row>
    <row r="1838" spans="1:3" x14ac:dyDescent="0.25">
      <c r="A1838" t="s">
        <v>2217</v>
      </c>
      <c r="B1838" s="6">
        <v>2087</v>
      </c>
      <c r="C1838">
        <v>-8</v>
      </c>
    </row>
    <row r="1839" spans="1:3" x14ac:dyDescent="0.25">
      <c r="A1839" t="s">
        <v>2218</v>
      </c>
      <c r="B1839" s="6">
        <v>2281.0909999999999</v>
      </c>
      <c r="C1839">
        <v>-10</v>
      </c>
    </row>
    <row r="1840" spans="1:3" x14ac:dyDescent="0.25">
      <c r="A1840" t="s">
        <v>2219</v>
      </c>
      <c r="B1840" s="6">
        <v>2185.0889999999999</v>
      </c>
      <c r="C1840">
        <v>-8</v>
      </c>
    </row>
    <row r="1841" spans="1:3" x14ac:dyDescent="0.25">
      <c r="A1841" t="s">
        <v>2220</v>
      </c>
      <c r="B1841" s="6">
        <v>2790.319</v>
      </c>
      <c r="C1841">
        <v>-11</v>
      </c>
    </row>
    <row r="1842" spans="1:3" x14ac:dyDescent="0.25">
      <c r="A1842" t="s">
        <v>2221</v>
      </c>
      <c r="B1842" s="6">
        <v>2087</v>
      </c>
      <c r="C1842">
        <v>-8</v>
      </c>
    </row>
    <row r="1843" spans="1:3" x14ac:dyDescent="0.25">
      <c r="A1843" t="s">
        <v>2222</v>
      </c>
      <c r="B1843" s="6">
        <v>2087</v>
      </c>
      <c r="C1843">
        <v>-8</v>
      </c>
    </row>
    <row r="1844" spans="1:3" x14ac:dyDescent="0.25">
      <c r="A1844" t="s">
        <v>2223</v>
      </c>
      <c r="B1844" s="6">
        <v>2087</v>
      </c>
      <c r="C1844">
        <v>-8</v>
      </c>
    </row>
    <row r="1845" spans="1:3" x14ac:dyDescent="0.25">
      <c r="A1845" t="s">
        <v>2224</v>
      </c>
      <c r="B1845" s="6">
        <v>2087</v>
      </c>
      <c r="C1845">
        <v>-8</v>
      </c>
    </row>
    <row r="1846" spans="1:3" x14ac:dyDescent="0.25">
      <c r="A1846" t="s">
        <v>2225</v>
      </c>
      <c r="B1846" s="6">
        <v>2087</v>
      </c>
      <c r="C1846">
        <v>-8</v>
      </c>
    </row>
    <row r="1847" spans="1:3" x14ac:dyDescent="0.25">
      <c r="A1847" t="s">
        <v>2226</v>
      </c>
      <c r="B1847" s="6">
        <v>2087</v>
      </c>
      <c r="C1847">
        <v>-8</v>
      </c>
    </row>
    <row r="1848" spans="1:3" x14ac:dyDescent="0.25">
      <c r="A1848" t="s">
        <v>2227</v>
      </c>
      <c r="B1848" s="6">
        <v>2548.2270000000003</v>
      </c>
      <c r="C1848">
        <v>-11</v>
      </c>
    </row>
    <row r="1849" spans="1:3" x14ac:dyDescent="0.25">
      <c r="A1849" t="s">
        <v>2228</v>
      </c>
      <c r="B1849" s="6">
        <v>2087</v>
      </c>
      <c r="C1849">
        <v>-8</v>
      </c>
    </row>
    <row r="1850" spans="1:3" x14ac:dyDescent="0.25">
      <c r="A1850" t="s">
        <v>2229</v>
      </c>
      <c r="B1850" s="6">
        <v>1988.9109999999998</v>
      </c>
      <c r="C1850">
        <v>-8</v>
      </c>
    </row>
    <row r="1851" spans="1:3" x14ac:dyDescent="0.25">
      <c r="A1851" t="s">
        <v>2230</v>
      </c>
      <c r="B1851" s="6">
        <v>2185.0889999999999</v>
      </c>
      <c r="C1851">
        <v>-9</v>
      </c>
    </row>
    <row r="1852" spans="1:3" x14ac:dyDescent="0.25">
      <c r="A1852" t="s">
        <v>2231</v>
      </c>
      <c r="B1852" s="6">
        <v>2185.0889999999999</v>
      </c>
      <c r="C1852">
        <v>-9</v>
      </c>
    </row>
    <row r="1853" spans="1:3" x14ac:dyDescent="0.25">
      <c r="A1853" t="s">
        <v>2232</v>
      </c>
      <c r="B1853" s="6">
        <v>2185.0889999999999</v>
      </c>
      <c r="C1853">
        <v>-8</v>
      </c>
    </row>
    <row r="1854" spans="1:3" x14ac:dyDescent="0.25">
      <c r="A1854" t="s">
        <v>2233</v>
      </c>
      <c r="B1854" s="6">
        <v>2087</v>
      </c>
      <c r="C1854">
        <v>-8</v>
      </c>
    </row>
    <row r="1855" spans="1:3" x14ac:dyDescent="0.25">
      <c r="A1855" t="s">
        <v>2234</v>
      </c>
      <c r="B1855" s="6">
        <v>2087</v>
      </c>
      <c r="C1855">
        <v>-8</v>
      </c>
    </row>
    <row r="1856" spans="1:3" x14ac:dyDescent="0.25">
      <c r="A1856" t="s">
        <v>2235</v>
      </c>
      <c r="B1856" s="6">
        <v>2087</v>
      </c>
      <c r="C1856">
        <v>-8</v>
      </c>
    </row>
    <row r="1857" spans="1:3" x14ac:dyDescent="0.25">
      <c r="A1857" t="s">
        <v>2236</v>
      </c>
      <c r="B1857" s="6">
        <v>2087</v>
      </c>
      <c r="C1857">
        <v>-8</v>
      </c>
    </row>
    <row r="1858" spans="1:3" x14ac:dyDescent="0.25">
      <c r="A1858" t="s">
        <v>2237</v>
      </c>
      <c r="B1858" s="6">
        <v>2087</v>
      </c>
      <c r="C1858">
        <v>-8</v>
      </c>
    </row>
    <row r="1859" spans="1:3" x14ac:dyDescent="0.25">
      <c r="A1859" t="s">
        <v>2238</v>
      </c>
      <c r="B1859" s="6">
        <v>2185.0889999999999</v>
      </c>
      <c r="C1859">
        <v>-9</v>
      </c>
    </row>
    <row r="1860" spans="1:3" x14ac:dyDescent="0.25">
      <c r="A1860" t="s">
        <v>2239</v>
      </c>
      <c r="B1860" s="6">
        <v>1988.9109999999998</v>
      </c>
      <c r="C1860">
        <v>-8</v>
      </c>
    </row>
    <row r="1861" spans="1:3" x14ac:dyDescent="0.25">
      <c r="A1861" t="s">
        <v>2240</v>
      </c>
      <c r="B1861" s="6">
        <v>1988.9109999999998</v>
      </c>
      <c r="C1861">
        <v>-8</v>
      </c>
    </row>
    <row r="1862" spans="1:3" x14ac:dyDescent="0.25">
      <c r="A1862" t="s">
        <v>2241</v>
      </c>
      <c r="B1862" s="6">
        <v>2087</v>
      </c>
      <c r="C1862">
        <v>-8</v>
      </c>
    </row>
    <row r="1863" spans="1:3" x14ac:dyDescent="0.25">
      <c r="A1863" t="s">
        <v>2242</v>
      </c>
      <c r="B1863" s="6">
        <v>2087</v>
      </c>
      <c r="C1863">
        <v>-8</v>
      </c>
    </row>
    <row r="1864" spans="1:3" x14ac:dyDescent="0.25">
      <c r="A1864" t="s">
        <v>2243</v>
      </c>
      <c r="B1864" s="6">
        <v>1988.9109999999998</v>
      </c>
      <c r="C1864">
        <v>-8</v>
      </c>
    </row>
    <row r="1865" spans="1:3" x14ac:dyDescent="0.25">
      <c r="A1865" t="s">
        <v>2244</v>
      </c>
      <c r="B1865" s="6">
        <v>2087</v>
      </c>
      <c r="C1865">
        <v>-8</v>
      </c>
    </row>
    <row r="1866" spans="1:3" x14ac:dyDescent="0.25">
      <c r="A1866" t="s">
        <v>2245</v>
      </c>
      <c r="B1866" s="6">
        <v>2281.0909999999999</v>
      </c>
      <c r="C1866">
        <v>-10</v>
      </c>
    </row>
    <row r="1867" spans="1:3" x14ac:dyDescent="0.25">
      <c r="A1867" t="s">
        <v>2246</v>
      </c>
      <c r="B1867" s="6">
        <v>2281.0909999999999</v>
      </c>
      <c r="C1867">
        <v>-9</v>
      </c>
    </row>
    <row r="1868" spans="1:3" x14ac:dyDescent="0.25">
      <c r="A1868" t="s">
        <v>2247</v>
      </c>
      <c r="B1868" s="6">
        <v>2185.0889999999999</v>
      </c>
      <c r="C1868">
        <v>-8</v>
      </c>
    </row>
    <row r="1869" spans="1:3" x14ac:dyDescent="0.25">
      <c r="A1869" t="s">
        <v>2248</v>
      </c>
      <c r="B1869" s="6">
        <v>2087</v>
      </c>
      <c r="C1869">
        <v>-8</v>
      </c>
    </row>
    <row r="1870" spans="1:3" x14ac:dyDescent="0.25">
      <c r="A1870" t="s">
        <v>2249</v>
      </c>
      <c r="B1870" s="6">
        <v>2087</v>
      </c>
      <c r="C1870">
        <v>-8</v>
      </c>
    </row>
    <row r="1871" spans="1:3" x14ac:dyDescent="0.25">
      <c r="A1871" t="s">
        <v>2250</v>
      </c>
      <c r="B1871" s="6">
        <v>2281.0909999999999</v>
      </c>
      <c r="C1871">
        <v>-9</v>
      </c>
    </row>
    <row r="1872" spans="1:3" x14ac:dyDescent="0.25">
      <c r="A1872" t="s">
        <v>2251</v>
      </c>
      <c r="B1872" s="6">
        <v>2087</v>
      </c>
      <c r="C1872">
        <v>-8</v>
      </c>
    </row>
    <row r="1873" spans="1:3" x14ac:dyDescent="0.25">
      <c r="A1873" t="s">
        <v>2252</v>
      </c>
      <c r="B1873" s="6">
        <v>1988.9109999999998</v>
      </c>
      <c r="C1873">
        <v>-8</v>
      </c>
    </row>
    <row r="1874" spans="1:3" x14ac:dyDescent="0.25">
      <c r="A1874" t="s">
        <v>2253</v>
      </c>
      <c r="B1874" s="6">
        <v>2087</v>
      </c>
      <c r="C1874">
        <v>-8</v>
      </c>
    </row>
    <row r="1875" spans="1:3" x14ac:dyDescent="0.25">
      <c r="A1875" t="s">
        <v>2254</v>
      </c>
      <c r="B1875" s="6">
        <v>2087</v>
      </c>
      <c r="C1875">
        <v>-8</v>
      </c>
    </row>
    <row r="1876" spans="1:3" x14ac:dyDescent="0.25">
      <c r="A1876" t="s">
        <v>2255</v>
      </c>
      <c r="B1876" s="6">
        <v>2087</v>
      </c>
      <c r="C1876">
        <v>-8</v>
      </c>
    </row>
    <row r="1877" spans="1:3" x14ac:dyDescent="0.25">
      <c r="A1877" t="s">
        <v>2256</v>
      </c>
      <c r="B1877" s="6">
        <v>1988.9109999999998</v>
      </c>
      <c r="C1877">
        <v>-8</v>
      </c>
    </row>
    <row r="1878" spans="1:3" x14ac:dyDescent="0.25">
      <c r="A1878" t="s">
        <v>2257</v>
      </c>
      <c r="B1878" s="6">
        <v>2185.0889999999999</v>
      </c>
      <c r="C1878">
        <v>-9</v>
      </c>
    </row>
    <row r="1879" spans="1:3" x14ac:dyDescent="0.25">
      <c r="A1879" t="s">
        <v>2258</v>
      </c>
      <c r="B1879" s="6">
        <v>2087</v>
      </c>
      <c r="C1879">
        <v>-8</v>
      </c>
    </row>
    <row r="1880" spans="1:3" x14ac:dyDescent="0.25">
      <c r="A1880" t="s">
        <v>2259</v>
      </c>
      <c r="B1880" s="6">
        <v>2087</v>
      </c>
      <c r="C1880">
        <v>-8</v>
      </c>
    </row>
    <row r="1881" spans="1:3" x14ac:dyDescent="0.25">
      <c r="A1881" t="s">
        <v>2260</v>
      </c>
      <c r="B1881" s="6">
        <v>2087</v>
      </c>
      <c r="C1881">
        <v>-9</v>
      </c>
    </row>
    <row r="1882" spans="1:3" x14ac:dyDescent="0.25">
      <c r="A1882" t="s">
        <v>2261</v>
      </c>
      <c r="B1882" s="6">
        <v>2185.0889999999999</v>
      </c>
      <c r="C1882">
        <v>-8</v>
      </c>
    </row>
    <row r="1883" spans="1:3" x14ac:dyDescent="0.25">
      <c r="A1883" t="s">
        <v>2262</v>
      </c>
      <c r="B1883" s="6">
        <v>2281.0909999999999</v>
      </c>
      <c r="C1883">
        <v>-10</v>
      </c>
    </row>
    <row r="1884" spans="1:3" x14ac:dyDescent="0.25">
      <c r="A1884" t="s">
        <v>2263</v>
      </c>
      <c r="B1884" s="6">
        <v>2790.319</v>
      </c>
      <c r="C1884">
        <v>-11</v>
      </c>
    </row>
    <row r="1885" spans="1:3" x14ac:dyDescent="0.25">
      <c r="A1885" t="s">
        <v>2264</v>
      </c>
      <c r="B1885" s="6">
        <v>2087</v>
      </c>
      <c r="C1885">
        <v>-8</v>
      </c>
    </row>
    <row r="1886" spans="1:3" x14ac:dyDescent="0.25">
      <c r="A1886" t="s">
        <v>2265</v>
      </c>
      <c r="B1886" s="6">
        <v>2087</v>
      </c>
      <c r="C1886">
        <v>-8</v>
      </c>
    </row>
    <row r="1887" spans="1:3" x14ac:dyDescent="0.25">
      <c r="A1887" t="s">
        <v>2266</v>
      </c>
      <c r="B1887" s="6">
        <v>2087</v>
      </c>
      <c r="C1887">
        <v>-8</v>
      </c>
    </row>
    <row r="1888" spans="1:3" x14ac:dyDescent="0.25">
      <c r="A1888" t="s">
        <v>2267</v>
      </c>
      <c r="B1888" s="6">
        <v>1988.9109999999998</v>
      </c>
      <c r="C1888">
        <v>-8</v>
      </c>
    </row>
    <row r="1889" spans="1:3" x14ac:dyDescent="0.25">
      <c r="A1889" t="s">
        <v>2268</v>
      </c>
      <c r="B1889" s="6">
        <v>2548.2270000000003</v>
      </c>
      <c r="C1889">
        <v>-11</v>
      </c>
    </row>
    <row r="1890" spans="1:3" x14ac:dyDescent="0.25">
      <c r="A1890" t="s">
        <v>2269</v>
      </c>
      <c r="B1890" s="6">
        <v>2185.0889999999999</v>
      </c>
      <c r="C1890">
        <v>-8</v>
      </c>
    </row>
    <row r="1891" spans="1:3" x14ac:dyDescent="0.25">
      <c r="A1891" t="s">
        <v>2270</v>
      </c>
      <c r="B1891" s="6">
        <v>2087</v>
      </c>
      <c r="C1891">
        <v>-8</v>
      </c>
    </row>
    <row r="1892" spans="1:3" x14ac:dyDescent="0.25">
      <c r="A1892" t="s">
        <v>2271</v>
      </c>
      <c r="B1892" s="6">
        <v>2087</v>
      </c>
      <c r="C1892">
        <v>-8</v>
      </c>
    </row>
    <row r="1893" spans="1:3" x14ac:dyDescent="0.25">
      <c r="A1893" t="s">
        <v>2272</v>
      </c>
      <c r="B1893" s="6">
        <v>2185.0889999999999</v>
      </c>
      <c r="C1893">
        <v>-9</v>
      </c>
    </row>
    <row r="1894" spans="1:3" x14ac:dyDescent="0.25">
      <c r="A1894" t="s">
        <v>2273</v>
      </c>
      <c r="B1894" s="6">
        <v>2185.0889999999999</v>
      </c>
      <c r="C1894">
        <v>-9</v>
      </c>
    </row>
    <row r="1895" spans="1:3" x14ac:dyDescent="0.25">
      <c r="A1895" t="s">
        <v>2274</v>
      </c>
      <c r="B1895" s="6">
        <v>2087</v>
      </c>
      <c r="C1895">
        <v>-8</v>
      </c>
    </row>
    <row r="1896" spans="1:3" x14ac:dyDescent="0.25">
      <c r="A1896" t="s">
        <v>2275</v>
      </c>
      <c r="B1896" s="6">
        <v>2087</v>
      </c>
      <c r="C1896">
        <v>-8</v>
      </c>
    </row>
    <row r="1897" spans="1:3" x14ac:dyDescent="0.25">
      <c r="A1897" t="s">
        <v>2276</v>
      </c>
      <c r="B1897" s="6">
        <v>2087</v>
      </c>
      <c r="C1897">
        <v>-8</v>
      </c>
    </row>
    <row r="1898" spans="1:3" x14ac:dyDescent="0.25">
      <c r="A1898" t="s">
        <v>2277</v>
      </c>
      <c r="B1898" s="6">
        <v>2379.1800000000003</v>
      </c>
      <c r="C1898">
        <v>-10</v>
      </c>
    </row>
    <row r="1899" spans="1:3" x14ac:dyDescent="0.25">
      <c r="A1899" t="s">
        <v>2278</v>
      </c>
      <c r="B1899" s="6">
        <v>2087</v>
      </c>
      <c r="C1899">
        <v>-8</v>
      </c>
    </row>
    <row r="1900" spans="1:3" x14ac:dyDescent="0.25">
      <c r="A1900" t="s">
        <v>2279</v>
      </c>
      <c r="B1900" s="6">
        <v>2185.0889999999999</v>
      </c>
      <c r="C1900">
        <v>-8</v>
      </c>
    </row>
    <row r="1901" spans="1:3" x14ac:dyDescent="0.25">
      <c r="A1901" t="s">
        <v>2279</v>
      </c>
      <c r="B1901" s="6">
        <v>2087</v>
      </c>
      <c r="C1901">
        <v>-8</v>
      </c>
    </row>
    <row r="1902" spans="1:3" x14ac:dyDescent="0.25">
      <c r="A1902" t="s">
        <v>2280</v>
      </c>
      <c r="B1902" s="6">
        <v>2087</v>
      </c>
      <c r="C1902">
        <v>-8</v>
      </c>
    </row>
    <row r="1903" spans="1:3" x14ac:dyDescent="0.25">
      <c r="A1903" t="s">
        <v>2281</v>
      </c>
      <c r="B1903" s="6">
        <v>1892.9090000000001</v>
      </c>
      <c r="C1903">
        <v>-8</v>
      </c>
    </row>
    <row r="1904" spans="1:3" x14ac:dyDescent="0.25">
      <c r="A1904" t="s">
        <v>2282</v>
      </c>
      <c r="B1904" s="6">
        <v>2281.0909999999999</v>
      </c>
      <c r="C1904">
        <v>-10</v>
      </c>
    </row>
    <row r="1905" spans="1:3" x14ac:dyDescent="0.25">
      <c r="A1905" t="s">
        <v>2282</v>
      </c>
      <c r="B1905" s="6">
        <v>2185.0889999999999</v>
      </c>
      <c r="C1905">
        <v>-9</v>
      </c>
    </row>
    <row r="1906" spans="1:3" x14ac:dyDescent="0.25">
      <c r="A1906" t="s">
        <v>2283</v>
      </c>
      <c r="B1906" s="6">
        <v>2379.1800000000003</v>
      </c>
      <c r="C1906">
        <v>-10</v>
      </c>
    </row>
    <row r="1907" spans="1:3" x14ac:dyDescent="0.25">
      <c r="A1907" t="s">
        <v>2284</v>
      </c>
      <c r="B1907" s="6">
        <v>2379.1800000000003</v>
      </c>
      <c r="C1907">
        <v>-10</v>
      </c>
    </row>
    <row r="1908" spans="1:3" x14ac:dyDescent="0.25">
      <c r="A1908" t="s">
        <v>2285</v>
      </c>
      <c r="B1908" s="6">
        <v>1988.9109999999998</v>
      </c>
      <c r="C1908">
        <v>-8</v>
      </c>
    </row>
    <row r="1909" spans="1:3" x14ac:dyDescent="0.25">
      <c r="A1909" t="s">
        <v>2286</v>
      </c>
      <c r="B1909" s="6">
        <v>2087</v>
      </c>
      <c r="C1909">
        <v>-8</v>
      </c>
    </row>
    <row r="1910" spans="1:3" x14ac:dyDescent="0.25">
      <c r="A1910" t="s">
        <v>2287</v>
      </c>
      <c r="B1910" s="6">
        <v>2379.1800000000003</v>
      </c>
      <c r="C1910">
        <v>-10</v>
      </c>
    </row>
    <row r="1911" spans="1:3" x14ac:dyDescent="0.25">
      <c r="A1911" t="s">
        <v>2288</v>
      </c>
      <c r="B1911" s="6">
        <v>2087</v>
      </c>
      <c r="C1911">
        <v>-8</v>
      </c>
    </row>
    <row r="1912" spans="1:3" x14ac:dyDescent="0.25">
      <c r="A1912" t="s">
        <v>2289</v>
      </c>
      <c r="B1912" s="6">
        <v>2548.2270000000003</v>
      </c>
      <c r="C1912">
        <v>-11</v>
      </c>
    </row>
    <row r="1913" spans="1:3" x14ac:dyDescent="0.25">
      <c r="A1913" t="s">
        <v>2290</v>
      </c>
      <c r="B1913" s="6">
        <v>2087</v>
      </c>
      <c r="C1913">
        <v>-8</v>
      </c>
    </row>
    <row r="1914" spans="1:3" x14ac:dyDescent="0.25">
      <c r="A1914" t="s">
        <v>2291</v>
      </c>
      <c r="B1914" s="6">
        <v>2087</v>
      </c>
      <c r="C1914">
        <v>-9</v>
      </c>
    </row>
    <row r="1915" spans="1:3" x14ac:dyDescent="0.25">
      <c r="A1915" t="s">
        <v>2292</v>
      </c>
      <c r="B1915" s="6">
        <v>2548.2270000000003</v>
      </c>
      <c r="C1915">
        <v>-11</v>
      </c>
    </row>
    <row r="1916" spans="1:3" x14ac:dyDescent="0.25">
      <c r="A1916" t="s">
        <v>2293</v>
      </c>
      <c r="B1916" s="6">
        <v>2281.0909999999999</v>
      </c>
      <c r="C1916">
        <v>-10</v>
      </c>
    </row>
    <row r="1917" spans="1:3" x14ac:dyDescent="0.25">
      <c r="A1917" t="s">
        <v>2294</v>
      </c>
      <c r="B1917" s="6">
        <v>2087</v>
      </c>
      <c r="C1917">
        <v>-9</v>
      </c>
    </row>
    <row r="1918" spans="1:3" x14ac:dyDescent="0.25">
      <c r="A1918" t="s">
        <v>2295</v>
      </c>
      <c r="B1918" s="6">
        <v>2548.2270000000003</v>
      </c>
      <c r="C1918">
        <v>-11</v>
      </c>
    </row>
    <row r="1919" spans="1:3" x14ac:dyDescent="0.25">
      <c r="A1919" t="s">
        <v>2296</v>
      </c>
      <c r="B1919" s="6">
        <v>2087</v>
      </c>
      <c r="C1919">
        <v>-8</v>
      </c>
    </row>
    <row r="1920" spans="1:3" x14ac:dyDescent="0.25">
      <c r="A1920" t="s">
        <v>2297</v>
      </c>
      <c r="B1920" s="6">
        <v>2281.0909999999999</v>
      </c>
      <c r="C1920">
        <v>-10</v>
      </c>
    </row>
    <row r="1921" spans="1:3" x14ac:dyDescent="0.25">
      <c r="A1921" t="s">
        <v>2298</v>
      </c>
      <c r="B1921" s="6">
        <v>2185.0889999999999</v>
      </c>
      <c r="C1921">
        <v>-9</v>
      </c>
    </row>
    <row r="1922" spans="1:3" x14ac:dyDescent="0.25">
      <c r="A1922" t="s">
        <v>2299</v>
      </c>
      <c r="B1922" s="6">
        <v>2087</v>
      </c>
      <c r="C1922">
        <v>-8</v>
      </c>
    </row>
    <row r="1923" spans="1:3" x14ac:dyDescent="0.25">
      <c r="A1923" t="s">
        <v>2300</v>
      </c>
      <c r="B1923" s="6">
        <v>2087</v>
      </c>
      <c r="C1923">
        <v>-8</v>
      </c>
    </row>
    <row r="1924" spans="1:3" x14ac:dyDescent="0.25">
      <c r="A1924" t="s">
        <v>2301</v>
      </c>
      <c r="B1924" s="6">
        <v>2087</v>
      </c>
      <c r="C1924">
        <v>-8</v>
      </c>
    </row>
    <row r="1925" spans="1:3" x14ac:dyDescent="0.25">
      <c r="A1925" t="s">
        <v>2302</v>
      </c>
      <c r="B1925" s="6">
        <v>2087</v>
      </c>
      <c r="C1925">
        <v>-8</v>
      </c>
    </row>
    <row r="1926" spans="1:3" x14ac:dyDescent="0.25">
      <c r="A1926" t="s">
        <v>2303</v>
      </c>
      <c r="B1926" s="6">
        <v>2185.0889999999999</v>
      </c>
      <c r="C1926">
        <v>-9</v>
      </c>
    </row>
    <row r="1927" spans="1:3" x14ac:dyDescent="0.25">
      <c r="A1927" t="s">
        <v>2304</v>
      </c>
      <c r="B1927" s="6">
        <v>1988.9109999999998</v>
      </c>
      <c r="C1927">
        <v>-8</v>
      </c>
    </row>
    <row r="1928" spans="1:3" x14ac:dyDescent="0.25">
      <c r="A1928" t="s">
        <v>2305</v>
      </c>
      <c r="B1928" s="6">
        <v>2281.0909999999999</v>
      </c>
      <c r="C1928">
        <v>-9</v>
      </c>
    </row>
    <row r="1929" spans="1:3" x14ac:dyDescent="0.25">
      <c r="A1929" t="s">
        <v>2306</v>
      </c>
      <c r="B1929" s="6">
        <v>2087</v>
      </c>
      <c r="C1929">
        <v>-9</v>
      </c>
    </row>
    <row r="1930" spans="1:3" x14ac:dyDescent="0.25">
      <c r="A1930" t="s">
        <v>2307</v>
      </c>
      <c r="B1930" s="6">
        <v>1988.9109999999998</v>
      </c>
      <c r="C1930">
        <v>-8</v>
      </c>
    </row>
    <row r="1931" spans="1:3" x14ac:dyDescent="0.25">
      <c r="A1931" t="s">
        <v>2308</v>
      </c>
      <c r="B1931" s="6">
        <v>2281.0909999999999</v>
      </c>
      <c r="C1931">
        <v>-10</v>
      </c>
    </row>
    <row r="1932" spans="1:3" x14ac:dyDescent="0.25">
      <c r="A1932" t="s">
        <v>2309</v>
      </c>
      <c r="B1932" s="6">
        <v>2087</v>
      </c>
      <c r="C1932">
        <v>-9</v>
      </c>
    </row>
    <row r="1933" spans="1:3" x14ac:dyDescent="0.25">
      <c r="A1933" t="s">
        <v>2310</v>
      </c>
      <c r="B1933" s="6">
        <v>1988.9109999999998</v>
      </c>
      <c r="C1933">
        <v>-8</v>
      </c>
    </row>
    <row r="1934" spans="1:3" x14ac:dyDescent="0.25">
      <c r="A1934" t="s">
        <v>2311</v>
      </c>
      <c r="B1934" s="6">
        <v>1988.9109999999998</v>
      </c>
      <c r="C1934">
        <v>-8</v>
      </c>
    </row>
    <row r="1935" spans="1:3" x14ac:dyDescent="0.25">
      <c r="A1935" t="s">
        <v>2312</v>
      </c>
      <c r="B1935" s="6">
        <v>1988.9109999999998</v>
      </c>
      <c r="C1935">
        <v>-8</v>
      </c>
    </row>
    <row r="1936" spans="1:3" x14ac:dyDescent="0.25">
      <c r="A1936" t="s">
        <v>2313</v>
      </c>
      <c r="B1936" s="6">
        <v>2087</v>
      </c>
      <c r="C1936">
        <v>-8</v>
      </c>
    </row>
    <row r="1937" spans="1:3" x14ac:dyDescent="0.25">
      <c r="A1937" t="s">
        <v>2314</v>
      </c>
      <c r="B1937" s="6">
        <v>2379.1800000000003</v>
      </c>
      <c r="C1937">
        <v>-10</v>
      </c>
    </row>
    <row r="1938" spans="1:3" x14ac:dyDescent="0.25">
      <c r="A1938" t="s">
        <v>2315</v>
      </c>
      <c r="B1938" s="6">
        <v>1892.9090000000001</v>
      </c>
      <c r="C1938">
        <v>-8</v>
      </c>
    </row>
    <row r="1939" spans="1:3" x14ac:dyDescent="0.25">
      <c r="A1939" t="s">
        <v>2316</v>
      </c>
      <c r="B1939" s="6">
        <v>2087</v>
      </c>
      <c r="C1939">
        <v>-8</v>
      </c>
    </row>
    <row r="1940" spans="1:3" x14ac:dyDescent="0.25">
      <c r="A1940" t="s">
        <v>2317</v>
      </c>
      <c r="B1940" s="6">
        <v>2379.1800000000003</v>
      </c>
      <c r="C1940">
        <v>-10</v>
      </c>
    </row>
    <row r="1941" spans="1:3" x14ac:dyDescent="0.25">
      <c r="A1941" t="s">
        <v>2318</v>
      </c>
      <c r="B1941" s="6">
        <v>2185.0889999999999</v>
      </c>
      <c r="C1941">
        <v>-9</v>
      </c>
    </row>
    <row r="1942" spans="1:3" x14ac:dyDescent="0.25">
      <c r="A1942" t="s">
        <v>2319</v>
      </c>
      <c r="B1942" s="6">
        <v>2185.0889999999999</v>
      </c>
      <c r="C1942">
        <v>-9</v>
      </c>
    </row>
    <row r="1943" spans="1:3" x14ac:dyDescent="0.25">
      <c r="A1943" t="s">
        <v>2320</v>
      </c>
      <c r="B1943" s="6">
        <v>2185.0889999999999</v>
      </c>
      <c r="C1943">
        <v>-9</v>
      </c>
    </row>
    <row r="1944" spans="1:3" x14ac:dyDescent="0.25">
      <c r="A1944" t="s">
        <v>2321</v>
      </c>
      <c r="B1944" s="6">
        <v>1988.9109999999998</v>
      </c>
      <c r="C1944">
        <v>-8</v>
      </c>
    </row>
    <row r="1945" spans="1:3" x14ac:dyDescent="0.25">
      <c r="A1945" t="s">
        <v>2322</v>
      </c>
      <c r="B1945" s="6">
        <v>2185.0889999999999</v>
      </c>
      <c r="C1945">
        <v>-9</v>
      </c>
    </row>
    <row r="1946" spans="1:3" x14ac:dyDescent="0.25">
      <c r="A1946" t="s">
        <v>2323</v>
      </c>
      <c r="B1946" s="6">
        <v>2087</v>
      </c>
      <c r="C1946">
        <v>-8</v>
      </c>
    </row>
    <row r="1947" spans="1:3" x14ac:dyDescent="0.25">
      <c r="A1947" t="s">
        <v>2324</v>
      </c>
      <c r="B1947" s="6">
        <v>2548.2270000000003</v>
      </c>
      <c r="C1947">
        <v>-11</v>
      </c>
    </row>
    <row r="1948" spans="1:3" x14ac:dyDescent="0.25">
      <c r="A1948" t="s">
        <v>2324</v>
      </c>
      <c r="B1948" s="6">
        <v>2281.0909999999999</v>
      </c>
      <c r="C1948">
        <v>-10</v>
      </c>
    </row>
    <row r="1949" spans="1:3" x14ac:dyDescent="0.25">
      <c r="A1949" t="s">
        <v>2325</v>
      </c>
      <c r="B1949" s="6">
        <v>2087</v>
      </c>
      <c r="C1949">
        <v>-8</v>
      </c>
    </row>
    <row r="1950" spans="1:3" x14ac:dyDescent="0.25">
      <c r="A1950" t="s">
        <v>2326</v>
      </c>
      <c r="B1950" s="6">
        <v>2087</v>
      </c>
      <c r="C1950">
        <v>-9</v>
      </c>
    </row>
    <row r="1951" spans="1:3" x14ac:dyDescent="0.25">
      <c r="A1951" t="s">
        <v>2327</v>
      </c>
      <c r="B1951" s="6">
        <v>2281.0909999999999</v>
      </c>
      <c r="C1951">
        <v>-9</v>
      </c>
    </row>
    <row r="1952" spans="1:3" x14ac:dyDescent="0.25">
      <c r="A1952" t="s">
        <v>2328</v>
      </c>
      <c r="B1952" s="6">
        <v>2790.319</v>
      </c>
      <c r="C1952">
        <v>-10</v>
      </c>
    </row>
    <row r="1953" spans="1:3" x14ac:dyDescent="0.25">
      <c r="A1953" t="s">
        <v>2329</v>
      </c>
      <c r="B1953" s="6">
        <v>2185.0889999999999</v>
      </c>
      <c r="C1953">
        <v>-9</v>
      </c>
    </row>
    <row r="1954" spans="1:3" x14ac:dyDescent="0.25">
      <c r="A1954" t="s">
        <v>2330</v>
      </c>
      <c r="B1954" s="6">
        <v>2379.1800000000003</v>
      </c>
      <c r="C1954">
        <v>-10</v>
      </c>
    </row>
    <row r="1955" spans="1:3" x14ac:dyDescent="0.25">
      <c r="A1955" t="s">
        <v>2331</v>
      </c>
      <c r="B1955" s="6">
        <v>2281.0909999999999</v>
      </c>
      <c r="C1955">
        <v>-9</v>
      </c>
    </row>
    <row r="1956" spans="1:3" x14ac:dyDescent="0.25">
      <c r="A1956" t="s">
        <v>2332</v>
      </c>
      <c r="B1956" s="6">
        <v>2281.0909999999999</v>
      </c>
      <c r="C1956">
        <v>-9</v>
      </c>
    </row>
    <row r="1957" spans="1:3" x14ac:dyDescent="0.25">
      <c r="A1957" t="s">
        <v>2333</v>
      </c>
      <c r="B1957" s="6">
        <v>1988.9109999999998</v>
      </c>
      <c r="C1957">
        <v>-8</v>
      </c>
    </row>
    <row r="1958" spans="1:3" x14ac:dyDescent="0.25">
      <c r="A1958" t="s">
        <v>2334</v>
      </c>
      <c r="B1958" s="6">
        <v>2281.0909999999999</v>
      </c>
      <c r="C1958">
        <v>-9</v>
      </c>
    </row>
    <row r="1959" spans="1:3" x14ac:dyDescent="0.25">
      <c r="A1959" t="s">
        <v>2335</v>
      </c>
      <c r="B1959" s="6">
        <v>2087</v>
      </c>
      <c r="C1959">
        <v>-9</v>
      </c>
    </row>
    <row r="1960" spans="1:3" x14ac:dyDescent="0.25">
      <c r="A1960" t="s">
        <v>2336</v>
      </c>
      <c r="B1960" s="6">
        <v>2087</v>
      </c>
      <c r="C1960">
        <v>-9</v>
      </c>
    </row>
    <row r="1961" spans="1:3" x14ac:dyDescent="0.25">
      <c r="A1961" t="s">
        <v>2337</v>
      </c>
      <c r="B1961" s="6">
        <v>2281.0909999999999</v>
      </c>
      <c r="C1961">
        <v>-10</v>
      </c>
    </row>
    <row r="1962" spans="1:3" x14ac:dyDescent="0.25">
      <c r="A1962" t="s">
        <v>2338</v>
      </c>
      <c r="B1962" s="6">
        <v>2548.2270000000003</v>
      </c>
      <c r="C1962">
        <v>-11</v>
      </c>
    </row>
    <row r="1963" spans="1:3" x14ac:dyDescent="0.25">
      <c r="A1963" t="s">
        <v>2339</v>
      </c>
      <c r="B1963" s="6">
        <v>1988.9109999999998</v>
      </c>
      <c r="C1963">
        <v>-8</v>
      </c>
    </row>
    <row r="1964" spans="1:3" x14ac:dyDescent="0.25">
      <c r="A1964" t="s">
        <v>2340</v>
      </c>
      <c r="B1964" s="6">
        <v>1988.9109999999998</v>
      </c>
      <c r="C1964">
        <v>-8</v>
      </c>
    </row>
    <row r="1965" spans="1:3" x14ac:dyDescent="0.25">
      <c r="A1965" t="s">
        <v>2341</v>
      </c>
      <c r="B1965" s="6">
        <v>2087</v>
      </c>
      <c r="C1965">
        <v>-8</v>
      </c>
    </row>
    <row r="1966" spans="1:3" x14ac:dyDescent="0.25">
      <c r="A1966" t="s">
        <v>2342</v>
      </c>
      <c r="B1966" s="6">
        <v>2087</v>
      </c>
      <c r="C1966">
        <v>-8</v>
      </c>
    </row>
    <row r="1967" spans="1:3" x14ac:dyDescent="0.25">
      <c r="A1967" t="s">
        <v>2343</v>
      </c>
      <c r="B1967" s="6">
        <v>2087</v>
      </c>
      <c r="C1967">
        <v>-8</v>
      </c>
    </row>
    <row r="1968" spans="1:3" x14ac:dyDescent="0.25">
      <c r="A1968" t="s">
        <v>2344</v>
      </c>
      <c r="B1968" s="6">
        <v>2281.0909999999999</v>
      </c>
      <c r="C1968">
        <v>-9</v>
      </c>
    </row>
    <row r="1969" spans="1:3" x14ac:dyDescent="0.25">
      <c r="A1969" t="s">
        <v>2345</v>
      </c>
      <c r="B1969" s="6">
        <v>2087</v>
      </c>
      <c r="C1969">
        <v>-8</v>
      </c>
    </row>
    <row r="1970" spans="1:3" x14ac:dyDescent="0.25">
      <c r="A1970" t="s">
        <v>2346</v>
      </c>
      <c r="B1970" s="6">
        <v>2185.0889999999999</v>
      </c>
      <c r="C1970">
        <v>-9</v>
      </c>
    </row>
    <row r="1971" spans="1:3" x14ac:dyDescent="0.25">
      <c r="A1971" t="s">
        <v>2347</v>
      </c>
      <c r="B1971" s="6">
        <v>2185.0889999999999</v>
      </c>
      <c r="C1971">
        <v>-9</v>
      </c>
    </row>
    <row r="1972" spans="1:3" x14ac:dyDescent="0.25">
      <c r="A1972" t="s">
        <v>2348</v>
      </c>
      <c r="B1972" s="6">
        <v>2185.0889999999999</v>
      </c>
      <c r="C1972">
        <v>-9</v>
      </c>
    </row>
    <row r="1973" spans="1:3" x14ac:dyDescent="0.25">
      <c r="A1973" t="s">
        <v>2349</v>
      </c>
      <c r="B1973" s="6">
        <v>2087</v>
      </c>
      <c r="C1973">
        <v>-8</v>
      </c>
    </row>
    <row r="1974" spans="1:3" x14ac:dyDescent="0.25">
      <c r="A1974" t="s">
        <v>2350</v>
      </c>
      <c r="B1974" s="6">
        <v>2379.1800000000003</v>
      </c>
      <c r="C1974">
        <v>-10</v>
      </c>
    </row>
    <row r="1975" spans="1:3" x14ac:dyDescent="0.25">
      <c r="A1975" t="s">
        <v>2351</v>
      </c>
      <c r="B1975" s="6">
        <v>2087</v>
      </c>
      <c r="C1975">
        <v>-8</v>
      </c>
    </row>
    <row r="1976" spans="1:3" x14ac:dyDescent="0.25">
      <c r="A1976" t="s">
        <v>2352</v>
      </c>
      <c r="B1976" s="6">
        <v>2379.1800000000003</v>
      </c>
      <c r="C1976">
        <v>-10</v>
      </c>
    </row>
    <row r="1977" spans="1:3" x14ac:dyDescent="0.25">
      <c r="A1977" t="s">
        <v>2353</v>
      </c>
      <c r="B1977" s="6">
        <v>2281.0909999999999</v>
      </c>
      <c r="C1977">
        <v>-9</v>
      </c>
    </row>
    <row r="1978" spans="1:3" x14ac:dyDescent="0.25">
      <c r="A1978" t="s">
        <v>2354</v>
      </c>
      <c r="B1978" s="6">
        <v>2379.1800000000003</v>
      </c>
      <c r="C1978">
        <v>-10</v>
      </c>
    </row>
    <row r="1979" spans="1:3" x14ac:dyDescent="0.25">
      <c r="A1979" t="s">
        <v>2355</v>
      </c>
      <c r="B1979" s="6">
        <v>2087</v>
      </c>
      <c r="C1979">
        <v>-8</v>
      </c>
    </row>
    <row r="1980" spans="1:3" x14ac:dyDescent="0.25">
      <c r="A1980" t="s">
        <v>2356</v>
      </c>
      <c r="B1980" s="6">
        <v>2087</v>
      </c>
      <c r="C1980">
        <v>-8</v>
      </c>
    </row>
    <row r="1981" spans="1:3" x14ac:dyDescent="0.25">
      <c r="A1981" t="s">
        <v>2357</v>
      </c>
      <c r="B1981" s="6">
        <v>2281.0909999999999</v>
      </c>
      <c r="C1981">
        <v>-10</v>
      </c>
    </row>
    <row r="1982" spans="1:3" x14ac:dyDescent="0.25">
      <c r="A1982" t="s">
        <v>2358</v>
      </c>
      <c r="B1982" s="6">
        <v>2185.0889999999999</v>
      </c>
      <c r="C1982">
        <v>-9</v>
      </c>
    </row>
    <row r="1983" spans="1:3" x14ac:dyDescent="0.25">
      <c r="A1983" t="s">
        <v>2359</v>
      </c>
      <c r="B1983" s="6">
        <v>2185.0889999999999</v>
      </c>
      <c r="C1983">
        <v>-9</v>
      </c>
    </row>
    <row r="1984" spans="1:3" x14ac:dyDescent="0.25">
      <c r="A1984" t="s">
        <v>2360</v>
      </c>
      <c r="B1984" s="6">
        <v>1988.9109999999998</v>
      </c>
      <c r="C1984">
        <v>-8</v>
      </c>
    </row>
    <row r="1985" spans="1:3" x14ac:dyDescent="0.25">
      <c r="A1985" t="s">
        <v>2361</v>
      </c>
      <c r="B1985" s="6">
        <v>2087</v>
      </c>
      <c r="C1985">
        <v>-9</v>
      </c>
    </row>
    <row r="1986" spans="1:3" x14ac:dyDescent="0.25">
      <c r="A1986" t="s">
        <v>2362</v>
      </c>
      <c r="B1986" s="6">
        <v>1892.9090000000001</v>
      </c>
      <c r="C1986">
        <v>-7</v>
      </c>
    </row>
    <row r="1987" spans="1:3" x14ac:dyDescent="0.25">
      <c r="A1987" t="s">
        <v>2362</v>
      </c>
      <c r="B1987" s="6">
        <v>1892.9090000000001</v>
      </c>
      <c r="C1987">
        <v>-7</v>
      </c>
    </row>
    <row r="1988" spans="1:3" x14ac:dyDescent="0.25">
      <c r="A1988" t="s">
        <v>2363</v>
      </c>
      <c r="B1988" s="6">
        <v>2281.0909999999999</v>
      </c>
      <c r="C1988">
        <v>-9</v>
      </c>
    </row>
    <row r="1989" spans="1:3" x14ac:dyDescent="0.25">
      <c r="A1989" t="s">
        <v>2364</v>
      </c>
      <c r="B1989" s="6">
        <v>2185.0889999999999</v>
      </c>
      <c r="C1989">
        <v>-9</v>
      </c>
    </row>
    <row r="1990" spans="1:3" x14ac:dyDescent="0.25">
      <c r="A1990" t="s">
        <v>2365</v>
      </c>
      <c r="B1990" s="6">
        <v>2087</v>
      </c>
      <c r="C1990">
        <v>-8</v>
      </c>
    </row>
    <row r="1991" spans="1:3" x14ac:dyDescent="0.25">
      <c r="A1991" t="s">
        <v>2366</v>
      </c>
      <c r="B1991" s="6">
        <v>1988.9109999999998</v>
      </c>
      <c r="C1991">
        <v>-8</v>
      </c>
    </row>
    <row r="1992" spans="1:3" x14ac:dyDescent="0.25">
      <c r="A1992" t="s">
        <v>2367</v>
      </c>
      <c r="B1992" s="6">
        <v>2185.0889999999999</v>
      </c>
      <c r="C1992">
        <v>-9</v>
      </c>
    </row>
    <row r="1993" spans="1:3" x14ac:dyDescent="0.25">
      <c r="A1993" t="s">
        <v>2368</v>
      </c>
      <c r="B1993" s="6">
        <v>2087</v>
      </c>
      <c r="C1993">
        <v>-8</v>
      </c>
    </row>
    <row r="1994" spans="1:3" x14ac:dyDescent="0.25">
      <c r="A1994" t="s">
        <v>2369</v>
      </c>
      <c r="B1994" s="6">
        <v>2087</v>
      </c>
      <c r="C1994">
        <v>-8</v>
      </c>
    </row>
    <row r="1995" spans="1:3" x14ac:dyDescent="0.25">
      <c r="A1995" t="s">
        <v>2370</v>
      </c>
      <c r="B1995" s="6">
        <v>2087</v>
      </c>
      <c r="C1995">
        <v>-8</v>
      </c>
    </row>
    <row r="1996" spans="1:3" x14ac:dyDescent="0.25">
      <c r="A1996" t="s">
        <v>2371</v>
      </c>
      <c r="B1996" s="6">
        <v>2548.2270000000003</v>
      </c>
      <c r="C1996">
        <v>-11</v>
      </c>
    </row>
    <row r="1997" spans="1:3" x14ac:dyDescent="0.25">
      <c r="A1997" t="s">
        <v>2372</v>
      </c>
      <c r="B1997" s="6">
        <v>2790.319</v>
      </c>
      <c r="C1997">
        <v>-11</v>
      </c>
    </row>
    <row r="1998" spans="1:3" x14ac:dyDescent="0.25">
      <c r="A1998" t="s">
        <v>2373</v>
      </c>
      <c r="B1998" s="6">
        <v>2548.2270000000003</v>
      </c>
      <c r="C1998">
        <v>-11</v>
      </c>
    </row>
    <row r="1999" spans="1:3" x14ac:dyDescent="0.25">
      <c r="A1999" t="s">
        <v>2374</v>
      </c>
      <c r="B1999" s="6">
        <v>1988.9109999999998</v>
      </c>
      <c r="C1999">
        <v>-8</v>
      </c>
    </row>
    <row r="2000" spans="1:3" x14ac:dyDescent="0.25">
      <c r="A2000" t="s">
        <v>2375</v>
      </c>
      <c r="B2000" s="6">
        <v>2185.0889999999999</v>
      </c>
      <c r="C2000">
        <v>-8</v>
      </c>
    </row>
    <row r="2001" spans="1:3" x14ac:dyDescent="0.25">
      <c r="A2001" t="s">
        <v>2376</v>
      </c>
      <c r="B2001" s="6">
        <v>1988.9109999999998</v>
      </c>
      <c r="C2001">
        <v>-8</v>
      </c>
    </row>
    <row r="2002" spans="1:3" x14ac:dyDescent="0.25">
      <c r="A2002" t="s">
        <v>2377</v>
      </c>
      <c r="B2002" s="6">
        <v>2087</v>
      </c>
      <c r="C2002">
        <v>-8</v>
      </c>
    </row>
    <row r="2003" spans="1:3" x14ac:dyDescent="0.25">
      <c r="A2003" t="s">
        <v>2378</v>
      </c>
      <c r="B2003" s="6">
        <v>2548.2270000000003</v>
      </c>
      <c r="C2003">
        <v>-11</v>
      </c>
    </row>
    <row r="2004" spans="1:3" x14ac:dyDescent="0.25">
      <c r="A2004" t="s">
        <v>2379</v>
      </c>
      <c r="B2004" s="6">
        <v>2281.0909999999999</v>
      </c>
      <c r="C2004">
        <v>-9</v>
      </c>
    </row>
    <row r="2005" spans="1:3" x14ac:dyDescent="0.25">
      <c r="A2005" t="s">
        <v>2380</v>
      </c>
      <c r="B2005" s="6">
        <v>2185.0889999999999</v>
      </c>
      <c r="C2005">
        <v>-9</v>
      </c>
    </row>
    <row r="2006" spans="1:3" x14ac:dyDescent="0.25">
      <c r="A2006" t="s">
        <v>2381</v>
      </c>
      <c r="B2006" s="6">
        <v>2379.1800000000003</v>
      </c>
      <c r="C2006">
        <v>-10</v>
      </c>
    </row>
    <row r="2007" spans="1:3" x14ac:dyDescent="0.25">
      <c r="A2007" t="s">
        <v>2382</v>
      </c>
      <c r="B2007" s="6">
        <v>1988.9109999999998</v>
      </c>
      <c r="C2007">
        <v>-8</v>
      </c>
    </row>
    <row r="2008" spans="1:3" x14ac:dyDescent="0.25">
      <c r="A2008" t="s">
        <v>2383</v>
      </c>
      <c r="B2008" s="6">
        <v>1988.9109999999998</v>
      </c>
      <c r="C2008">
        <v>-8</v>
      </c>
    </row>
    <row r="2009" spans="1:3" x14ac:dyDescent="0.25">
      <c r="A2009" t="s">
        <v>2384</v>
      </c>
      <c r="B2009" s="6">
        <v>2281.0909999999999</v>
      </c>
      <c r="C2009">
        <v>-9</v>
      </c>
    </row>
    <row r="2010" spans="1:3" x14ac:dyDescent="0.25">
      <c r="A2010" t="s">
        <v>2385</v>
      </c>
      <c r="B2010" s="6">
        <v>2185.0889999999999</v>
      </c>
      <c r="C2010">
        <v>-9</v>
      </c>
    </row>
    <row r="2011" spans="1:3" x14ac:dyDescent="0.25">
      <c r="A2011" t="s">
        <v>2386</v>
      </c>
      <c r="B2011" s="6">
        <v>2185.0889999999999</v>
      </c>
      <c r="C2011">
        <v>-8</v>
      </c>
    </row>
    <row r="2012" spans="1:3" x14ac:dyDescent="0.25">
      <c r="A2012" t="s">
        <v>2387</v>
      </c>
      <c r="B2012" s="6">
        <v>2087</v>
      </c>
      <c r="C2012">
        <v>-8</v>
      </c>
    </row>
    <row r="2013" spans="1:3" x14ac:dyDescent="0.25">
      <c r="A2013" t="s">
        <v>2388</v>
      </c>
      <c r="B2013" s="6">
        <v>2548.2270000000003</v>
      </c>
      <c r="C2013">
        <v>-10</v>
      </c>
    </row>
    <row r="2014" spans="1:3" x14ac:dyDescent="0.25">
      <c r="A2014" t="s">
        <v>2389</v>
      </c>
      <c r="B2014" s="6">
        <v>2185.0889999999999</v>
      </c>
      <c r="C2014">
        <v>-9</v>
      </c>
    </row>
    <row r="2015" spans="1:3" x14ac:dyDescent="0.25">
      <c r="A2015" t="s">
        <v>2390</v>
      </c>
      <c r="B2015" s="6">
        <v>2281.0909999999999</v>
      </c>
      <c r="C2015">
        <v>-9</v>
      </c>
    </row>
    <row r="2016" spans="1:3" x14ac:dyDescent="0.25">
      <c r="A2016" t="s">
        <v>2391</v>
      </c>
      <c r="B2016" s="6">
        <v>2790.319</v>
      </c>
      <c r="C2016">
        <v>-11</v>
      </c>
    </row>
    <row r="2017" spans="1:3" x14ac:dyDescent="0.25">
      <c r="A2017" t="s">
        <v>2392</v>
      </c>
      <c r="B2017" s="6">
        <v>2185.0889999999999</v>
      </c>
      <c r="C2017">
        <v>-9</v>
      </c>
    </row>
    <row r="2018" spans="1:3" x14ac:dyDescent="0.25">
      <c r="A2018" t="s">
        <v>2393</v>
      </c>
      <c r="B2018" s="6">
        <v>2185.0889999999999</v>
      </c>
      <c r="C2018">
        <v>-9</v>
      </c>
    </row>
    <row r="2019" spans="1:3" x14ac:dyDescent="0.25">
      <c r="A2019" t="s">
        <v>2394</v>
      </c>
      <c r="B2019" s="6">
        <v>2185.0889999999999</v>
      </c>
      <c r="C2019">
        <v>-9</v>
      </c>
    </row>
    <row r="2020" spans="1:3" x14ac:dyDescent="0.25">
      <c r="A2020" t="s">
        <v>2395</v>
      </c>
      <c r="B2020" s="6">
        <v>2185.0889999999999</v>
      </c>
      <c r="C2020">
        <v>-8</v>
      </c>
    </row>
    <row r="2021" spans="1:3" x14ac:dyDescent="0.25">
      <c r="A2021" t="s">
        <v>2396</v>
      </c>
      <c r="B2021" s="6">
        <v>2548.2270000000003</v>
      </c>
      <c r="C2021">
        <v>-11</v>
      </c>
    </row>
    <row r="2022" spans="1:3" x14ac:dyDescent="0.25">
      <c r="A2022" t="s">
        <v>2397</v>
      </c>
      <c r="B2022" s="6">
        <v>2379.1800000000003</v>
      </c>
      <c r="C2022">
        <v>-11</v>
      </c>
    </row>
    <row r="2023" spans="1:3" x14ac:dyDescent="0.25">
      <c r="A2023" t="s">
        <v>2398</v>
      </c>
      <c r="B2023" s="6">
        <v>2087</v>
      </c>
      <c r="C2023">
        <v>-8</v>
      </c>
    </row>
    <row r="2024" spans="1:3" x14ac:dyDescent="0.25">
      <c r="A2024" t="s">
        <v>2399</v>
      </c>
      <c r="B2024" s="6">
        <v>2087</v>
      </c>
      <c r="C2024">
        <v>-9</v>
      </c>
    </row>
    <row r="2025" spans="1:3" x14ac:dyDescent="0.25">
      <c r="A2025" t="s">
        <v>2400</v>
      </c>
      <c r="B2025" s="6">
        <v>2087</v>
      </c>
      <c r="C2025">
        <v>-8</v>
      </c>
    </row>
    <row r="2026" spans="1:3" x14ac:dyDescent="0.25">
      <c r="A2026" t="s">
        <v>2401</v>
      </c>
      <c r="B2026" s="6">
        <v>1988.9109999999998</v>
      </c>
      <c r="C2026">
        <v>-8</v>
      </c>
    </row>
    <row r="2027" spans="1:3" x14ac:dyDescent="0.25">
      <c r="A2027" t="s">
        <v>2402</v>
      </c>
      <c r="B2027" s="6">
        <v>2087</v>
      </c>
      <c r="C2027">
        <v>-8</v>
      </c>
    </row>
    <row r="2028" spans="1:3" x14ac:dyDescent="0.25">
      <c r="A2028" t="s">
        <v>2403</v>
      </c>
      <c r="B2028" s="6">
        <v>2087</v>
      </c>
      <c r="C2028">
        <v>-8</v>
      </c>
    </row>
    <row r="2029" spans="1:3" x14ac:dyDescent="0.25">
      <c r="A2029" t="s">
        <v>2404</v>
      </c>
      <c r="B2029" s="6">
        <v>2281.0909999999999</v>
      </c>
      <c r="C2029">
        <v>-9</v>
      </c>
    </row>
    <row r="2030" spans="1:3" x14ac:dyDescent="0.25">
      <c r="A2030" t="s">
        <v>2405</v>
      </c>
      <c r="B2030" s="6">
        <v>2087</v>
      </c>
      <c r="C2030">
        <v>-8</v>
      </c>
    </row>
    <row r="2031" spans="1:3" x14ac:dyDescent="0.25">
      <c r="A2031" t="s">
        <v>2406</v>
      </c>
      <c r="B2031" s="6">
        <v>2281.0909999999999</v>
      </c>
      <c r="C2031">
        <v>-10</v>
      </c>
    </row>
    <row r="2032" spans="1:3" x14ac:dyDescent="0.25">
      <c r="A2032" t="s">
        <v>2407</v>
      </c>
      <c r="B2032" s="6">
        <v>2379.1800000000003</v>
      </c>
      <c r="C2032">
        <v>-10</v>
      </c>
    </row>
    <row r="2033" spans="1:3" x14ac:dyDescent="0.25">
      <c r="A2033" t="s">
        <v>2408</v>
      </c>
      <c r="B2033" s="6">
        <v>2790.319</v>
      </c>
      <c r="C2033">
        <v>-12</v>
      </c>
    </row>
    <row r="2034" spans="1:3" x14ac:dyDescent="0.25">
      <c r="A2034" t="s">
        <v>2409</v>
      </c>
      <c r="B2034" s="6">
        <v>2087</v>
      </c>
      <c r="C2034">
        <v>-8</v>
      </c>
    </row>
    <row r="2035" spans="1:3" x14ac:dyDescent="0.25">
      <c r="A2035" t="s">
        <v>2410</v>
      </c>
      <c r="B2035" s="6">
        <v>2379.1800000000003</v>
      </c>
      <c r="C2035">
        <v>-10</v>
      </c>
    </row>
    <row r="2036" spans="1:3" x14ac:dyDescent="0.25">
      <c r="A2036" t="s">
        <v>2411</v>
      </c>
      <c r="B2036" s="6">
        <v>2790.319</v>
      </c>
      <c r="C2036">
        <v>-10</v>
      </c>
    </row>
    <row r="2037" spans="1:3" x14ac:dyDescent="0.25">
      <c r="A2037" t="s">
        <v>2412</v>
      </c>
      <c r="B2037" s="6">
        <v>2961.453</v>
      </c>
      <c r="C2037">
        <v>-12</v>
      </c>
    </row>
    <row r="2038" spans="1:3" x14ac:dyDescent="0.25">
      <c r="A2038" t="s">
        <v>2413</v>
      </c>
      <c r="B2038" s="6">
        <v>2185.0889999999999</v>
      </c>
      <c r="C2038">
        <v>-8</v>
      </c>
    </row>
    <row r="2039" spans="1:3" x14ac:dyDescent="0.25">
      <c r="A2039" t="s">
        <v>2414</v>
      </c>
      <c r="B2039" s="6">
        <v>2185.0889999999999</v>
      </c>
      <c r="C2039">
        <v>-9</v>
      </c>
    </row>
    <row r="2040" spans="1:3" x14ac:dyDescent="0.25">
      <c r="A2040" t="s">
        <v>2415</v>
      </c>
      <c r="B2040" s="6">
        <v>1892.9090000000001</v>
      </c>
      <c r="C2040">
        <v>-8</v>
      </c>
    </row>
    <row r="2041" spans="1:3" x14ac:dyDescent="0.25">
      <c r="A2041" t="s">
        <v>2416</v>
      </c>
      <c r="B2041" s="6">
        <v>1988.9109999999998</v>
      </c>
      <c r="C2041">
        <v>-8</v>
      </c>
    </row>
    <row r="2042" spans="1:3" x14ac:dyDescent="0.25">
      <c r="A2042" t="s">
        <v>2417</v>
      </c>
      <c r="B2042" s="6">
        <v>2281.0909999999999</v>
      </c>
      <c r="C2042">
        <v>-9</v>
      </c>
    </row>
    <row r="2043" spans="1:3" x14ac:dyDescent="0.25">
      <c r="A2043" t="s">
        <v>2418</v>
      </c>
      <c r="B2043" s="6">
        <v>2185.0889999999999</v>
      </c>
      <c r="C2043">
        <v>-8</v>
      </c>
    </row>
    <row r="2044" spans="1:3" x14ac:dyDescent="0.25">
      <c r="A2044" t="s">
        <v>2419</v>
      </c>
      <c r="B2044" s="6">
        <v>1988.9109999999998</v>
      </c>
      <c r="C2044">
        <v>-8</v>
      </c>
    </row>
    <row r="2045" spans="1:3" x14ac:dyDescent="0.25">
      <c r="A2045" t="s">
        <v>2420</v>
      </c>
      <c r="B2045" s="6">
        <v>1988.9109999999998</v>
      </c>
      <c r="C2045">
        <v>-8</v>
      </c>
    </row>
    <row r="2046" spans="1:3" x14ac:dyDescent="0.25">
      <c r="A2046" t="s">
        <v>2421</v>
      </c>
      <c r="B2046" s="6">
        <v>1988.9109999999998</v>
      </c>
      <c r="C2046">
        <v>-8</v>
      </c>
    </row>
    <row r="2047" spans="1:3" x14ac:dyDescent="0.25">
      <c r="A2047" t="s">
        <v>2422</v>
      </c>
      <c r="B2047" s="6">
        <v>2185.0889999999999</v>
      </c>
      <c r="C2047">
        <v>-9</v>
      </c>
    </row>
    <row r="2048" spans="1:3" x14ac:dyDescent="0.25">
      <c r="A2048" t="s">
        <v>2423</v>
      </c>
      <c r="B2048" s="6">
        <v>2379.1800000000003</v>
      </c>
      <c r="C2048">
        <v>-10</v>
      </c>
    </row>
    <row r="2049" spans="1:3" x14ac:dyDescent="0.25">
      <c r="A2049" t="s">
        <v>2424</v>
      </c>
      <c r="B2049" s="6">
        <v>2379.1800000000003</v>
      </c>
      <c r="C2049">
        <v>-10</v>
      </c>
    </row>
    <row r="2050" spans="1:3" x14ac:dyDescent="0.25">
      <c r="A2050" t="s">
        <v>2425</v>
      </c>
      <c r="B2050" s="6">
        <v>2379.1800000000003</v>
      </c>
      <c r="C2050">
        <v>-10</v>
      </c>
    </row>
    <row r="2051" spans="1:3" x14ac:dyDescent="0.25">
      <c r="A2051" t="s">
        <v>2426</v>
      </c>
      <c r="B2051" s="6">
        <v>2087</v>
      </c>
      <c r="C2051">
        <v>-8</v>
      </c>
    </row>
    <row r="2052" spans="1:3" x14ac:dyDescent="0.25">
      <c r="A2052" t="s">
        <v>2427</v>
      </c>
      <c r="B2052" s="6">
        <v>2281.0909999999999</v>
      </c>
      <c r="C2052">
        <v>-9</v>
      </c>
    </row>
    <row r="2053" spans="1:3" x14ac:dyDescent="0.25">
      <c r="A2053" t="s">
        <v>2428</v>
      </c>
      <c r="B2053" s="6">
        <v>2087</v>
      </c>
      <c r="C2053">
        <v>-8</v>
      </c>
    </row>
    <row r="2054" spans="1:3" x14ac:dyDescent="0.25">
      <c r="A2054" t="s">
        <v>2429</v>
      </c>
      <c r="B2054" s="6">
        <v>2087</v>
      </c>
      <c r="C2054">
        <v>-9</v>
      </c>
    </row>
    <row r="2055" spans="1:3" x14ac:dyDescent="0.25">
      <c r="A2055" t="s">
        <v>2430</v>
      </c>
      <c r="B2055" s="6">
        <v>2087</v>
      </c>
      <c r="C2055">
        <v>-8</v>
      </c>
    </row>
    <row r="2056" spans="1:3" x14ac:dyDescent="0.25">
      <c r="A2056" t="s">
        <v>2431</v>
      </c>
      <c r="B2056" s="6">
        <v>1988.9109999999998</v>
      </c>
      <c r="C2056">
        <v>-8</v>
      </c>
    </row>
    <row r="2057" spans="1:3" x14ac:dyDescent="0.25">
      <c r="A2057" t="s">
        <v>2432</v>
      </c>
      <c r="B2057" s="6">
        <v>2087</v>
      </c>
      <c r="C2057">
        <v>-8</v>
      </c>
    </row>
    <row r="2058" spans="1:3" x14ac:dyDescent="0.25">
      <c r="A2058" t="s">
        <v>2433</v>
      </c>
      <c r="B2058" s="6">
        <v>2087</v>
      </c>
      <c r="C2058">
        <v>-8</v>
      </c>
    </row>
    <row r="2059" spans="1:3" x14ac:dyDescent="0.25">
      <c r="A2059" t="s">
        <v>2434</v>
      </c>
      <c r="B2059" s="6">
        <v>2281.0909999999999</v>
      </c>
      <c r="C2059">
        <v>-10</v>
      </c>
    </row>
    <row r="2060" spans="1:3" x14ac:dyDescent="0.25">
      <c r="A2060" t="s">
        <v>2435</v>
      </c>
      <c r="B2060" s="6">
        <v>2185.0889999999999</v>
      </c>
      <c r="C2060">
        <v>-9</v>
      </c>
    </row>
    <row r="2061" spans="1:3" x14ac:dyDescent="0.25">
      <c r="A2061" t="s">
        <v>2436</v>
      </c>
      <c r="B2061" s="6">
        <v>2087</v>
      </c>
      <c r="C2061">
        <v>-8</v>
      </c>
    </row>
    <row r="2062" spans="1:3" x14ac:dyDescent="0.25">
      <c r="A2062" t="s">
        <v>2437</v>
      </c>
      <c r="B2062" s="6">
        <v>2087</v>
      </c>
      <c r="C2062">
        <v>-8</v>
      </c>
    </row>
    <row r="2063" spans="1:3" x14ac:dyDescent="0.25">
      <c r="A2063" t="s">
        <v>2438</v>
      </c>
      <c r="B2063" s="6">
        <v>2185.0889999999999</v>
      </c>
      <c r="C2063">
        <v>-9</v>
      </c>
    </row>
    <row r="2064" spans="1:3" x14ac:dyDescent="0.25">
      <c r="A2064" t="s">
        <v>2439</v>
      </c>
      <c r="B2064" s="6">
        <v>2790.319</v>
      </c>
      <c r="C2064">
        <v>-10</v>
      </c>
    </row>
    <row r="2065" spans="1:3" x14ac:dyDescent="0.25">
      <c r="A2065" t="s">
        <v>2440</v>
      </c>
      <c r="B2065" s="6">
        <v>2185.0889999999999</v>
      </c>
      <c r="C2065">
        <v>-9</v>
      </c>
    </row>
    <row r="2066" spans="1:3" x14ac:dyDescent="0.25">
      <c r="A2066" t="s">
        <v>2441</v>
      </c>
      <c r="B2066" s="6">
        <v>2281.0909999999999</v>
      </c>
      <c r="C2066">
        <v>-10</v>
      </c>
    </row>
    <row r="2067" spans="1:3" x14ac:dyDescent="0.25">
      <c r="A2067" t="s">
        <v>2442</v>
      </c>
      <c r="B2067" s="6">
        <v>2087</v>
      </c>
      <c r="C2067">
        <v>-8</v>
      </c>
    </row>
    <row r="2068" spans="1:3" x14ac:dyDescent="0.25">
      <c r="A2068" t="s">
        <v>2443</v>
      </c>
      <c r="B2068" s="6">
        <v>2087</v>
      </c>
      <c r="C2068">
        <v>-8</v>
      </c>
    </row>
    <row r="2069" spans="1:3" x14ac:dyDescent="0.25">
      <c r="A2069" t="s">
        <v>2444</v>
      </c>
      <c r="B2069" s="6">
        <v>2185.0889999999999</v>
      </c>
      <c r="C2069">
        <v>-9</v>
      </c>
    </row>
    <row r="2070" spans="1:3" x14ac:dyDescent="0.25">
      <c r="A2070" t="s">
        <v>2445</v>
      </c>
      <c r="B2070" s="6">
        <v>2379.1800000000003</v>
      </c>
      <c r="C2070">
        <v>-10</v>
      </c>
    </row>
    <row r="2071" spans="1:3" x14ac:dyDescent="0.25">
      <c r="A2071" t="s">
        <v>2446</v>
      </c>
      <c r="B2071" s="6">
        <v>2379.1800000000003</v>
      </c>
      <c r="C2071">
        <v>-10</v>
      </c>
    </row>
    <row r="2072" spans="1:3" x14ac:dyDescent="0.25">
      <c r="A2072" t="s">
        <v>2447</v>
      </c>
      <c r="B2072" s="6">
        <v>2185.0889999999999</v>
      </c>
      <c r="C2072">
        <v>-9</v>
      </c>
    </row>
    <row r="2073" spans="1:3" x14ac:dyDescent="0.25">
      <c r="A2073" t="s">
        <v>2448</v>
      </c>
      <c r="B2073" s="6">
        <v>2087</v>
      </c>
      <c r="C2073">
        <v>-9</v>
      </c>
    </row>
    <row r="2074" spans="1:3" x14ac:dyDescent="0.25">
      <c r="A2074" t="s">
        <v>2449</v>
      </c>
      <c r="B2074" s="6">
        <v>2379.1800000000003</v>
      </c>
      <c r="C2074">
        <v>-10</v>
      </c>
    </row>
    <row r="2075" spans="1:3" x14ac:dyDescent="0.25">
      <c r="A2075" t="s">
        <v>2450</v>
      </c>
      <c r="B2075" s="6">
        <v>2087</v>
      </c>
      <c r="C2075">
        <v>-8</v>
      </c>
    </row>
    <row r="2076" spans="1:3" x14ac:dyDescent="0.25">
      <c r="A2076" t="s">
        <v>2451</v>
      </c>
      <c r="B2076" s="6">
        <v>1988.9109999999998</v>
      </c>
      <c r="C2076">
        <v>-8</v>
      </c>
    </row>
    <row r="2077" spans="1:3" x14ac:dyDescent="0.25">
      <c r="A2077" t="s">
        <v>2452</v>
      </c>
      <c r="B2077" s="6">
        <v>2379.1800000000003</v>
      </c>
      <c r="C2077">
        <v>-10</v>
      </c>
    </row>
    <row r="2078" spans="1:3" x14ac:dyDescent="0.25">
      <c r="A2078" t="s">
        <v>2453</v>
      </c>
      <c r="B2078" s="6">
        <v>2087</v>
      </c>
      <c r="C2078">
        <v>-8</v>
      </c>
    </row>
    <row r="2079" spans="1:3" x14ac:dyDescent="0.25">
      <c r="A2079" t="s">
        <v>2454</v>
      </c>
      <c r="B2079" s="6">
        <v>1988.9109999999998</v>
      </c>
      <c r="C2079">
        <v>-8</v>
      </c>
    </row>
    <row r="2080" spans="1:3" x14ac:dyDescent="0.25">
      <c r="A2080" t="s">
        <v>2454</v>
      </c>
      <c r="B2080" s="6">
        <v>2087</v>
      </c>
      <c r="C2080">
        <v>-8</v>
      </c>
    </row>
    <row r="2081" spans="1:3" x14ac:dyDescent="0.25">
      <c r="A2081" t="s">
        <v>2455</v>
      </c>
      <c r="B2081" s="6">
        <v>1988.9109999999998</v>
      </c>
      <c r="C2081">
        <v>-8</v>
      </c>
    </row>
    <row r="2082" spans="1:3" x14ac:dyDescent="0.25">
      <c r="A2082" t="s">
        <v>2456</v>
      </c>
      <c r="B2082" s="6">
        <v>2087</v>
      </c>
      <c r="C2082">
        <v>-8</v>
      </c>
    </row>
    <row r="2083" spans="1:3" x14ac:dyDescent="0.25">
      <c r="A2083" t="s">
        <v>2457</v>
      </c>
      <c r="B2083" s="6">
        <v>2548.2270000000003</v>
      </c>
      <c r="C2083">
        <v>-11</v>
      </c>
    </row>
    <row r="2084" spans="1:3" x14ac:dyDescent="0.25">
      <c r="A2084" t="s">
        <v>2458</v>
      </c>
      <c r="B2084" s="6">
        <v>1988.9109999999998</v>
      </c>
      <c r="C2084">
        <v>-8</v>
      </c>
    </row>
    <row r="2085" spans="1:3" x14ac:dyDescent="0.25">
      <c r="A2085" t="s">
        <v>2459</v>
      </c>
      <c r="B2085" s="6">
        <v>2087</v>
      </c>
      <c r="C2085">
        <v>-8</v>
      </c>
    </row>
    <row r="2086" spans="1:3" x14ac:dyDescent="0.25">
      <c r="A2086" t="s">
        <v>2460</v>
      </c>
      <c r="B2086" s="6">
        <v>2087</v>
      </c>
      <c r="C2086">
        <v>-8</v>
      </c>
    </row>
    <row r="2087" spans="1:3" x14ac:dyDescent="0.25">
      <c r="A2087" t="s">
        <v>2461</v>
      </c>
      <c r="B2087" s="6">
        <v>2087</v>
      </c>
      <c r="C2087">
        <v>-8</v>
      </c>
    </row>
    <row r="2088" spans="1:3" x14ac:dyDescent="0.25">
      <c r="A2088" t="s">
        <v>2462</v>
      </c>
      <c r="B2088" s="6">
        <v>2087</v>
      </c>
      <c r="C2088">
        <v>-8</v>
      </c>
    </row>
    <row r="2089" spans="1:3" x14ac:dyDescent="0.25">
      <c r="A2089" t="s">
        <v>2463</v>
      </c>
      <c r="B2089" s="6">
        <v>1988.9109999999998</v>
      </c>
      <c r="C2089">
        <v>-8</v>
      </c>
    </row>
    <row r="2090" spans="1:3" x14ac:dyDescent="0.25">
      <c r="A2090" t="s">
        <v>2464</v>
      </c>
      <c r="B2090" s="6">
        <v>2087</v>
      </c>
      <c r="C2090">
        <v>-8</v>
      </c>
    </row>
    <row r="2091" spans="1:3" x14ac:dyDescent="0.25">
      <c r="A2091" t="s">
        <v>2465</v>
      </c>
      <c r="B2091" s="6">
        <v>1988.9109999999998</v>
      </c>
      <c r="C2091">
        <v>-8</v>
      </c>
    </row>
    <row r="2092" spans="1:3" x14ac:dyDescent="0.25">
      <c r="A2092" t="s">
        <v>2466</v>
      </c>
      <c r="B2092" s="6">
        <v>2087</v>
      </c>
      <c r="C2092">
        <v>-8</v>
      </c>
    </row>
    <row r="2093" spans="1:3" x14ac:dyDescent="0.25">
      <c r="A2093" t="s">
        <v>2467</v>
      </c>
      <c r="B2093" s="6">
        <v>2185.0889999999999</v>
      </c>
      <c r="C2093">
        <v>-8</v>
      </c>
    </row>
    <row r="2094" spans="1:3" x14ac:dyDescent="0.25">
      <c r="A2094" t="s">
        <v>2468</v>
      </c>
      <c r="B2094" s="6">
        <v>2281.0909999999999</v>
      </c>
      <c r="C2094">
        <v>-9</v>
      </c>
    </row>
    <row r="2095" spans="1:3" x14ac:dyDescent="0.25">
      <c r="A2095" t="s">
        <v>2469</v>
      </c>
      <c r="B2095" s="6">
        <v>2281.0909999999999</v>
      </c>
      <c r="C2095">
        <v>-9</v>
      </c>
    </row>
    <row r="2096" spans="1:3" x14ac:dyDescent="0.25">
      <c r="A2096" t="s">
        <v>2468</v>
      </c>
      <c r="B2096" s="6">
        <v>2379.1800000000003</v>
      </c>
      <c r="C2096">
        <v>-10</v>
      </c>
    </row>
    <row r="2097" spans="1:3" x14ac:dyDescent="0.25">
      <c r="A2097" t="s">
        <v>2470</v>
      </c>
      <c r="B2097" s="6">
        <v>2185.0889999999999</v>
      </c>
      <c r="C2097">
        <v>-9</v>
      </c>
    </row>
    <row r="2098" spans="1:3" x14ac:dyDescent="0.25">
      <c r="A2098" t="s">
        <v>2471</v>
      </c>
      <c r="B2098" s="6">
        <v>2185.0889999999999</v>
      </c>
      <c r="C2098">
        <v>-9</v>
      </c>
    </row>
    <row r="2099" spans="1:3" x14ac:dyDescent="0.25">
      <c r="A2099" t="s">
        <v>2472</v>
      </c>
      <c r="B2099" s="6">
        <v>2087</v>
      </c>
      <c r="C2099">
        <v>-8</v>
      </c>
    </row>
    <row r="2100" spans="1:3" x14ac:dyDescent="0.25">
      <c r="A2100" t="s">
        <v>2473</v>
      </c>
      <c r="B2100" s="6">
        <v>2185.0889999999999</v>
      </c>
      <c r="C2100">
        <v>-9</v>
      </c>
    </row>
    <row r="2101" spans="1:3" x14ac:dyDescent="0.25">
      <c r="A2101" t="s">
        <v>2474</v>
      </c>
      <c r="B2101" s="6">
        <v>2087</v>
      </c>
      <c r="C2101">
        <v>-8</v>
      </c>
    </row>
    <row r="2102" spans="1:3" x14ac:dyDescent="0.25">
      <c r="A2102" t="s">
        <v>2475</v>
      </c>
      <c r="B2102" s="6">
        <v>2185.0889999999999</v>
      </c>
      <c r="C2102">
        <v>-9</v>
      </c>
    </row>
    <row r="2103" spans="1:3" x14ac:dyDescent="0.25">
      <c r="A2103" t="s">
        <v>2476</v>
      </c>
      <c r="B2103" s="6">
        <v>2185.0889999999999</v>
      </c>
      <c r="C2103">
        <v>-9</v>
      </c>
    </row>
    <row r="2104" spans="1:3" x14ac:dyDescent="0.25">
      <c r="A2104" t="s">
        <v>2477</v>
      </c>
      <c r="B2104" s="6">
        <v>2790.319</v>
      </c>
      <c r="C2104">
        <v>-11</v>
      </c>
    </row>
    <row r="2105" spans="1:3" x14ac:dyDescent="0.25">
      <c r="A2105" t="s">
        <v>2478</v>
      </c>
      <c r="B2105" s="6">
        <v>2087</v>
      </c>
      <c r="C2105">
        <v>-8</v>
      </c>
    </row>
    <row r="2106" spans="1:3" x14ac:dyDescent="0.25">
      <c r="A2106" t="s">
        <v>2479</v>
      </c>
      <c r="B2106" s="6">
        <v>2185.0889999999999</v>
      </c>
      <c r="C2106">
        <v>-8</v>
      </c>
    </row>
    <row r="2107" spans="1:3" x14ac:dyDescent="0.25">
      <c r="A2107" t="s">
        <v>2480</v>
      </c>
      <c r="B2107" s="6">
        <v>2087</v>
      </c>
      <c r="C2107">
        <v>-8</v>
      </c>
    </row>
    <row r="2108" spans="1:3" x14ac:dyDescent="0.25">
      <c r="A2108" t="s">
        <v>2481</v>
      </c>
      <c r="B2108" s="6">
        <v>2281.0909999999999</v>
      </c>
      <c r="C2108">
        <v>-9</v>
      </c>
    </row>
    <row r="2109" spans="1:3" x14ac:dyDescent="0.25">
      <c r="A2109" t="s">
        <v>2482</v>
      </c>
      <c r="B2109" s="6">
        <v>2185.0889999999999</v>
      </c>
      <c r="C2109">
        <v>-9</v>
      </c>
    </row>
    <row r="2110" spans="1:3" x14ac:dyDescent="0.25">
      <c r="A2110" t="s">
        <v>2483</v>
      </c>
      <c r="B2110" s="6">
        <v>2087</v>
      </c>
      <c r="C2110">
        <v>-8</v>
      </c>
    </row>
    <row r="2111" spans="1:3" x14ac:dyDescent="0.25">
      <c r="A2111" t="s">
        <v>2484</v>
      </c>
      <c r="B2111" s="6">
        <v>2087</v>
      </c>
      <c r="C2111">
        <v>-8</v>
      </c>
    </row>
    <row r="2112" spans="1:3" x14ac:dyDescent="0.25">
      <c r="A2112" t="s">
        <v>2475</v>
      </c>
      <c r="B2112" s="6">
        <v>2087</v>
      </c>
      <c r="C2112">
        <v>-8</v>
      </c>
    </row>
    <row r="2113" spans="1:3" x14ac:dyDescent="0.25">
      <c r="A2113" t="s">
        <v>2485</v>
      </c>
      <c r="B2113" s="6">
        <v>2185.0889999999999</v>
      </c>
      <c r="C2113">
        <v>-8</v>
      </c>
    </row>
    <row r="2114" spans="1:3" x14ac:dyDescent="0.25">
      <c r="A2114" t="s">
        <v>2478</v>
      </c>
      <c r="B2114" s="6">
        <v>2548.2270000000003</v>
      </c>
      <c r="C2114">
        <v>-10</v>
      </c>
    </row>
    <row r="2115" spans="1:3" x14ac:dyDescent="0.25">
      <c r="A2115" t="s">
        <v>2486</v>
      </c>
      <c r="B2115" s="6">
        <v>2185.0889999999999</v>
      </c>
      <c r="C2115">
        <v>-9</v>
      </c>
    </row>
    <row r="2116" spans="1:3" x14ac:dyDescent="0.25">
      <c r="A2116" t="s">
        <v>2487</v>
      </c>
      <c r="B2116" s="6">
        <v>2185.0889999999999</v>
      </c>
      <c r="C2116">
        <v>-9</v>
      </c>
    </row>
    <row r="2117" spans="1:3" x14ac:dyDescent="0.25">
      <c r="A2117" t="s">
        <v>2488</v>
      </c>
      <c r="B2117" s="6">
        <v>2281.0909999999999</v>
      </c>
      <c r="C2117">
        <v>-9</v>
      </c>
    </row>
    <row r="2118" spans="1:3" x14ac:dyDescent="0.25">
      <c r="A2118" t="s">
        <v>2489</v>
      </c>
      <c r="B2118" s="6">
        <v>2185.0889999999999</v>
      </c>
      <c r="C2118">
        <v>-9</v>
      </c>
    </row>
    <row r="2119" spans="1:3" x14ac:dyDescent="0.25">
      <c r="A2119" t="s">
        <v>2490</v>
      </c>
      <c r="B2119" s="6">
        <v>2548.2270000000003</v>
      </c>
      <c r="C2119">
        <v>-11</v>
      </c>
    </row>
    <row r="2120" spans="1:3" x14ac:dyDescent="0.25">
      <c r="A2120" t="s">
        <v>2491</v>
      </c>
      <c r="B2120" s="6">
        <v>2281.0909999999999</v>
      </c>
      <c r="C2120">
        <v>-10</v>
      </c>
    </row>
    <row r="2121" spans="1:3" x14ac:dyDescent="0.25">
      <c r="A2121" t="s">
        <v>2492</v>
      </c>
      <c r="B2121" s="6">
        <v>2790.319</v>
      </c>
      <c r="C2121">
        <v>-11</v>
      </c>
    </row>
    <row r="2122" spans="1:3" x14ac:dyDescent="0.25">
      <c r="A2122" t="s">
        <v>2493</v>
      </c>
      <c r="B2122" s="6">
        <v>2087</v>
      </c>
      <c r="C2122">
        <v>-8</v>
      </c>
    </row>
    <row r="2123" spans="1:3" x14ac:dyDescent="0.25">
      <c r="A2123" t="s">
        <v>2494</v>
      </c>
      <c r="B2123" s="6">
        <v>2548.2270000000003</v>
      </c>
      <c r="C2123">
        <v>-10</v>
      </c>
    </row>
    <row r="2124" spans="1:3" x14ac:dyDescent="0.25">
      <c r="A2124" t="s">
        <v>2495</v>
      </c>
      <c r="B2124" s="6">
        <v>2379.1800000000003</v>
      </c>
      <c r="C2124">
        <v>-10</v>
      </c>
    </row>
    <row r="2125" spans="1:3" x14ac:dyDescent="0.25">
      <c r="A2125" t="s">
        <v>2496</v>
      </c>
      <c r="B2125" s="6">
        <v>2087</v>
      </c>
      <c r="C2125">
        <v>-8</v>
      </c>
    </row>
    <row r="2126" spans="1:3" x14ac:dyDescent="0.25">
      <c r="A2126" t="s">
        <v>2497</v>
      </c>
      <c r="B2126" s="6">
        <v>2790.319</v>
      </c>
      <c r="C2126">
        <v>-10</v>
      </c>
    </row>
    <row r="2127" spans="1:3" x14ac:dyDescent="0.25">
      <c r="A2127" t="s">
        <v>2498</v>
      </c>
      <c r="B2127" s="6">
        <v>2548.2270000000003</v>
      </c>
      <c r="C2127">
        <v>-11</v>
      </c>
    </row>
    <row r="2128" spans="1:3" x14ac:dyDescent="0.25">
      <c r="A2128" t="s">
        <v>2499</v>
      </c>
      <c r="B2128" s="6">
        <v>2790.319</v>
      </c>
      <c r="C2128">
        <v>-11</v>
      </c>
    </row>
    <row r="2129" spans="1:3" x14ac:dyDescent="0.25">
      <c r="A2129" t="s">
        <v>2500</v>
      </c>
      <c r="B2129" s="6">
        <v>2548.2270000000003</v>
      </c>
      <c r="C2129">
        <v>-11</v>
      </c>
    </row>
    <row r="2130" spans="1:3" x14ac:dyDescent="0.25">
      <c r="A2130" t="s">
        <v>2501</v>
      </c>
      <c r="B2130" s="6">
        <v>2087</v>
      </c>
      <c r="C2130">
        <v>-8</v>
      </c>
    </row>
    <row r="2131" spans="1:3" x14ac:dyDescent="0.25">
      <c r="A2131" t="s">
        <v>2502</v>
      </c>
      <c r="B2131" s="6">
        <v>2281.0909999999999</v>
      </c>
      <c r="C2131">
        <v>-9</v>
      </c>
    </row>
    <row r="2132" spans="1:3" x14ac:dyDescent="0.25">
      <c r="A2132" t="s">
        <v>2503</v>
      </c>
      <c r="B2132" s="6">
        <v>2281.0909999999999</v>
      </c>
      <c r="C2132">
        <v>-10</v>
      </c>
    </row>
    <row r="2133" spans="1:3" x14ac:dyDescent="0.25">
      <c r="A2133" t="s">
        <v>2504</v>
      </c>
      <c r="B2133" s="6">
        <v>2281.0909999999999</v>
      </c>
      <c r="C2133">
        <v>-10</v>
      </c>
    </row>
    <row r="2134" spans="1:3" x14ac:dyDescent="0.25">
      <c r="A2134" t="s">
        <v>2505</v>
      </c>
      <c r="B2134" s="6">
        <v>2185.0889999999999</v>
      </c>
      <c r="C2134">
        <v>-9</v>
      </c>
    </row>
    <row r="2135" spans="1:3" x14ac:dyDescent="0.25">
      <c r="A2135" t="s">
        <v>2506</v>
      </c>
      <c r="B2135" s="6">
        <v>2548.2270000000003</v>
      </c>
      <c r="C2135">
        <v>-11</v>
      </c>
    </row>
    <row r="2136" spans="1:3" x14ac:dyDescent="0.25">
      <c r="A2136" t="s">
        <v>2507</v>
      </c>
      <c r="B2136" s="6">
        <v>2790.319</v>
      </c>
      <c r="C2136">
        <v>-11</v>
      </c>
    </row>
    <row r="2137" spans="1:3" x14ac:dyDescent="0.25">
      <c r="A2137" t="s">
        <v>2508</v>
      </c>
      <c r="B2137" s="6">
        <v>2185.0889999999999</v>
      </c>
      <c r="C2137">
        <v>-9</v>
      </c>
    </row>
    <row r="2138" spans="1:3" x14ac:dyDescent="0.25">
      <c r="A2138" t="s">
        <v>2509</v>
      </c>
      <c r="B2138" s="6">
        <v>2185.0889999999999</v>
      </c>
      <c r="C2138">
        <v>-9</v>
      </c>
    </row>
    <row r="2139" spans="1:3" x14ac:dyDescent="0.25">
      <c r="A2139" t="s">
        <v>2510</v>
      </c>
      <c r="B2139" s="6">
        <v>2281.0909999999999</v>
      </c>
      <c r="C2139">
        <v>-9</v>
      </c>
    </row>
    <row r="2140" spans="1:3" x14ac:dyDescent="0.25">
      <c r="A2140" t="s">
        <v>2511</v>
      </c>
      <c r="B2140" s="6">
        <v>2281.0909999999999</v>
      </c>
      <c r="C2140">
        <v>-9</v>
      </c>
    </row>
    <row r="2141" spans="1:3" x14ac:dyDescent="0.25">
      <c r="A2141" t="s">
        <v>2512</v>
      </c>
      <c r="B2141" s="6">
        <v>2548.2270000000003</v>
      </c>
      <c r="C2141">
        <v>-11</v>
      </c>
    </row>
    <row r="2142" spans="1:3" x14ac:dyDescent="0.25">
      <c r="A2142" t="s">
        <v>2513</v>
      </c>
      <c r="B2142" s="6">
        <v>2548.2270000000003</v>
      </c>
      <c r="C2142">
        <v>-11</v>
      </c>
    </row>
    <row r="2143" spans="1:3" x14ac:dyDescent="0.25">
      <c r="A2143" t="s">
        <v>2514</v>
      </c>
      <c r="B2143" s="6">
        <v>2281.0909999999999</v>
      </c>
      <c r="C2143">
        <v>-9</v>
      </c>
    </row>
    <row r="2144" spans="1:3" x14ac:dyDescent="0.25">
      <c r="A2144" t="s">
        <v>2515</v>
      </c>
      <c r="B2144" s="6">
        <v>2379.1800000000003</v>
      </c>
      <c r="C2144">
        <v>-10</v>
      </c>
    </row>
    <row r="2145" spans="1:3" x14ac:dyDescent="0.25">
      <c r="A2145" t="s">
        <v>2516</v>
      </c>
      <c r="B2145" s="6">
        <v>2185.0889999999999</v>
      </c>
      <c r="C2145">
        <v>-9</v>
      </c>
    </row>
    <row r="2146" spans="1:3" x14ac:dyDescent="0.25">
      <c r="A2146" t="s">
        <v>2517</v>
      </c>
      <c r="B2146" s="6">
        <v>2281.0909999999999</v>
      </c>
      <c r="C2146">
        <v>-10</v>
      </c>
    </row>
    <row r="2147" spans="1:3" x14ac:dyDescent="0.25">
      <c r="A2147" t="s">
        <v>2518</v>
      </c>
      <c r="B2147" s="6">
        <v>2281.0909999999999</v>
      </c>
      <c r="C2147">
        <v>-10</v>
      </c>
    </row>
    <row r="2148" spans="1:3" x14ac:dyDescent="0.25">
      <c r="A2148" t="s">
        <v>2519</v>
      </c>
      <c r="B2148" s="6">
        <v>2185.0889999999999</v>
      </c>
      <c r="C2148">
        <v>-9</v>
      </c>
    </row>
    <row r="2149" spans="1:3" x14ac:dyDescent="0.25">
      <c r="A2149" t="s">
        <v>2520</v>
      </c>
      <c r="B2149" s="6">
        <v>2087</v>
      </c>
      <c r="C2149">
        <v>-8</v>
      </c>
    </row>
    <row r="2150" spans="1:3" x14ac:dyDescent="0.25">
      <c r="A2150" t="s">
        <v>2521</v>
      </c>
      <c r="B2150" s="6">
        <v>2087</v>
      </c>
      <c r="C2150">
        <v>-8</v>
      </c>
    </row>
    <row r="2151" spans="1:3" x14ac:dyDescent="0.25">
      <c r="A2151" t="s">
        <v>2522</v>
      </c>
      <c r="B2151" s="6">
        <v>2087</v>
      </c>
      <c r="C2151">
        <v>-9</v>
      </c>
    </row>
    <row r="2152" spans="1:3" x14ac:dyDescent="0.25">
      <c r="A2152" t="s">
        <v>2523</v>
      </c>
      <c r="B2152" s="6">
        <v>2087</v>
      </c>
      <c r="C2152">
        <v>-8</v>
      </c>
    </row>
    <row r="2153" spans="1:3" x14ac:dyDescent="0.25">
      <c r="A2153" t="s">
        <v>2524</v>
      </c>
      <c r="B2153" s="6">
        <v>2281.0909999999999</v>
      </c>
      <c r="C2153">
        <v>-10</v>
      </c>
    </row>
    <row r="2154" spans="1:3" x14ac:dyDescent="0.25">
      <c r="A2154" t="s">
        <v>2525</v>
      </c>
      <c r="B2154" s="6">
        <v>1988.9109999999998</v>
      </c>
      <c r="C2154">
        <v>-8</v>
      </c>
    </row>
    <row r="2155" spans="1:3" x14ac:dyDescent="0.25">
      <c r="A2155" t="s">
        <v>2526</v>
      </c>
      <c r="B2155" s="6">
        <v>1988.9109999999998</v>
      </c>
      <c r="C2155">
        <v>-8</v>
      </c>
    </row>
    <row r="2156" spans="1:3" x14ac:dyDescent="0.25">
      <c r="A2156" t="s">
        <v>2527</v>
      </c>
      <c r="B2156" s="6">
        <v>1988.9109999999998</v>
      </c>
      <c r="C2156">
        <v>-8</v>
      </c>
    </row>
    <row r="2157" spans="1:3" x14ac:dyDescent="0.25">
      <c r="A2157" t="s">
        <v>2528</v>
      </c>
      <c r="B2157" s="6">
        <v>1988.9109999999998</v>
      </c>
      <c r="C2157">
        <v>-8</v>
      </c>
    </row>
    <row r="2158" spans="1:3" x14ac:dyDescent="0.25">
      <c r="A2158" t="s">
        <v>2529</v>
      </c>
      <c r="B2158" s="6">
        <v>2087</v>
      </c>
      <c r="C2158">
        <v>-8</v>
      </c>
    </row>
    <row r="2159" spans="1:3" x14ac:dyDescent="0.25">
      <c r="A2159" t="s">
        <v>2530</v>
      </c>
      <c r="B2159" s="6">
        <v>2087</v>
      </c>
      <c r="C2159">
        <v>-8</v>
      </c>
    </row>
    <row r="2160" spans="1:3" x14ac:dyDescent="0.25">
      <c r="A2160" t="s">
        <v>2531</v>
      </c>
      <c r="B2160" s="6">
        <v>2087</v>
      </c>
      <c r="C2160">
        <v>-9</v>
      </c>
    </row>
    <row r="2161" spans="1:3" x14ac:dyDescent="0.25">
      <c r="A2161" t="s">
        <v>2532</v>
      </c>
      <c r="B2161" s="6">
        <v>2087</v>
      </c>
      <c r="C2161">
        <v>-9</v>
      </c>
    </row>
    <row r="2162" spans="1:3" x14ac:dyDescent="0.25">
      <c r="A2162" t="s">
        <v>2533</v>
      </c>
      <c r="B2162" s="6">
        <v>2087</v>
      </c>
      <c r="C2162">
        <v>-9</v>
      </c>
    </row>
    <row r="2163" spans="1:3" x14ac:dyDescent="0.25">
      <c r="A2163" t="s">
        <v>2534</v>
      </c>
      <c r="B2163" s="6">
        <v>2961.453</v>
      </c>
      <c r="C2163">
        <v>-11</v>
      </c>
    </row>
    <row r="2164" spans="1:3" x14ac:dyDescent="0.25">
      <c r="A2164" t="s">
        <v>2535</v>
      </c>
      <c r="B2164" s="6">
        <v>1988.9109999999998</v>
      </c>
      <c r="C2164">
        <v>-8</v>
      </c>
    </row>
    <row r="2165" spans="1:3" x14ac:dyDescent="0.25">
      <c r="A2165" t="s">
        <v>2536</v>
      </c>
      <c r="B2165" s="6">
        <v>1892.9090000000001</v>
      </c>
      <c r="C2165">
        <v>-7</v>
      </c>
    </row>
    <row r="2166" spans="1:3" x14ac:dyDescent="0.25">
      <c r="A2166" t="s">
        <v>2537</v>
      </c>
      <c r="B2166" s="6">
        <v>2087</v>
      </c>
      <c r="C2166">
        <v>-8</v>
      </c>
    </row>
    <row r="2167" spans="1:3" x14ac:dyDescent="0.25">
      <c r="A2167" t="s">
        <v>2538</v>
      </c>
      <c r="B2167" s="6">
        <v>2087</v>
      </c>
      <c r="C2167">
        <v>-9</v>
      </c>
    </row>
    <row r="2168" spans="1:3" x14ac:dyDescent="0.25">
      <c r="A2168" t="s">
        <v>2539</v>
      </c>
      <c r="B2168" s="6">
        <v>2087</v>
      </c>
      <c r="C2168">
        <v>-8</v>
      </c>
    </row>
    <row r="2169" spans="1:3" x14ac:dyDescent="0.25">
      <c r="A2169" t="s">
        <v>2540</v>
      </c>
      <c r="B2169" s="6">
        <v>1988.9109999999998</v>
      </c>
      <c r="C2169">
        <v>-8</v>
      </c>
    </row>
    <row r="2170" spans="1:3" x14ac:dyDescent="0.25">
      <c r="A2170" t="s">
        <v>2541</v>
      </c>
      <c r="B2170" s="6">
        <v>2087</v>
      </c>
      <c r="C2170">
        <v>-9</v>
      </c>
    </row>
    <row r="2171" spans="1:3" x14ac:dyDescent="0.25">
      <c r="A2171" t="s">
        <v>2542</v>
      </c>
      <c r="B2171" s="6">
        <v>2281.0909999999999</v>
      </c>
      <c r="C2171">
        <v>-9</v>
      </c>
    </row>
    <row r="2172" spans="1:3" x14ac:dyDescent="0.25">
      <c r="A2172" t="s">
        <v>2543</v>
      </c>
      <c r="B2172" s="6">
        <v>2281.0909999999999</v>
      </c>
      <c r="C2172">
        <v>-10</v>
      </c>
    </row>
    <row r="2173" spans="1:3" x14ac:dyDescent="0.25">
      <c r="A2173" t="s">
        <v>2544</v>
      </c>
      <c r="B2173" s="6">
        <v>2281.0909999999999</v>
      </c>
      <c r="C2173">
        <v>-9</v>
      </c>
    </row>
    <row r="2174" spans="1:3" x14ac:dyDescent="0.25">
      <c r="A2174" t="s">
        <v>2545</v>
      </c>
      <c r="B2174" s="6">
        <v>2379.1800000000003</v>
      </c>
      <c r="C2174">
        <v>-10</v>
      </c>
    </row>
    <row r="2175" spans="1:3" x14ac:dyDescent="0.25">
      <c r="A2175" t="s">
        <v>2546</v>
      </c>
      <c r="B2175" s="6">
        <v>2379.1800000000003</v>
      </c>
      <c r="C2175">
        <v>-10</v>
      </c>
    </row>
    <row r="2176" spans="1:3" x14ac:dyDescent="0.25">
      <c r="A2176" t="s">
        <v>2547</v>
      </c>
      <c r="B2176" s="6">
        <v>1988.9109999999998</v>
      </c>
      <c r="C2176">
        <v>-8</v>
      </c>
    </row>
    <row r="2177" spans="1:3" x14ac:dyDescent="0.25">
      <c r="A2177" t="s">
        <v>2548</v>
      </c>
      <c r="B2177" s="6">
        <v>2185.0889999999999</v>
      </c>
      <c r="C2177">
        <v>-9</v>
      </c>
    </row>
    <row r="2178" spans="1:3" x14ac:dyDescent="0.25">
      <c r="A2178" t="s">
        <v>2549</v>
      </c>
      <c r="B2178" s="6">
        <v>2790.319</v>
      </c>
      <c r="C2178">
        <v>-10</v>
      </c>
    </row>
    <row r="2179" spans="1:3" x14ac:dyDescent="0.25">
      <c r="A2179" t="s">
        <v>2550</v>
      </c>
      <c r="B2179" s="6">
        <v>2281.0909999999999</v>
      </c>
      <c r="C2179">
        <v>-10</v>
      </c>
    </row>
    <row r="2180" spans="1:3" x14ac:dyDescent="0.25">
      <c r="A2180" t="s">
        <v>2551</v>
      </c>
      <c r="B2180" s="6">
        <v>2281.0909999999999</v>
      </c>
      <c r="C2180">
        <v>-10</v>
      </c>
    </row>
    <row r="2181" spans="1:3" x14ac:dyDescent="0.25">
      <c r="A2181" t="s">
        <v>2552</v>
      </c>
      <c r="B2181" s="6">
        <v>2379.1800000000003</v>
      </c>
      <c r="C2181">
        <v>-10</v>
      </c>
    </row>
    <row r="2182" spans="1:3" x14ac:dyDescent="0.25">
      <c r="A2182" t="s">
        <v>2553</v>
      </c>
      <c r="B2182" s="6">
        <v>2185.0889999999999</v>
      </c>
      <c r="C2182">
        <v>-9</v>
      </c>
    </row>
    <row r="2183" spans="1:3" x14ac:dyDescent="0.25">
      <c r="A2183" t="s">
        <v>2554</v>
      </c>
      <c r="B2183" s="6">
        <v>2281.0909999999999</v>
      </c>
      <c r="C2183">
        <v>-9</v>
      </c>
    </row>
    <row r="2184" spans="1:3" x14ac:dyDescent="0.25">
      <c r="A2184" t="s">
        <v>2555</v>
      </c>
      <c r="B2184" s="6">
        <v>2379.1800000000003</v>
      </c>
      <c r="C2184">
        <v>-10</v>
      </c>
    </row>
    <row r="2185" spans="1:3" x14ac:dyDescent="0.25">
      <c r="A2185" t="s">
        <v>2556</v>
      </c>
      <c r="B2185" s="6">
        <v>1988.9109999999998</v>
      </c>
      <c r="C2185">
        <v>-8</v>
      </c>
    </row>
    <row r="2186" spans="1:3" x14ac:dyDescent="0.25">
      <c r="A2186" t="s">
        <v>2557</v>
      </c>
      <c r="B2186" s="6">
        <v>2281.0909999999999</v>
      </c>
      <c r="C2186">
        <v>-10</v>
      </c>
    </row>
    <row r="2187" spans="1:3" x14ac:dyDescent="0.25">
      <c r="A2187" t="s">
        <v>2558</v>
      </c>
      <c r="B2187" s="6">
        <v>2790.319</v>
      </c>
      <c r="C2187">
        <v>-11</v>
      </c>
    </row>
    <row r="2188" spans="1:3" x14ac:dyDescent="0.25">
      <c r="A2188" t="s">
        <v>2559</v>
      </c>
      <c r="B2188" s="6">
        <v>1988.9109999999998</v>
      </c>
      <c r="C2188">
        <v>-8</v>
      </c>
    </row>
    <row r="2189" spans="1:3" x14ac:dyDescent="0.25">
      <c r="A2189" t="s">
        <v>2560</v>
      </c>
      <c r="B2189" s="6">
        <v>2281.0909999999999</v>
      </c>
      <c r="C2189">
        <v>-9</v>
      </c>
    </row>
    <row r="2190" spans="1:3" x14ac:dyDescent="0.25">
      <c r="A2190" t="s">
        <v>2561</v>
      </c>
      <c r="B2190" s="6">
        <v>2087</v>
      </c>
      <c r="C2190">
        <v>-8</v>
      </c>
    </row>
    <row r="2191" spans="1:3" x14ac:dyDescent="0.25">
      <c r="A2191" t="s">
        <v>2562</v>
      </c>
      <c r="B2191" s="6">
        <v>1988.9109999999998</v>
      </c>
      <c r="C2191">
        <v>-8</v>
      </c>
    </row>
    <row r="2192" spans="1:3" x14ac:dyDescent="0.25">
      <c r="A2192" t="s">
        <v>2563</v>
      </c>
      <c r="B2192" s="6">
        <v>2379.1800000000003</v>
      </c>
      <c r="C2192">
        <v>-10</v>
      </c>
    </row>
    <row r="2193" spans="1:3" x14ac:dyDescent="0.25">
      <c r="A2193" t="s">
        <v>2564</v>
      </c>
      <c r="B2193" s="6">
        <v>1988.9109999999998</v>
      </c>
      <c r="C2193">
        <v>-8</v>
      </c>
    </row>
    <row r="2194" spans="1:3" x14ac:dyDescent="0.25">
      <c r="A2194" t="s">
        <v>2565</v>
      </c>
      <c r="B2194" s="6">
        <v>1988.9109999999998</v>
      </c>
      <c r="C2194">
        <v>-8</v>
      </c>
    </row>
    <row r="2195" spans="1:3" x14ac:dyDescent="0.25">
      <c r="A2195" t="s">
        <v>2566</v>
      </c>
      <c r="B2195" s="6">
        <v>1988.9109999999998</v>
      </c>
      <c r="C2195">
        <v>-8</v>
      </c>
    </row>
    <row r="2196" spans="1:3" x14ac:dyDescent="0.25">
      <c r="A2196" t="s">
        <v>2567</v>
      </c>
      <c r="B2196" s="6">
        <v>1988.9109999999998</v>
      </c>
      <c r="C2196">
        <v>-8</v>
      </c>
    </row>
    <row r="2197" spans="1:3" x14ac:dyDescent="0.25">
      <c r="A2197" t="s">
        <v>2568</v>
      </c>
      <c r="B2197" s="6">
        <v>1988.9109999999998</v>
      </c>
      <c r="C2197">
        <v>-8</v>
      </c>
    </row>
    <row r="2198" spans="1:3" x14ac:dyDescent="0.25">
      <c r="A2198" t="s">
        <v>2569</v>
      </c>
      <c r="B2198" s="6">
        <v>1988.9109999999998</v>
      </c>
      <c r="C2198">
        <v>-8</v>
      </c>
    </row>
    <row r="2199" spans="1:3" x14ac:dyDescent="0.25">
      <c r="A2199" t="s">
        <v>2570</v>
      </c>
      <c r="B2199" s="6">
        <v>2087</v>
      </c>
      <c r="C2199">
        <v>-9</v>
      </c>
    </row>
    <row r="2200" spans="1:3" x14ac:dyDescent="0.25">
      <c r="A2200" t="s">
        <v>2571</v>
      </c>
      <c r="B2200" s="6">
        <v>1988.9109999999998</v>
      </c>
      <c r="C2200">
        <v>-8</v>
      </c>
    </row>
    <row r="2201" spans="1:3" x14ac:dyDescent="0.25">
      <c r="A2201" t="s">
        <v>2572</v>
      </c>
      <c r="B2201" s="6">
        <v>2087</v>
      </c>
      <c r="C2201">
        <v>-8</v>
      </c>
    </row>
    <row r="2202" spans="1:3" x14ac:dyDescent="0.25">
      <c r="A2202" t="s">
        <v>2573</v>
      </c>
      <c r="B2202" s="6">
        <v>1892.9090000000001</v>
      </c>
      <c r="C2202">
        <v>-8</v>
      </c>
    </row>
    <row r="2203" spans="1:3" x14ac:dyDescent="0.25">
      <c r="A2203" t="s">
        <v>2574</v>
      </c>
      <c r="B2203" s="6">
        <v>1988.9109999999998</v>
      </c>
      <c r="C2203">
        <v>-8</v>
      </c>
    </row>
    <row r="2204" spans="1:3" x14ac:dyDescent="0.25">
      <c r="A2204" t="s">
        <v>2575</v>
      </c>
      <c r="B2204" s="6">
        <v>2087</v>
      </c>
      <c r="C2204">
        <v>-8</v>
      </c>
    </row>
    <row r="2205" spans="1:3" x14ac:dyDescent="0.25">
      <c r="A2205" t="s">
        <v>2576</v>
      </c>
      <c r="B2205" s="6">
        <v>2087</v>
      </c>
      <c r="C2205">
        <v>-9</v>
      </c>
    </row>
    <row r="2206" spans="1:3" x14ac:dyDescent="0.25">
      <c r="A2206" t="s">
        <v>2577</v>
      </c>
      <c r="B2206" s="6">
        <v>2087</v>
      </c>
      <c r="C2206">
        <v>-8</v>
      </c>
    </row>
    <row r="2207" spans="1:3" x14ac:dyDescent="0.25">
      <c r="A2207" t="s">
        <v>2578</v>
      </c>
      <c r="B2207" s="6">
        <v>1988.9109999999998</v>
      </c>
      <c r="C2207">
        <v>-8</v>
      </c>
    </row>
    <row r="2208" spans="1:3" x14ac:dyDescent="0.25">
      <c r="A2208" t="s">
        <v>2579</v>
      </c>
      <c r="B2208" s="6">
        <v>2087</v>
      </c>
      <c r="C2208">
        <v>-8</v>
      </c>
    </row>
    <row r="2209" spans="1:3" x14ac:dyDescent="0.25">
      <c r="A2209" t="s">
        <v>2580</v>
      </c>
      <c r="B2209" s="6">
        <v>1988.9109999999998</v>
      </c>
      <c r="C2209">
        <v>-8</v>
      </c>
    </row>
    <row r="2210" spans="1:3" x14ac:dyDescent="0.25">
      <c r="A2210" t="s">
        <v>2581</v>
      </c>
      <c r="B2210" s="6">
        <v>1988.9109999999998</v>
      </c>
      <c r="C2210">
        <v>-8</v>
      </c>
    </row>
    <row r="2211" spans="1:3" x14ac:dyDescent="0.25">
      <c r="A2211" t="s">
        <v>2582</v>
      </c>
      <c r="B2211" s="6">
        <v>2087</v>
      </c>
      <c r="C2211">
        <v>-8</v>
      </c>
    </row>
    <row r="2212" spans="1:3" x14ac:dyDescent="0.25">
      <c r="A2212" t="s">
        <v>2583</v>
      </c>
      <c r="B2212" s="6">
        <v>2087</v>
      </c>
      <c r="C2212">
        <v>-8</v>
      </c>
    </row>
    <row r="2213" spans="1:3" x14ac:dyDescent="0.25">
      <c r="A2213" t="s">
        <v>2584</v>
      </c>
      <c r="B2213" s="6">
        <v>2087</v>
      </c>
      <c r="C2213">
        <v>-8</v>
      </c>
    </row>
    <row r="2214" spans="1:3" x14ac:dyDescent="0.25">
      <c r="A2214" t="s">
        <v>2585</v>
      </c>
      <c r="B2214" s="6">
        <v>2087</v>
      </c>
      <c r="C2214">
        <v>-8</v>
      </c>
    </row>
    <row r="2215" spans="1:3" x14ac:dyDescent="0.25">
      <c r="A2215" t="s">
        <v>2586</v>
      </c>
      <c r="B2215" s="6">
        <v>1988.9109999999998</v>
      </c>
      <c r="C2215">
        <v>-8</v>
      </c>
    </row>
    <row r="2216" spans="1:3" x14ac:dyDescent="0.25">
      <c r="A2216" t="s">
        <v>2587</v>
      </c>
      <c r="B2216" s="6">
        <v>2087</v>
      </c>
      <c r="C2216">
        <v>-8</v>
      </c>
    </row>
    <row r="2217" spans="1:3" x14ac:dyDescent="0.25">
      <c r="A2217" t="s">
        <v>2588</v>
      </c>
      <c r="B2217" s="6">
        <v>2087</v>
      </c>
      <c r="C2217">
        <v>-8</v>
      </c>
    </row>
    <row r="2218" spans="1:3" x14ac:dyDescent="0.25">
      <c r="A2218" t="s">
        <v>2589</v>
      </c>
      <c r="B2218" s="6">
        <v>2087</v>
      </c>
      <c r="C2218">
        <v>-8</v>
      </c>
    </row>
    <row r="2219" spans="1:3" x14ac:dyDescent="0.25">
      <c r="A2219" t="s">
        <v>2564</v>
      </c>
      <c r="B2219" s="6">
        <v>1892.9090000000001</v>
      </c>
      <c r="C2219">
        <v>-7</v>
      </c>
    </row>
    <row r="2220" spans="1:3" x14ac:dyDescent="0.25">
      <c r="A2220" t="s">
        <v>2590</v>
      </c>
      <c r="B2220" s="6">
        <v>2087</v>
      </c>
      <c r="C2220">
        <v>-8</v>
      </c>
    </row>
    <row r="2221" spans="1:3" x14ac:dyDescent="0.25">
      <c r="A2221" t="s">
        <v>2591</v>
      </c>
      <c r="B2221" s="6">
        <v>1988.9109999999998</v>
      </c>
      <c r="C2221">
        <v>-8</v>
      </c>
    </row>
    <row r="2222" spans="1:3" x14ac:dyDescent="0.25">
      <c r="A2222" t="s">
        <v>2587</v>
      </c>
      <c r="B2222" s="6">
        <v>1892.9090000000001</v>
      </c>
      <c r="C2222">
        <v>-7</v>
      </c>
    </row>
    <row r="2223" spans="1:3" x14ac:dyDescent="0.25">
      <c r="A2223" t="s">
        <v>2592</v>
      </c>
      <c r="B2223" s="6">
        <v>2185.0889999999999</v>
      </c>
      <c r="C2223">
        <v>-9</v>
      </c>
    </row>
    <row r="2224" spans="1:3" x14ac:dyDescent="0.25">
      <c r="A2224" t="s">
        <v>2593</v>
      </c>
      <c r="B2224" s="6">
        <v>2087</v>
      </c>
      <c r="C2224">
        <v>-8</v>
      </c>
    </row>
    <row r="2225" spans="1:3" x14ac:dyDescent="0.25">
      <c r="A2225" t="s">
        <v>2594</v>
      </c>
      <c r="B2225" s="6">
        <v>2087</v>
      </c>
      <c r="C2225">
        <v>-8</v>
      </c>
    </row>
    <row r="2226" spans="1:3" x14ac:dyDescent="0.25">
      <c r="A2226" t="s">
        <v>2595</v>
      </c>
      <c r="B2226" s="6">
        <v>2087</v>
      </c>
      <c r="C2226">
        <v>-8</v>
      </c>
    </row>
    <row r="2227" spans="1:3" x14ac:dyDescent="0.25">
      <c r="A2227" t="s">
        <v>2596</v>
      </c>
      <c r="B2227" s="6">
        <v>2087</v>
      </c>
      <c r="C2227">
        <v>-8</v>
      </c>
    </row>
    <row r="2228" spans="1:3" x14ac:dyDescent="0.25">
      <c r="A2228" t="s">
        <v>2597</v>
      </c>
      <c r="B2228" s="6">
        <v>2087</v>
      </c>
      <c r="C2228">
        <v>-8</v>
      </c>
    </row>
    <row r="2229" spans="1:3" x14ac:dyDescent="0.25">
      <c r="A2229" t="s">
        <v>2598</v>
      </c>
      <c r="B2229" s="6">
        <v>2087</v>
      </c>
      <c r="C2229">
        <v>-8</v>
      </c>
    </row>
    <row r="2230" spans="1:3" x14ac:dyDescent="0.25">
      <c r="A2230" t="s">
        <v>2599</v>
      </c>
      <c r="B2230" s="6">
        <v>2087</v>
      </c>
      <c r="C2230">
        <v>-8</v>
      </c>
    </row>
    <row r="2231" spans="1:3" x14ac:dyDescent="0.25">
      <c r="A2231" t="s">
        <v>2600</v>
      </c>
      <c r="B2231" s="6">
        <v>2087</v>
      </c>
      <c r="C2231">
        <v>-8</v>
      </c>
    </row>
    <row r="2232" spans="1:3" x14ac:dyDescent="0.25">
      <c r="A2232" t="s">
        <v>2601</v>
      </c>
      <c r="B2232" s="6">
        <v>1988.9109999999998</v>
      </c>
      <c r="C2232">
        <v>-8</v>
      </c>
    </row>
    <row r="2233" spans="1:3" x14ac:dyDescent="0.25">
      <c r="A2233" t="s">
        <v>2602</v>
      </c>
      <c r="B2233" s="6">
        <v>2087</v>
      </c>
      <c r="C2233">
        <v>-8</v>
      </c>
    </row>
    <row r="2234" spans="1:3" x14ac:dyDescent="0.25">
      <c r="A2234" t="s">
        <v>2603</v>
      </c>
      <c r="B2234" s="6">
        <v>1988.9109999999998</v>
      </c>
      <c r="C2234">
        <v>-8</v>
      </c>
    </row>
    <row r="2235" spans="1:3" x14ac:dyDescent="0.25">
      <c r="A2235" t="s">
        <v>2604</v>
      </c>
      <c r="B2235" s="6">
        <v>2087</v>
      </c>
      <c r="C2235">
        <v>-8</v>
      </c>
    </row>
    <row r="2236" spans="1:3" x14ac:dyDescent="0.25">
      <c r="A2236" t="s">
        <v>2605</v>
      </c>
      <c r="B2236" s="6">
        <v>2087</v>
      </c>
      <c r="C2236">
        <v>-8</v>
      </c>
    </row>
    <row r="2237" spans="1:3" x14ac:dyDescent="0.25">
      <c r="A2237" t="s">
        <v>2606</v>
      </c>
      <c r="B2237" s="6">
        <v>2087</v>
      </c>
      <c r="C2237">
        <v>-8</v>
      </c>
    </row>
    <row r="2238" spans="1:3" x14ac:dyDescent="0.25">
      <c r="A2238" t="s">
        <v>2607</v>
      </c>
      <c r="B2238" s="6">
        <v>1892.9090000000001</v>
      </c>
      <c r="C2238">
        <v>-8</v>
      </c>
    </row>
    <row r="2239" spans="1:3" x14ac:dyDescent="0.25">
      <c r="A2239" t="s">
        <v>2608</v>
      </c>
      <c r="B2239" s="6">
        <v>1988.9109999999998</v>
      </c>
      <c r="C2239">
        <v>-8</v>
      </c>
    </row>
    <row r="2240" spans="1:3" x14ac:dyDescent="0.25">
      <c r="A2240" t="s">
        <v>2609</v>
      </c>
      <c r="B2240" s="6">
        <v>1988.9109999999998</v>
      </c>
      <c r="C2240">
        <v>-8</v>
      </c>
    </row>
    <row r="2241" spans="1:3" x14ac:dyDescent="0.25">
      <c r="A2241" t="s">
        <v>2610</v>
      </c>
      <c r="B2241" s="6">
        <v>1892.9090000000001</v>
      </c>
      <c r="C2241">
        <v>-8</v>
      </c>
    </row>
    <row r="2242" spans="1:3" x14ac:dyDescent="0.25">
      <c r="A2242" t="s">
        <v>2611</v>
      </c>
      <c r="B2242" s="6">
        <v>1892.9090000000001</v>
      </c>
      <c r="C2242">
        <v>-8</v>
      </c>
    </row>
    <row r="2243" spans="1:3" x14ac:dyDescent="0.25">
      <c r="A2243" t="s">
        <v>2612</v>
      </c>
      <c r="B2243" s="6">
        <v>2281.0909999999999</v>
      </c>
      <c r="C2243">
        <v>-9</v>
      </c>
    </row>
    <row r="2244" spans="1:3" x14ac:dyDescent="0.25">
      <c r="A2244" t="s">
        <v>2613</v>
      </c>
      <c r="B2244" s="6">
        <v>2087</v>
      </c>
      <c r="C2244">
        <v>-8</v>
      </c>
    </row>
    <row r="2245" spans="1:3" x14ac:dyDescent="0.25">
      <c r="A2245" t="s">
        <v>2614</v>
      </c>
      <c r="B2245" s="6">
        <v>2087</v>
      </c>
      <c r="C2245">
        <v>-8</v>
      </c>
    </row>
    <row r="2246" spans="1:3" x14ac:dyDescent="0.25">
      <c r="A2246" t="s">
        <v>2615</v>
      </c>
      <c r="B2246" s="6">
        <v>2087</v>
      </c>
      <c r="C2246">
        <v>-8</v>
      </c>
    </row>
    <row r="2247" spans="1:3" x14ac:dyDescent="0.25">
      <c r="A2247" t="s">
        <v>2616</v>
      </c>
      <c r="B2247" s="6">
        <v>2087</v>
      </c>
      <c r="C2247">
        <v>-8</v>
      </c>
    </row>
    <row r="2248" spans="1:3" x14ac:dyDescent="0.25">
      <c r="A2248" t="s">
        <v>2617</v>
      </c>
      <c r="B2248" s="6">
        <v>1988.9109999999998</v>
      </c>
      <c r="C2248">
        <v>-8</v>
      </c>
    </row>
    <row r="2249" spans="1:3" x14ac:dyDescent="0.25">
      <c r="A2249" t="s">
        <v>2618</v>
      </c>
      <c r="B2249" s="6">
        <v>2087</v>
      </c>
      <c r="C2249">
        <v>-8</v>
      </c>
    </row>
    <row r="2250" spans="1:3" x14ac:dyDescent="0.25">
      <c r="A2250" t="s">
        <v>2619</v>
      </c>
      <c r="B2250" s="6">
        <v>2087</v>
      </c>
      <c r="C2250">
        <v>-8</v>
      </c>
    </row>
    <row r="2251" spans="1:3" x14ac:dyDescent="0.25">
      <c r="A2251" t="s">
        <v>2620</v>
      </c>
      <c r="B2251" s="6">
        <v>2087</v>
      </c>
      <c r="C2251">
        <v>-8</v>
      </c>
    </row>
    <row r="2252" spans="1:3" x14ac:dyDescent="0.25">
      <c r="A2252" t="s">
        <v>2621</v>
      </c>
      <c r="B2252" s="6">
        <v>2087</v>
      </c>
      <c r="C2252">
        <v>-8</v>
      </c>
    </row>
    <row r="2253" spans="1:3" x14ac:dyDescent="0.25">
      <c r="A2253" t="s">
        <v>2622</v>
      </c>
      <c r="B2253" s="6">
        <v>2087</v>
      </c>
      <c r="C2253">
        <v>-8</v>
      </c>
    </row>
    <row r="2254" spans="1:3" x14ac:dyDescent="0.25">
      <c r="A2254" t="s">
        <v>2623</v>
      </c>
      <c r="B2254" s="6">
        <v>2087</v>
      </c>
      <c r="C2254">
        <v>-8</v>
      </c>
    </row>
    <row r="2255" spans="1:3" x14ac:dyDescent="0.25">
      <c r="A2255" t="s">
        <v>2624</v>
      </c>
      <c r="B2255" s="6">
        <v>2087</v>
      </c>
      <c r="C2255">
        <v>-8</v>
      </c>
    </row>
    <row r="2256" spans="1:3" x14ac:dyDescent="0.25">
      <c r="A2256" t="s">
        <v>2625</v>
      </c>
      <c r="B2256" s="6">
        <v>1988.9109999999998</v>
      </c>
      <c r="C2256">
        <v>-8</v>
      </c>
    </row>
    <row r="2257" spans="1:3" x14ac:dyDescent="0.25">
      <c r="A2257" t="s">
        <v>2626</v>
      </c>
      <c r="B2257" s="6">
        <v>2281.0909999999999</v>
      </c>
      <c r="C2257">
        <v>-9</v>
      </c>
    </row>
    <row r="2258" spans="1:3" x14ac:dyDescent="0.25">
      <c r="A2258" t="s">
        <v>2627</v>
      </c>
      <c r="B2258" s="6">
        <v>2087</v>
      </c>
      <c r="C2258">
        <v>-8</v>
      </c>
    </row>
    <row r="2259" spans="1:3" x14ac:dyDescent="0.25">
      <c r="A2259" t="s">
        <v>2628</v>
      </c>
      <c r="B2259" s="6">
        <v>1892.9090000000001</v>
      </c>
      <c r="C2259">
        <v>-8</v>
      </c>
    </row>
    <row r="2260" spans="1:3" x14ac:dyDescent="0.25">
      <c r="A2260" t="s">
        <v>2629</v>
      </c>
      <c r="B2260" s="6">
        <v>2087</v>
      </c>
      <c r="C2260">
        <v>-8</v>
      </c>
    </row>
    <row r="2261" spans="1:3" x14ac:dyDescent="0.25">
      <c r="A2261" t="s">
        <v>2630</v>
      </c>
      <c r="B2261" s="6">
        <v>1988.9109999999998</v>
      </c>
      <c r="C2261">
        <v>-8</v>
      </c>
    </row>
    <row r="2262" spans="1:3" x14ac:dyDescent="0.25">
      <c r="A2262" t="s">
        <v>2631</v>
      </c>
      <c r="B2262" s="6">
        <v>2281.0909999999999</v>
      </c>
      <c r="C2262">
        <v>-10</v>
      </c>
    </row>
    <row r="2263" spans="1:3" x14ac:dyDescent="0.25">
      <c r="A2263" t="s">
        <v>2632</v>
      </c>
      <c r="B2263" s="6">
        <v>2087</v>
      </c>
      <c r="C2263">
        <v>-8</v>
      </c>
    </row>
    <row r="2264" spans="1:3" x14ac:dyDescent="0.25">
      <c r="A2264" t="s">
        <v>2633</v>
      </c>
      <c r="B2264" s="6">
        <v>2281.0909999999999</v>
      </c>
      <c r="C2264">
        <v>-9</v>
      </c>
    </row>
    <row r="2265" spans="1:3" x14ac:dyDescent="0.25">
      <c r="A2265" t="s">
        <v>2634</v>
      </c>
      <c r="B2265" s="6">
        <v>2281.0909999999999</v>
      </c>
      <c r="C2265">
        <v>-9</v>
      </c>
    </row>
    <row r="2266" spans="1:3" x14ac:dyDescent="0.25">
      <c r="A2266" t="s">
        <v>2635</v>
      </c>
      <c r="B2266" s="6">
        <v>1988.9109999999998</v>
      </c>
      <c r="C2266">
        <v>-8</v>
      </c>
    </row>
    <row r="2267" spans="1:3" x14ac:dyDescent="0.25">
      <c r="A2267" t="s">
        <v>2636</v>
      </c>
      <c r="B2267" s="6">
        <v>1892.9090000000001</v>
      </c>
      <c r="C2267">
        <v>-7</v>
      </c>
    </row>
    <row r="2268" spans="1:3" x14ac:dyDescent="0.25">
      <c r="A2268" t="s">
        <v>2637</v>
      </c>
      <c r="B2268" s="6">
        <v>2185.0889999999999</v>
      </c>
      <c r="C2268">
        <v>-8</v>
      </c>
    </row>
    <row r="2269" spans="1:3" x14ac:dyDescent="0.25">
      <c r="A2269" t="s">
        <v>2638</v>
      </c>
      <c r="B2269" s="6">
        <v>2185.0889999999999</v>
      </c>
      <c r="C2269">
        <v>-8</v>
      </c>
    </row>
    <row r="2270" spans="1:3" x14ac:dyDescent="0.25">
      <c r="A2270" t="s">
        <v>2639</v>
      </c>
      <c r="B2270" s="6">
        <v>2087</v>
      </c>
      <c r="C2270">
        <v>-8</v>
      </c>
    </row>
    <row r="2271" spans="1:3" x14ac:dyDescent="0.25">
      <c r="A2271" t="s">
        <v>2640</v>
      </c>
      <c r="B2271" s="6">
        <v>1988.9109999999998</v>
      </c>
      <c r="C2271">
        <v>-8</v>
      </c>
    </row>
    <row r="2272" spans="1:3" x14ac:dyDescent="0.25">
      <c r="A2272" t="s">
        <v>2641</v>
      </c>
      <c r="B2272" s="6">
        <v>2548.2270000000003</v>
      </c>
      <c r="C2272">
        <v>-10</v>
      </c>
    </row>
    <row r="2273" spans="1:3" x14ac:dyDescent="0.25">
      <c r="A2273" t="s">
        <v>2642</v>
      </c>
      <c r="B2273" s="6">
        <v>1892.9090000000001</v>
      </c>
      <c r="C2273">
        <v>-7</v>
      </c>
    </row>
    <row r="2274" spans="1:3" x14ac:dyDescent="0.25">
      <c r="A2274" t="s">
        <v>2643</v>
      </c>
      <c r="B2274" s="6">
        <v>1988.9109999999998</v>
      </c>
      <c r="C2274">
        <v>-8</v>
      </c>
    </row>
    <row r="2275" spans="1:3" x14ac:dyDescent="0.25">
      <c r="A2275" t="s">
        <v>2644</v>
      </c>
      <c r="B2275" s="6">
        <v>2281.0909999999999</v>
      </c>
      <c r="C2275">
        <v>-10</v>
      </c>
    </row>
    <row r="2276" spans="1:3" x14ac:dyDescent="0.25">
      <c r="A2276" t="s">
        <v>2645</v>
      </c>
      <c r="B2276" s="6">
        <v>2548.2270000000003</v>
      </c>
      <c r="C2276">
        <v>-10</v>
      </c>
    </row>
    <row r="2277" spans="1:3" x14ac:dyDescent="0.25">
      <c r="A2277" t="s">
        <v>2646</v>
      </c>
      <c r="B2277" s="6">
        <v>2087</v>
      </c>
      <c r="C2277">
        <v>-8</v>
      </c>
    </row>
    <row r="2278" spans="1:3" x14ac:dyDescent="0.25">
      <c r="A2278" t="s">
        <v>2647</v>
      </c>
      <c r="B2278" s="6">
        <v>2379.1800000000003</v>
      </c>
      <c r="C2278">
        <v>-10</v>
      </c>
    </row>
    <row r="2279" spans="1:3" x14ac:dyDescent="0.25">
      <c r="A2279" t="s">
        <v>2648</v>
      </c>
      <c r="B2279" s="6">
        <v>2281.0909999999999</v>
      </c>
      <c r="C2279">
        <v>-9</v>
      </c>
    </row>
    <row r="2280" spans="1:3" x14ac:dyDescent="0.25">
      <c r="A2280" t="s">
        <v>2649</v>
      </c>
      <c r="B2280" s="6">
        <v>2185.0889999999999</v>
      </c>
      <c r="C2280">
        <v>-9</v>
      </c>
    </row>
    <row r="2281" spans="1:3" x14ac:dyDescent="0.25">
      <c r="A2281" t="s">
        <v>2650</v>
      </c>
      <c r="B2281" s="6">
        <v>2185.0889999999999</v>
      </c>
      <c r="C2281">
        <v>-9</v>
      </c>
    </row>
    <row r="2282" spans="1:3" x14ac:dyDescent="0.25">
      <c r="A2282" t="s">
        <v>2651</v>
      </c>
      <c r="B2282" s="6">
        <v>2379.1800000000003</v>
      </c>
      <c r="C2282">
        <v>-10</v>
      </c>
    </row>
    <row r="2283" spans="1:3" x14ac:dyDescent="0.25">
      <c r="A2283" t="s">
        <v>2652</v>
      </c>
      <c r="B2283" s="6">
        <v>2379.1800000000003</v>
      </c>
      <c r="C2283">
        <v>-10</v>
      </c>
    </row>
    <row r="2284" spans="1:3" x14ac:dyDescent="0.25">
      <c r="A2284" t="s">
        <v>2653</v>
      </c>
      <c r="B2284" s="6">
        <v>2281.0909999999999</v>
      </c>
      <c r="C2284">
        <v>-10</v>
      </c>
    </row>
    <row r="2285" spans="1:3" x14ac:dyDescent="0.25">
      <c r="A2285" t="s">
        <v>2654</v>
      </c>
      <c r="B2285" s="6">
        <v>2281.0909999999999</v>
      </c>
      <c r="C2285">
        <v>-9</v>
      </c>
    </row>
    <row r="2286" spans="1:3" x14ac:dyDescent="0.25">
      <c r="A2286" t="s">
        <v>2655</v>
      </c>
      <c r="B2286" s="6">
        <v>2281.0909999999999</v>
      </c>
      <c r="C2286">
        <v>-10</v>
      </c>
    </row>
    <row r="2287" spans="1:3" x14ac:dyDescent="0.25">
      <c r="A2287" t="s">
        <v>2656</v>
      </c>
      <c r="B2287" s="6">
        <v>2281.0909999999999</v>
      </c>
      <c r="C2287">
        <v>-10</v>
      </c>
    </row>
    <row r="2288" spans="1:3" x14ac:dyDescent="0.25">
      <c r="A2288" t="s">
        <v>2657</v>
      </c>
      <c r="B2288" s="6">
        <v>2379.1800000000003</v>
      </c>
      <c r="C2288">
        <v>-10</v>
      </c>
    </row>
    <row r="2289" spans="1:3" x14ac:dyDescent="0.25">
      <c r="A2289" t="s">
        <v>2658</v>
      </c>
      <c r="B2289" s="6">
        <v>2281.0909999999999</v>
      </c>
      <c r="C2289">
        <v>-10</v>
      </c>
    </row>
    <row r="2290" spans="1:3" x14ac:dyDescent="0.25">
      <c r="A2290" t="s">
        <v>2659</v>
      </c>
      <c r="B2290" s="6">
        <v>2379.1800000000003</v>
      </c>
      <c r="C2290">
        <v>-10</v>
      </c>
    </row>
    <row r="2291" spans="1:3" x14ac:dyDescent="0.25">
      <c r="A2291" t="s">
        <v>2660</v>
      </c>
      <c r="B2291" s="6">
        <v>2379.1800000000003</v>
      </c>
      <c r="C2291">
        <v>-10</v>
      </c>
    </row>
    <row r="2292" spans="1:3" x14ac:dyDescent="0.25">
      <c r="A2292" t="s">
        <v>2661</v>
      </c>
      <c r="B2292" s="6">
        <v>2281.0909999999999</v>
      </c>
      <c r="C2292">
        <v>-10</v>
      </c>
    </row>
    <row r="2293" spans="1:3" x14ac:dyDescent="0.25">
      <c r="A2293" t="s">
        <v>2662</v>
      </c>
      <c r="B2293" s="6">
        <v>2281.0909999999999</v>
      </c>
      <c r="C2293">
        <v>-10</v>
      </c>
    </row>
    <row r="2294" spans="1:3" x14ac:dyDescent="0.25">
      <c r="A2294" t="s">
        <v>2663</v>
      </c>
      <c r="B2294" s="6">
        <v>2185.0889999999999</v>
      </c>
      <c r="C2294">
        <v>-9</v>
      </c>
    </row>
    <row r="2295" spans="1:3" x14ac:dyDescent="0.25">
      <c r="A2295" t="s">
        <v>2664</v>
      </c>
      <c r="B2295" s="6">
        <v>2281.0909999999999</v>
      </c>
      <c r="C2295">
        <v>-10</v>
      </c>
    </row>
    <row r="2296" spans="1:3" x14ac:dyDescent="0.25">
      <c r="A2296" t="s">
        <v>2665</v>
      </c>
      <c r="B2296" s="6">
        <v>2379.1800000000003</v>
      </c>
      <c r="C2296">
        <v>-10</v>
      </c>
    </row>
    <row r="2297" spans="1:3" x14ac:dyDescent="0.25">
      <c r="A2297" t="s">
        <v>2666</v>
      </c>
      <c r="B2297" s="6">
        <v>2185.0889999999999</v>
      </c>
      <c r="C2297">
        <v>-9</v>
      </c>
    </row>
    <row r="2298" spans="1:3" x14ac:dyDescent="0.25">
      <c r="A2298" t="s">
        <v>2667</v>
      </c>
      <c r="B2298" s="6">
        <v>2379.1800000000003</v>
      </c>
      <c r="C2298">
        <v>-10</v>
      </c>
    </row>
    <row r="2299" spans="1:3" x14ac:dyDescent="0.25">
      <c r="A2299" t="s">
        <v>2668</v>
      </c>
      <c r="B2299" s="6">
        <v>2087</v>
      </c>
      <c r="C2299">
        <v>-9</v>
      </c>
    </row>
    <row r="2300" spans="1:3" x14ac:dyDescent="0.25">
      <c r="A2300" t="s">
        <v>2669</v>
      </c>
      <c r="B2300" s="6">
        <v>1892.9090000000001</v>
      </c>
      <c r="C2300">
        <v>-7</v>
      </c>
    </row>
    <row r="2301" spans="1:3" x14ac:dyDescent="0.25">
      <c r="A2301" t="s">
        <v>2670</v>
      </c>
      <c r="B2301" s="6">
        <v>2185.0889999999999</v>
      </c>
      <c r="C2301">
        <v>-8</v>
      </c>
    </row>
    <row r="2302" spans="1:3" x14ac:dyDescent="0.25">
      <c r="A2302" t="s">
        <v>2671</v>
      </c>
      <c r="B2302" s="6">
        <v>2087</v>
      </c>
      <c r="C2302">
        <v>-8</v>
      </c>
    </row>
    <row r="2303" spans="1:3" x14ac:dyDescent="0.25">
      <c r="A2303" t="s">
        <v>2672</v>
      </c>
      <c r="B2303" s="6">
        <v>2087</v>
      </c>
      <c r="C2303">
        <v>-8</v>
      </c>
    </row>
    <row r="2304" spans="1:3" x14ac:dyDescent="0.25">
      <c r="A2304" t="s">
        <v>2673</v>
      </c>
      <c r="B2304" s="6">
        <v>2281.0909999999999</v>
      </c>
      <c r="C2304">
        <v>-10</v>
      </c>
    </row>
    <row r="2305" spans="1:3" x14ac:dyDescent="0.25">
      <c r="A2305" t="s">
        <v>2674</v>
      </c>
      <c r="B2305" s="6">
        <v>2087</v>
      </c>
      <c r="C2305">
        <v>-8</v>
      </c>
    </row>
    <row r="2306" spans="1:3" x14ac:dyDescent="0.25">
      <c r="A2306" t="s">
        <v>2675</v>
      </c>
      <c r="B2306" s="6">
        <v>2379.1800000000003</v>
      </c>
      <c r="C2306">
        <v>-10</v>
      </c>
    </row>
    <row r="2307" spans="1:3" x14ac:dyDescent="0.25">
      <c r="A2307" t="s">
        <v>2676</v>
      </c>
      <c r="B2307" s="6">
        <v>2185.0889999999999</v>
      </c>
      <c r="C2307">
        <v>-9</v>
      </c>
    </row>
    <row r="2308" spans="1:3" x14ac:dyDescent="0.25">
      <c r="A2308" t="s">
        <v>2677</v>
      </c>
      <c r="B2308" s="6">
        <v>1988.9109999999998</v>
      </c>
      <c r="C2308">
        <v>-9</v>
      </c>
    </row>
    <row r="2309" spans="1:3" x14ac:dyDescent="0.25">
      <c r="A2309" t="s">
        <v>2678</v>
      </c>
      <c r="B2309" s="6">
        <v>1988.9109999999998</v>
      </c>
      <c r="C2309">
        <v>-8</v>
      </c>
    </row>
    <row r="2310" spans="1:3" x14ac:dyDescent="0.25">
      <c r="A2310" t="s">
        <v>2679</v>
      </c>
      <c r="B2310" s="6">
        <v>1988.9109999999998</v>
      </c>
      <c r="C2310">
        <v>-8</v>
      </c>
    </row>
    <row r="2311" spans="1:3" x14ac:dyDescent="0.25">
      <c r="A2311" t="s">
        <v>2680</v>
      </c>
      <c r="B2311" s="6">
        <v>2087</v>
      </c>
      <c r="C2311">
        <v>-8</v>
      </c>
    </row>
    <row r="2312" spans="1:3" x14ac:dyDescent="0.25">
      <c r="A2312" t="s">
        <v>2681</v>
      </c>
      <c r="B2312" s="6">
        <v>2281.0909999999999</v>
      </c>
      <c r="C2312">
        <v>-10</v>
      </c>
    </row>
    <row r="2313" spans="1:3" x14ac:dyDescent="0.25">
      <c r="A2313" t="s">
        <v>2682</v>
      </c>
      <c r="B2313" s="6">
        <v>1988.9109999999998</v>
      </c>
      <c r="C2313">
        <v>-8</v>
      </c>
    </row>
    <row r="2314" spans="1:3" x14ac:dyDescent="0.25">
      <c r="A2314" t="s">
        <v>2683</v>
      </c>
      <c r="B2314" s="6">
        <v>2548.2270000000003</v>
      </c>
      <c r="C2314">
        <v>-11</v>
      </c>
    </row>
    <row r="2315" spans="1:3" x14ac:dyDescent="0.25">
      <c r="A2315" t="s">
        <v>2684</v>
      </c>
      <c r="B2315" s="6">
        <v>1988.9109999999998</v>
      </c>
      <c r="C2315">
        <v>-8</v>
      </c>
    </row>
    <row r="2316" spans="1:3" x14ac:dyDescent="0.25">
      <c r="A2316" t="s">
        <v>2685</v>
      </c>
      <c r="B2316" s="6">
        <v>1988.9109999999998</v>
      </c>
      <c r="C2316">
        <v>-8</v>
      </c>
    </row>
    <row r="2317" spans="1:3" x14ac:dyDescent="0.25">
      <c r="A2317" t="s">
        <v>2686</v>
      </c>
      <c r="B2317" s="6">
        <v>2087</v>
      </c>
      <c r="C2317">
        <v>-8</v>
      </c>
    </row>
    <row r="2318" spans="1:3" x14ac:dyDescent="0.25">
      <c r="A2318" t="s">
        <v>2687</v>
      </c>
      <c r="B2318" s="6">
        <v>1892.9090000000001</v>
      </c>
      <c r="C2318">
        <v>-7</v>
      </c>
    </row>
    <row r="2319" spans="1:3" x14ac:dyDescent="0.25">
      <c r="A2319" t="s">
        <v>2688</v>
      </c>
      <c r="B2319" s="6">
        <v>2087</v>
      </c>
      <c r="C2319">
        <v>-8</v>
      </c>
    </row>
    <row r="2320" spans="1:3" x14ac:dyDescent="0.25">
      <c r="A2320" t="s">
        <v>2689</v>
      </c>
      <c r="B2320" s="6">
        <v>2087</v>
      </c>
      <c r="C2320">
        <v>-8</v>
      </c>
    </row>
    <row r="2321" spans="1:3" x14ac:dyDescent="0.25">
      <c r="A2321" t="s">
        <v>2690</v>
      </c>
      <c r="B2321" s="6">
        <v>1892.9090000000001</v>
      </c>
      <c r="C2321">
        <v>-8</v>
      </c>
    </row>
    <row r="2322" spans="1:3" x14ac:dyDescent="0.25">
      <c r="A2322" t="s">
        <v>2691</v>
      </c>
      <c r="B2322" s="6">
        <v>2379.1800000000003</v>
      </c>
      <c r="C2322">
        <v>-10</v>
      </c>
    </row>
    <row r="2323" spans="1:3" x14ac:dyDescent="0.25">
      <c r="A2323" t="s">
        <v>2692</v>
      </c>
      <c r="B2323" s="6">
        <v>1892.9090000000001</v>
      </c>
      <c r="C2323">
        <v>-7</v>
      </c>
    </row>
    <row r="2324" spans="1:3" x14ac:dyDescent="0.25">
      <c r="A2324" t="s">
        <v>2693</v>
      </c>
      <c r="B2324" s="6">
        <v>2087</v>
      </c>
      <c r="C2324">
        <v>-8</v>
      </c>
    </row>
    <row r="2325" spans="1:3" x14ac:dyDescent="0.25">
      <c r="A2325" t="s">
        <v>2694</v>
      </c>
      <c r="B2325" s="6">
        <v>2087</v>
      </c>
      <c r="C2325">
        <v>-8</v>
      </c>
    </row>
    <row r="2326" spans="1:3" x14ac:dyDescent="0.25">
      <c r="A2326" t="s">
        <v>2695</v>
      </c>
      <c r="B2326" s="6">
        <v>2185.0889999999999</v>
      </c>
      <c r="C2326">
        <v>-9</v>
      </c>
    </row>
    <row r="2327" spans="1:3" x14ac:dyDescent="0.25">
      <c r="A2327" t="s">
        <v>2696</v>
      </c>
      <c r="B2327" s="6">
        <v>2087</v>
      </c>
      <c r="C2327">
        <v>-9</v>
      </c>
    </row>
    <row r="2328" spans="1:3" x14ac:dyDescent="0.25">
      <c r="A2328" t="s">
        <v>2697</v>
      </c>
      <c r="B2328" s="6">
        <v>2379.1800000000003</v>
      </c>
      <c r="C2328">
        <v>-10</v>
      </c>
    </row>
    <row r="2329" spans="1:3" x14ac:dyDescent="0.25">
      <c r="A2329" t="s">
        <v>2698</v>
      </c>
      <c r="B2329" s="6">
        <v>2790.319</v>
      </c>
      <c r="C2329">
        <v>-11</v>
      </c>
    </row>
    <row r="2330" spans="1:3" x14ac:dyDescent="0.25">
      <c r="A2330" t="s">
        <v>2699</v>
      </c>
      <c r="B2330" s="6">
        <v>2281.0909999999999</v>
      </c>
      <c r="C2330">
        <v>-9</v>
      </c>
    </row>
    <row r="2331" spans="1:3" x14ac:dyDescent="0.25">
      <c r="A2331" t="s">
        <v>2699</v>
      </c>
      <c r="B2331" s="6">
        <v>2281.0909999999999</v>
      </c>
      <c r="C2331">
        <v>-9</v>
      </c>
    </row>
    <row r="2332" spans="1:3" x14ac:dyDescent="0.25">
      <c r="A2332" t="s">
        <v>2700</v>
      </c>
      <c r="B2332" s="6">
        <v>2185.0889999999999</v>
      </c>
      <c r="C2332">
        <v>-8</v>
      </c>
    </row>
    <row r="2333" spans="1:3" x14ac:dyDescent="0.25">
      <c r="A2333" t="s">
        <v>2701</v>
      </c>
      <c r="B2333" s="6">
        <v>2087</v>
      </c>
      <c r="C2333">
        <v>-8</v>
      </c>
    </row>
    <row r="2334" spans="1:3" x14ac:dyDescent="0.25">
      <c r="A2334" t="s">
        <v>2702</v>
      </c>
      <c r="B2334" s="6">
        <v>2087</v>
      </c>
      <c r="C2334">
        <v>-8</v>
      </c>
    </row>
    <row r="2335" spans="1:3" x14ac:dyDescent="0.25">
      <c r="A2335" t="s">
        <v>2703</v>
      </c>
      <c r="B2335" s="6">
        <v>2087</v>
      </c>
      <c r="C2335">
        <v>-8</v>
      </c>
    </row>
    <row r="2336" spans="1:3" x14ac:dyDescent="0.25">
      <c r="A2336" t="s">
        <v>2704</v>
      </c>
      <c r="B2336" s="6">
        <v>1892.9090000000001</v>
      </c>
      <c r="C2336">
        <v>-8</v>
      </c>
    </row>
    <row r="2337" spans="1:3" x14ac:dyDescent="0.25">
      <c r="A2337" t="s">
        <v>2705</v>
      </c>
      <c r="B2337" s="6">
        <v>2185.0889999999999</v>
      </c>
      <c r="C2337">
        <v>-9</v>
      </c>
    </row>
    <row r="2338" spans="1:3" x14ac:dyDescent="0.25">
      <c r="A2338" t="s">
        <v>2706</v>
      </c>
      <c r="B2338" s="6">
        <v>2548.2270000000003</v>
      </c>
      <c r="C2338">
        <v>-11</v>
      </c>
    </row>
    <row r="2339" spans="1:3" x14ac:dyDescent="0.25">
      <c r="A2339" t="s">
        <v>2707</v>
      </c>
      <c r="B2339" s="6">
        <v>2379.1800000000003</v>
      </c>
      <c r="C2339">
        <v>-10</v>
      </c>
    </row>
    <row r="2340" spans="1:3" x14ac:dyDescent="0.25">
      <c r="A2340" t="s">
        <v>2708</v>
      </c>
      <c r="B2340" s="6">
        <v>2790.319</v>
      </c>
      <c r="C2340">
        <v>-10</v>
      </c>
    </row>
    <row r="2341" spans="1:3" x14ac:dyDescent="0.25">
      <c r="A2341" t="s">
        <v>2709</v>
      </c>
      <c r="B2341" s="6">
        <v>2548.2270000000003</v>
      </c>
      <c r="C2341">
        <v>-11</v>
      </c>
    </row>
    <row r="2342" spans="1:3" x14ac:dyDescent="0.25">
      <c r="A2342" t="s">
        <v>2710</v>
      </c>
      <c r="B2342" s="6">
        <v>2087</v>
      </c>
      <c r="C2342">
        <v>-8</v>
      </c>
    </row>
    <row r="2343" spans="1:3" x14ac:dyDescent="0.25">
      <c r="A2343" t="s">
        <v>2711</v>
      </c>
      <c r="B2343" s="6">
        <v>2185.0889999999999</v>
      </c>
      <c r="C2343">
        <v>-9</v>
      </c>
    </row>
    <row r="2344" spans="1:3" x14ac:dyDescent="0.25">
      <c r="A2344" t="s">
        <v>2712</v>
      </c>
      <c r="B2344" s="6">
        <v>2281.0909999999999</v>
      </c>
      <c r="C2344">
        <v>-9</v>
      </c>
    </row>
    <row r="2345" spans="1:3" x14ac:dyDescent="0.25">
      <c r="A2345" t="s">
        <v>2713</v>
      </c>
      <c r="B2345" s="6">
        <v>2281.0909999999999</v>
      </c>
      <c r="C2345">
        <v>-10</v>
      </c>
    </row>
    <row r="2346" spans="1:3" x14ac:dyDescent="0.25">
      <c r="A2346" t="s">
        <v>2714</v>
      </c>
      <c r="B2346" s="6">
        <v>2185.0889999999999</v>
      </c>
      <c r="C2346">
        <v>-9</v>
      </c>
    </row>
    <row r="2347" spans="1:3" x14ac:dyDescent="0.25">
      <c r="A2347" t="s">
        <v>2715</v>
      </c>
      <c r="B2347" s="6">
        <v>2548.2270000000003</v>
      </c>
      <c r="C2347">
        <v>-11</v>
      </c>
    </row>
    <row r="2348" spans="1:3" x14ac:dyDescent="0.25">
      <c r="A2348" t="s">
        <v>2716</v>
      </c>
      <c r="B2348" s="6">
        <v>2548.2270000000003</v>
      </c>
      <c r="C2348">
        <v>-10</v>
      </c>
    </row>
    <row r="2349" spans="1:3" x14ac:dyDescent="0.25">
      <c r="A2349" t="s">
        <v>2717</v>
      </c>
      <c r="B2349" s="6">
        <v>2087</v>
      </c>
      <c r="C2349">
        <v>-8</v>
      </c>
    </row>
    <row r="2350" spans="1:3" x14ac:dyDescent="0.25">
      <c r="A2350" t="s">
        <v>2718</v>
      </c>
      <c r="B2350" s="6">
        <v>2185.0889999999999</v>
      </c>
      <c r="C2350">
        <v>-9</v>
      </c>
    </row>
    <row r="2351" spans="1:3" x14ac:dyDescent="0.25">
      <c r="A2351" t="s">
        <v>2719</v>
      </c>
      <c r="B2351" s="6">
        <v>1988.9109999999998</v>
      </c>
      <c r="C2351">
        <v>-8</v>
      </c>
    </row>
    <row r="2352" spans="1:3" x14ac:dyDescent="0.25">
      <c r="A2352" t="s">
        <v>2720</v>
      </c>
      <c r="B2352" s="6">
        <v>2548.2270000000003</v>
      </c>
      <c r="C2352">
        <v>-11</v>
      </c>
    </row>
    <row r="2353" spans="1:3" x14ac:dyDescent="0.25">
      <c r="A2353" t="s">
        <v>2721</v>
      </c>
      <c r="B2353" s="6">
        <v>2087</v>
      </c>
      <c r="C2353">
        <v>-8</v>
      </c>
    </row>
    <row r="2354" spans="1:3" x14ac:dyDescent="0.25">
      <c r="A2354" t="s">
        <v>2722</v>
      </c>
      <c r="B2354" s="6">
        <v>1988.9109999999998</v>
      </c>
      <c r="C2354">
        <v>-8</v>
      </c>
    </row>
    <row r="2355" spans="1:3" x14ac:dyDescent="0.25">
      <c r="A2355" t="s">
        <v>2723</v>
      </c>
      <c r="B2355" s="6">
        <v>2548.2270000000003</v>
      </c>
      <c r="C2355">
        <v>-10</v>
      </c>
    </row>
    <row r="2356" spans="1:3" x14ac:dyDescent="0.25">
      <c r="A2356" t="s">
        <v>2724</v>
      </c>
      <c r="B2356" s="6">
        <v>2087</v>
      </c>
      <c r="C2356">
        <v>-8</v>
      </c>
    </row>
    <row r="2357" spans="1:3" x14ac:dyDescent="0.25">
      <c r="A2357" t="s">
        <v>2725</v>
      </c>
      <c r="B2357" s="6">
        <v>2087</v>
      </c>
      <c r="C2357">
        <v>-8</v>
      </c>
    </row>
    <row r="2358" spans="1:3" x14ac:dyDescent="0.25">
      <c r="A2358" t="s">
        <v>2726</v>
      </c>
      <c r="B2358" s="6">
        <v>2087</v>
      </c>
      <c r="C2358">
        <v>-8</v>
      </c>
    </row>
    <row r="2359" spans="1:3" x14ac:dyDescent="0.25">
      <c r="A2359" t="s">
        <v>2727</v>
      </c>
      <c r="B2359" s="6">
        <v>2281.0909999999999</v>
      </c>
      <c r="C2359">
        <v>-10</v>
      </c>
    </row>
    <row r="2360" spans="1:3" x14ac:dyDescent="0.25">
      <c r="A2360" t="s">
        <v>2728</v>
      </c>
      <c r="B2360" s="6">
        <v>2087</v>
      </c>
      <c r="C2360">
        <v>-9</v>
      </c>
    </row>
    <row r="2361" spans="1:3" x14ac:dyDescent="0.25">
      <c r="A2361" t="s">
        <v>2729</v>
      </c>
      <c r="B2361" s="6">
        <v>2087</v>
      </c>
      <c r="C2361">
        <v>-9</v>
      </c>
    </row>
    <row r="2362" spans="1:3" x14ac:dyDescent="0.25">
      <c r="A2362" t="s">
        <v>2730</v>
      </c>
      <c r="B2362" s="6">
        <v>2281.0909999999999</v>
      </c>
      <c r="C2362">
        <v>-9</v>
      </c>
    </row>
    <row r="2363" spans="1:3" x14ac:dyDescent="0.25">
      <c r="A2363" t="s">
        <v>2731</v>
      </c>
      <c r="B2363" s="6">
        <v>2379.1800000000003</v>
      </c>
      <c r="C2363">
        <v>-10</v>
      </c>
    </row>
    <row r="2364" spans="1:3" x14ac:dyDescent="0.25">
      <c r="A2364" t="s">
        <v>2732</v>
      </c>
      <c r="B2364" s="6">
        <v>2548.2270000000003</v>
      </c>
      <c r="C2364">
        <v>-11</v>
      </c>
    </row>
    <row r="2365" spans="1:3" x14ac:dyDescent="0.25">
      <c r="A2365" t="s">
        <v>2733</v>
      </c>
      <c r="B2365" s="6">
        <v>2087</v>
      </c>
      <c r="C2365">
        <v>-8</v>
      </c>
    </row>
    <row r="2366" spans="1:3" x14ac:dyDescent="0.25">
      <c r="A2366" t="s">
        <v>2734</v>
      </c>
      <c r="B2366" s="6">
        <v>2087</v>
      </c>
      <c r="C2366">
        <v>-8</v>
      </c>
    </row>
    <row r="2367" spans="1:3" x14ac:dyDescent="0.25">
      <c r="A2367" t="s">
        <v>2735</v>
      </c>
      <c r="B2367" s="6">
        <v>2087</v>
      </c>
      <c r="C2367">
        <v>-8</v>
      </c>
    </row>
    <row r="2368" spans="1:3" x14ac:dyDescent="0.25">
      <c r="A2368" t="s">
        <v>2736</v>
      </c>
      <c r="B2368" s="6">
        <v>2185.0889999999999</v>
      </c>
      <c r="C2368">
        <v>-9</v>
      </c>
    </row>
    <row r="2369" spans="1:3" x14ac:dyDescent="0.25">
      <c r="A2369" t="s">
        <v>2737</v>
      </c>
      <c r="B2369" s="6">
        <v>2281.0909999999999</v>
      </c>
      <c r="C2369">
        <v>-10</v>
      </c>
    </row>
    <row r="2370" spans="1:3" x14ac:dyDescent="0.25">
      <c r="A2370" t="s">
        <v>2738</v>
      </c>
      <c r="B2370" s="6">
        <v>2281.0909999999999</v>
      </c>
      <c r="C2370">
        <v>-10</v>
      </c>
    </row>
    <row r="2371" spans="1:3" x14ac:dyDescent="0.25">
      <c r="A2371" t="s">
        <v>2739</v>
      </c>
      <c r="B2371" s="6">
        <v>2087</v>
      </c>
      <c r="C2371">
        <v>-8</v>
      </c>
    </row>
    <row r="2372" spans="1:3" x14ac:dyDescent="0.25">
      <c r="A2372" t="s">
        <v>2740</v>
      </c>
      <c r="B2372" s="6">
        <v>2185.0889999999999</v>
      </c>
      <c r="C2372">
        <v>-9</v>
      </c>
    </row>
    <row r="2373" spans="1:3" x14ac:dyDescent="0.25">
      <c r="A2373" t="s">
        <v>2741</v>
      </c>
      <c r="B2373" s="6">
        <v>2281.0909999999999</v>
      </c>
      <c r="C2373">
        <v>-9</v>
      </c>
    </row>
    <row r="2374" spans="1:3" x14ac:dyDescent="0.25">
      <c r="A2374" t="s">
        <v>2742</v>
      </c>
      <c r="B2374" s="6">
        <v>2185.0889999999999</v>
      </c>
      <c r="C2374">
        <v>-9</v>
      </c>
    </row>
    <row r="2375" spans="1:3" x14ac:dyDescent="0.25">
      <c r="A2375" t="s">
        <v>2743</v>
      </c>
      <c r="B2375" s="6">
        <v>2790.319</v>
      </c>
      <c r="C2375">
        <v>-11</v>
      </c>
    </row>
    <row r="2376" spans="1:3" x14ac:dyDescent="0.25">
      <c r="A2376" t="s">
        <v>2744</v>
      </c>
      <c r="B2376" s="6">
        <v>2281.0909999999999</v>
      </c>
      <c r="C2376">
        <v>-9</v>
      </c>
    </row>
    <row r="2377" spans="1:3" x14ac:dyDescent="0.25">
      <c r="A2377" t="s">
        <v>2745</v>
      </c>
      <c r="B2377" s="6">
        <v>2185.0889999999999</v>
      </c>
      <c r="C2377">
        <v>-9</v>
      </c>
    </row>
    <row r="2378" spans="1:3" x14ac:dyDescent="0.25">
      <c r="A2378" t="s">
        <v>2746</v>
      </c>
      <c r="B2378" s="6">
        <v>2185.0889999999999</v>
      </c>
      <c r="C2378">
        <v>-9</v>
      </c>
    </row>
    <row r="2379" spans="1:3" x14ac:dyDescent="0.25">
      <c r="A2379" t="s">
        <v>2747</v>
      </c>
      <c r="B2379" s="6">
        <v>2087</v>
      </c>
      <c r="C2379">
        <v>-8</v>
      </c>
    </row>
    <row r="2380" spans="1:3" x14ac:dyDescent="0.25">
      <c r="A2380" t="s">
        <v>2748</v>
      </c>
      <c r="B2380" s="6">
        <v>2281.0909999999999</v>
      </c>
      <c r="C2380">
        <v>-9</v>
      </c>
    </row>
    <row r="2381" spans="1:3" x14ac:dyDescent="0.25">
      <c r="A2381" t="s">
        <v>2749</v>
      </c>
      <c r="B2381" s="6">
        <v>2281.0909999999999</v>
      </c>
      <c r="C2381">
        <v>-9</v>
      </c>
    </row>
    <row r="2382" spans="1:3" x14ac:dyDescent="0.25">
      <c r="A2382" t="s">
        <v>2750</v>
      </c>
      <c r="B2382" s="6">
        <v>2087</v>
      </c>
      <c r="C2382">
        <v>-8</v>
      </c>
    </row>
    <row r="2383" spans="1:3" x14ac:dyDescent="0.25">
      <c r="A2383" t="s">
        <v>2751</v>
      </c>
      <c r="B2383" s="6">
        <v>2087</v>
      </c>
      <c r="C2383">
        <v>-8</v>
      </c>
    </row>
    <row r="2384" spans="1:3" x14ac:dyDescent="0.25">
      <c r="A2384" t="s">
        <v>2752</v>
      </c>
      <c r="B2384" s="6">
        <v>2281.0909999999999</v>
      </c>
      <c r="C2384">
        <v>-10</v>
      </c>
    </row>
    <row r="2385" spans="1:3" x14ac:dyDescent="0.25">
      <c r="A2385" t="s">
        <v>2753</v>
      </c>
      <c r="B2385" s="6">
        <v>2281.0909999999999</v>
      </c>
      <c r="C2385">
        <v>-9</v>
      </c>
    </row>
    <row r="2386" spans="1:3" x14ac:dyDescent="0.25">
      <c r="A2386" t="s">
        <v>2754</v>
      </c>
      <c r="B2386" s="6">
        <v>2281.0909999999999</v>
      </c>
      <c r="C2386">
        <v>-10</v>
      </c>
    </row>
    <row r="2387" spans="1:3" x14ac:dyDescent="0.25">
      <c r="A2387" t="s">
        <v>2755</v>
      </c>
      <c r="B2387" s="6">
        <v>2185.0889999999999</v>
      </c>
      <c r="C2387">
        <v>-8</v>
      </c>
    </row>
    <row r="2388" spans="1:3" x14ac:dyDescent="0.25">
      <c r="A2388" t="s">
        <v>2756</v>
      </c>
      <c r="B2388" s="6">
        <v>1988.9109999999998</v>
      </c>
      <c r="C2388">
        <v>-8</v>
      </c>
    </row>
    <row r="2389" spans="1:3" x14ac:dyDescent="0.25">
      <c r="A2389" t="s">
        <v>2757</v>
      </c>
      <c r="B2389" s="6">
        <v>2087</v>
      </c>
      <c r="C2389">
        <v>-9</v>
      </c>
    </row>
    <row r="2390" spans="1:3" x14ac:dyDescent="0.25">
      <c r="A2390" t="s">
        <v>2758</v>
      </c>
      <c r="B2390" s="6">
        <v>1988.9109999999998</v>
      </c>
      <c r="C2390">
        <v>-8</v>
      </c>
    </row>
    <row r="2391" spans="1:3" x14ac:dyDescent="0.25">
      <c r="A2391" t="s">
        <v>2759</v>
      </c>
      <c r="B2391" s="6">
        <v>1988.9109999999998</v>
      </c>
      <c r="C2391">
        <v>-8</v>
      </c>
    </row>
    <row r="2392" spans="1:3" x14ac:dyDescent="0.25">
      <c r="A2392" t="s">
        <v>2760</v>
      </c>
      <c r="B2392" s="6">
        <v>2087</v>
      </c>
      <c r="C2392">
        <v>-8</v>
      </c>
    </row>
    <row r="2393" spans="1:3" x14ac:dyDescent="0.25">
      <c r="A2393" t="s">
        <v>2759</v>
      </c>
      <c r="B2393" s="6">
        <v>2087</v>
      </c>
      <c r="C2393">
        <v>-8</v>
      </c>
    </row>
    <row r="2394" spans="1:3" x14ac:dyDescent="0.25">
      <c r="A2394" t="s">
        <v>2761</v>
      </c>
      <c r="B2394" s="6">
        <v>2087</v>
      </c>
      <c r="C2394">
        <v>-8</v>
      </c>
    </row>
    <row r="2395" spans="1:3" x14ac:dyDescent="0.25">
      <c r="A2395" t="s">
        <v>2762</v>
      </c>
      <c r="B2395" s="6">
        <v>2281.0909999999999</v>
      </c>
      <c r="C2395">
        <v>-9</v>
      </c>
    </row>
    <row r="2396" spans="1:3" x14ac:dyDescent="0.25">
      <c r="A2396" t="s">
        <v>2763</v>
      </c>
      <c r="B2396" s="6">
        <v>2281.0909999999999</v>
      </c>
      <c r="C2396">
        <v>-9</v>
      </c>
    </row>
    <row r="2397" spans="1:3" x14ac:dyDescent="0.25">
      <c r="A2397" t="s">
        <v>2764</v>
      </c>
      <c r="B2397" s="6">
        <v>2087</v>
      </c>
      <c r="C2397">
        <v>-8</v>
      </c>
    </row>
    <row r="2398" spans="1:3" x14ac:dyDescent="0.25">
      <c r="A2398" t="s">
        <v>2765</v>
      </c>
      <c r="B2398" s="6">
        <v>2281.0909999999999</v>
      </c>
      <c r="C2398">
        <v>-9</v>
      </c>
    </row>
    <row r="2399" spans="1:3" x14ac:dyDescent="0.25">
      <c r="A2399" t="s">
        <v>2766</v>
      </c>
      <c r="B2399" s="6">
        <v>2790.319</v>
      </c>
      <c r="C2399">
        <v>-11</v>
      </c>
    </row>
    <row r="2400" spans="1:3" x14ac:dyDescent="0.25">
      <c r="A2400" t="s">
        <v>2767</v>
      </c>
      <c r="B2400" s="6">
        <v>2281.0909999999999</v>
      </c>
      <c r="C2400">
        <v>-9</v>
      </c>
    </row>
    <row r="2401" spans="1:3" x14ac:dyDescent="0.25">
      <c r="A2401" t="s">
        <v>2768</v>
      </c>
      <c r="B2401" s="6">
        <v>2185.0889999999999</v>
      </c>
      <c r="C2401">
        <v>-9</v>
      </c>
    </row>
    <row r="2402" spans="1:3" x14ac:dyDescent="0.25">
      <c r="A2402" t="s">
        <v>2769</v>
      </c>
      <c r="B2402" s="6">
        <v>2185.0889999999999</v>
      </c>
      <c r="C2402">
        <v>-9</v>
      </c>
    </row>
    <row r="2403" spans="1:3" x14ac:dyDescent="0.25">
      <c r="A2403" t="s">
        <v>2770</v>
      </c>
      <c r="B2403" s="6">
        <v>2281.0909999999999</v>
      </c>
      <c r="C2403">
        <v>-10</v>
      </c>
    </row>
    <row r="2404" spans="1:3" x14ac:dyDescent="0.25">
      <c r="A2404" t="s">
        <v>2771</v>
      </c>
      <c r="B2404" s="6">
        <v>2961.453</v>
      </c>
      <c r="C2404">
        <v>-11</v>
      </c>
    </row>
    <row r="2405" spans="1:3" x14ac:dyDescent="0.25">
      <c r="A2405" t="s">
        <v>2772</v>
      </c>
      <c r="B2405" s="6">
        <v>2548.2270000000003</v>
      </c>
      <c r="C2405">
        <v>-11</v>
      </c>
    </row>
    <row r="2406" spans="1:3" x14ac:dyDescent="0.25">
      <c r="A2406" t="s">
        <v>2773</v>
      </c>
      <c r="B2406" s="6">
        <v>1988.9109999999998</v>
      </c>
      <c r="C2406">
        <v>-8</v>
      </c>
    </row>
    <row r="2407" spans="1:3" x14ac:dyDescent="0.25">
      <c r="A2407" t="s">
        <v>2774</v>
      </c>
      <c r="B2407" s="6">
        <v>2548.2270000000003</v>
      </c>
      <c r="C2407">
        <v>-11</v>
      </c>
    </row>
    <row r="2408" spans="1:3" x14ac:dyDescent="0.25">
      <c r="A2408" t="s">
        <v>2775</v>
      </c>
      <c r="B2408" s="6">
        <v>2379.1800000000003</v>
      </c>
      <c r="C2408">
        <v>-10</v>
      </c>
    </row>
    <row r="2409" spans="1:3" x14ac:dyDescent="0.25">
      <c r="A2409" t="s">
        <v>2776</v>
      </c>
      <c r="B2409" s="6">
        <v>2087</v>
      </c>
      <c r="C2409">
        <v>-8</v>
      </c>
    </row>
    <row r="2410" spans="1:3" x14ac:dyDescent="0.25">
      <c r="A2410" t="s">
        <v>2777</v>
      </c>
      <c r="B2410" s="6">
        <v>2087</v>
      </c>
      <c r="C2410">
        <v>-8</v>
      </c>
    </row>
    <row r="2411" spans="1:3" x14ac:dyDescent="0.25">
      <c r="A2411" t="s">
        <v>2778</v>
      </c>
      <c r="B2411" s="6">
        <v>2185.0889999999999</v>
      </c>
      <c r="C2411">
        <v>-9</v>
      </c>
    </row>
    <row r="2412" spans="1:3" x14ac:dyDescent="0.25">
      <c r="A2412" t="s">
        <v>2778</v>
      </c>
      <c r="B2412" s="6">
        <v>2087</v>
      </c>
      <c r="C2412">
        <v>-9</v>
      </c>
    </row>
    <row r="2413" spans="1:3" x14ac:dyDescent="0.25">
      <c r="A2413" t="s">
        <v>2779</v>
      </c>
      <c r="B2413" s="6">
        <v>2087</v>
      </c>
      <c r="C2413">
        <v>-8</v>
      </c>
    </row>
    <row r="2414" spans="1:3" x14ac:dyDescent="0.25">
      <c r="A2414" t="s">
        <v>2780</v>
      </c>
      <c r="B2414" s="6">
        <v>2087</v>
      </c>
      <c r="C2414">
        <v>-8</v>
      </c>
    </row>
    <row r="2415" spans="1:3" x14ac:dyDescent="0.25">
      <c r="A2415" t="s">
        <v>2781</v>
      </c>
      <c r="B2415" s="6">
        <v>2185.0889999999999</v>
      </c>
      <c r="C2415">
        <v>-9</v>
      </c>
    </row>
    <row r="2416" spans="1:3" x14ac:dyDescent="0.25">
      <c r="A2416" t="s">
        <v>2782</v>
      </c>
      <c r="B2416" s="6">
        <v>2548.2270000000003</v>
      </c>
      <c r="C2416">
        <v>-11</v>
      </c>
    </row>
    <row r="2417" spans="1:3" x14ac:dyDescent="0.25">
      <c r="A2417" t="s">
        <v>2783</v>
      </c>
      <c r="B2417" s="6">
        <v>2379.1800000000003</v>
      </c>
      <c r="C2417">
        <v>-10</v>
      </c>
    </row>
    <row r="2418" spans="1:3" x14ac:dyDescent="0.25">
      <c r="A2418" t="s">
        <v>2784</v>
      </c>
      <c r="B2418" s="6">
        <v>1988.9109999999998</v>
      </c>
      <c r="C2418">
        <v>-8</v>
      </c>
    </row>
    <row r="2419" spans="1:3" x14ac:dyDescent="0.25">
      <c r="A2419" t="s">
        <v>2785</v>
      </c>
      <c r="B2419" s="6">
        <v>2185.0889999999999</v>
      </c>
      <c r="C2419">
        <v>-9</v>
      </c>
    </row>
    <row r="2420" spans="1:3" x14ac:dyDescent="0.25">
      <c r="A2420" t="s">
        <v>2786</v>
      </c>
      <c r="B2420" s="6">
        <v>2087</v>
      </c>
      <c r="C2420">
        <v>-8</v>
      </c>
    </row>
    <row r="2421" spans="1:3" x14ac:dyDescent="0.25">
      <c r="A2421" t="s">
        <v>2787</v>
      </c>
      <c r="B2421" s="6">
        <v>2087</v>
      </c>
      <c r="C2421">
        <v>-9</v>
      </c>
    </row>
    <row r="2422" spans="1:3" x14ac:dyDescent="0.25">
      <c r="A2422" t="s">
        <v>2788</v>
      </c>
      <c r="B2422" s="6">
        <v>2087</v>
      </c>
      <c r="C2422">
        <v>-8</v>
      </c>
    </row>
    <row r="2423" spans="1:3" x14ac:dyDescent="0.25">
      <c r="A2423" t="s">
        <v>2789</v>
      </c>
      <c r="B2423" s="6">
        <v>2790.319</v>
      </c>
      <c r="C2423">
        <v>-11</v>
      </c>
    </row>
    <row r="2424" spans="1:3" x14ac:dyDescent="0.25">
      <c r="A2424" t="s">
        <v>2790</v>
      </c>
      <c r="B2424" s="6">
        <v>2087</v>
      </c>
      <c r="C2424">
        <v>-8</v>
      </c>
    </row>
    <row r="2425" spans="1:3" x14ac:dyDescent="0.25">
      <c r="A2425" t="s">
        <v>2791</v>
      </c>
      <c r="B2425" s="6">
        <v>2548.2270000000003</v>
      </c>
      <c r="C2425">
        <v>-11</v>
      </c>
    </row>
    <row r="2426" spans="1:3" x14ac:dyDescent="0.25">
      <c r="A2426" t="s">
        <v>2792</v>
      </c>
      <c r="B2426" s="6">
        <v>2185.0889999999999</v>
      </c>
      <c r="C2426">
        <v>-9</v>
      </c>
    </row>
    <row r="2427" spans="1:3" x14ac:dyDescent="0.25">
      <c r="A2427" t="s">
        <v>2793</v>
      </c>
      <c r="B2427" s="6">
        <v>2379.1800000000003</v>
      </c>
      <c r="C2427">
        <v>-10</v>
      </c>
    </row>
    <row r="2428" spans="1:3" x14ac:dyDescent="0.25">
      <c r="A2428" t="s">
        <v>2794</v>
      </c>
      <c r="B2428" s="6">
        <v>2281.0909999999999</v>
      </c>
      <c r="C2428">
        <v>-9</v>
      </c>
    </row>
    <row r="2429" spans="1:3" x14ac:dyDescent="0.25">
      <c r="A2429" t="s">
        <v>2795</v>
      </c>
      <c r="B2429" s="6">
        <v>2087</v>
      </c>
      <c r="C2429">
        <v>-8</v>
      </c>
    </row>
    <row r="2430" spans="1:3" x14ac:dyDescent="0.25">
      <c r="A2430" t="s">
        <v>2796</v>
      </c>
      <c r="B2430" s="6">
        <v>2185.0889999999999</v>
      </c>
      <c r="C2430">
        <v>-8</v>
      </c>
    </row>
    <row r="2431" spans="1:3" x14ac:dyDescent="0.25">
      <c r="A2431" t="s">
        <v>2797</v>
      </c>
      <c r="B2431" s="6">
        <v>2087</v>
      </c>
      <c r="C2431">
        <v>-9</v>
      </c>
    </row>
    <row r="2432" spans="1:3" x14ac:dyDescent="0.25">
      <c r="A2432" t="s">
        <v>2798</v>
      </c>
      <c r="B2432" s="6">
        <v>2548.2270000000003</v>
      </c>
      <c r="C2432">
        <v>-11</v>
      </c>
    </row>
    <row r="2433" spans="1:3" x14ac:dyDescent="0.25">
      <c r="A2433" t="s">
        <v>2799</v>
      </c>
      <c r="B2433" s="6">
        <v>2281.0909999999999</v>
      </c>
      <c r="C2433">
        <v>-9</v>
      </c>
    </row>
    <row r="2434" spans="1:3" x14ac:dyDescent="0.25">
      <c r="A2434" t="s">
        <v>2800</v>
      </c>
      <c r="B2434" s="6">
        <v>2087</v>
      </c>
      <c r="C2434">
        <v>-8</v>
      </c>
    </row>
    <row r="2435" spans="1:3" x14ac:dyDescent="0.25">
      <c r="A2435" t="s">
        <v>2801</v>
      </c>
      <c r="B2435" s="6">
        <v>2185.0889999999999</v>
      </c>
      <c r="C2435">
        <v>-9</v>
      </c>
    </row>
    <row r="2436" spans="1:3" x14ac:dyDescent="0.25">
      <c r="A2436" t="s">
        <v>2802</v>
      </c>
      <c r="B2436" s="6">
        <v>2087</v>
      </c>
      <c r="C2436">
        <v>-8</v>
      </c>
    </row>
    <row r="2437" spans="1:3" x14ac:dyDescent="0.25">
      <c r="A2437" t="s">
        <v>2803</v>
      </c>
      <c r="B2437" s="6">
        <v>2790.319</v>
      </c>
      <c r="C2437">
        <v>-10</v>
      </c>
    </row>
    <row r="2438" spans="1:3" x14ac:dyDescent="0.25">
      <c r="A2438" t="s">
        <v>2804</v>
      </c>
      <c r="B2438" s="6">
        <v>2185.0889999999999</v>
      </c>
      <c r="C2438">
        <v>-8</v>
      </c>
    </row>
    <row r="2439" spans="1:3" x14ac:dyDescent="0.25">
      <c r="A2439" t="s">
        <v>2805</v>
      </c>
      <c r="B2439" s="6">
        <v>1988.9109999999998</v>
      </c>
      <c r="C2439">
        <v>-8</v>
      </c>
    </row>
    <row r="2440" spans="1:3" x14ac:dyDescent="0.25">
      <c r="A2440" t="s">
        <v>2806</v>
      </c>
      <c r="B2440" s="6">
        <v>1892.9090000000001</v>
      </c>
      <c r="C2440">
        <v>-7</v>
      </c>
    </row>
    <row r="2441" spans="1:3" x14ac:dyDescent="0.25">
      <c r="A2441" t="s">
        <v>2807</v>
      </c>
      <c r="B2441" s="6">
        <v>2087</v>
      </c>
      <c r="C2441">
        <v>-8</v>
      </c>
    </row>
    <row r="2442" spans="1:3" x14ac:dyDescent="0.25">
      <c r="A2442" t="s">
        <v>2808</v>
      </c>
      <c r="B2442" s="6">
        <v>2087</v>
      </c>
      <c r="C2442">
        <v>-8</v>
      </c>
    </row>
    <row r="2443" spans="1:3" x14ac:dyDescent="0.25">
      <c r="A2443" t="s">
        <v>2809</v>
      </c>
      <c r="B2443" s="6">
        <v>2185.0889999999999</v>
      </c>
      <c r="C2443">
        <v>-9</v>
      </c>
    </row>
    <row r="2444" spans="1:3" x14ac:dyDescent="0.25">
      <c r="A2444" t="s">
        <v>2810</v>
      </c>
      <c r="B2444" s="6">
        <v>1988.9109999999998</v>
      </c>
      <c r="C2444">
        <v>-8</v>
      </c>
    </row>
    <row r="2445" spans="1:3" x14ac:dyDescent="0.25">
      <c r="A2445" t="s">
        <v>2811</v>
      </c>
      <c r="B2445" s="6">
        <v>2087</v>
      </c>
      <c r="C2445">
        <v>-8</v>
      </c>
    </row>
    <row r="2446" spans="1:3" x14ac:dyDescent="0.25">
      <c r="A2446" t="s">
        <v>2812</v>
      </c>
      <c r="B2446" s="6">
        <v>2185.0889999999999</v>
      </c>
      <c r="C2446">
        <v>-8</v>
      </c>
    </row>
    <row r="2447" spans="1:3" x14ac:dyDescent="0.25">
      <c r="A2447" t="s">
        <v>2813</v>
      </c>
      <c r="B2447" s="6">
        <v>2548.2270000000003</v>
      </c>
      <c r="C2447">
        <v>-11</v>
      </c>
    </row>
    <row r="2448" spans="1:3" x14ac:dyDescent="0.25">
      <c r="A2448" t="s">
        <v>2814</v>
      </c>
      <c r="B2448" s="6">
        <v>2087</v>
      </c>
      <c r="C2448">
        <v>-9</v>
      </c>
    </row>
    <row r="2449" spans="1:3" x14ac:dyDescent="0.25">
      <c r="A2449" t="s">
        <v>2815</v>
      </c>
      <c r="B2449" s="6">
        <v>1988.9109999999998</v>
      </c>
      <c r="C2449">
        <v>-8</v>
      </c>
    </row>
    <row r="2450" spans="1:3" x14ac:dyDescent="0.25">
      <c r="A2450" t="s">
        <v>2816</v>
      </c>
      <c r="B2450" s="6">
        <v>2379.1800000000003</v>
      </c>
      <c r="C2450">
        <v>-10</v>
      </c>
    </row>
    <row r="2451" spans="1:3" x14ac:dyDescent="0.25">
      <c r="A2451" t="s">
        <v>2817</v>
      </c>
      <c r="B2451" s="6">
        <v>2379.1800000000003</v>
      </c>
      <c r="C2451">
        <v>-10</v>
      </c>
    </row>
    <row r="2452" spans="1:3" x14ac:dyDescent="0.25">
      <c r="A2452" t="s">
        <v>2817</v>
      </c>
      <c r="B2452" s="6">
        <v>2087</v>
      </c>
      <c r="C2452">
        <v>-8</v>
      </c>
    </row>
    <row r="2453" spans="1:3" x14ac:dyDescent="0.25">
      <c r="A2453" t="s">
        <v>2818</v>
      </c>
      <c r="B2453" s="6">
        <v>2281.0909999999999</v>
      </c>
      <c r="C2453">
        <v>-9</v>
      </c>
    </row>
    <row r="2454" spans="1:3" x14ac:dyDescent="0.25">
      <c r="A2454" t="s">
        <v>2819</v>
      </c>
      <c r="B2454" s="6">
        <v>2379.1800000000003</v>
      </c>
      <c r="C2454">
        <v>-11</v>
      </c>
    </row>
    <row r="2455" spans="1:3" x14ac:dyDescent="0.25">
      <c r="A2455" t="s">
        <v>2820</v>
      </c>
      <c r="B2455" s="6">
        <v>2790.319</v>
      </c>
      <c r="C2455">
        <v>-11</v>
      </c>
    </row>
    <row r="2456" spans="1:3" x14ac:dyDescent="0.25">
      <c r="A2456" t="s">
        <v>2821</v>
      </c>
      <c r="B2456" s="6">
        <v>2185.0889999999999</v>
      </c>
      <c r="C2456">
        <v>-9</v>
      </c>
    </row>
    <row r="2457" spans="1:3" x14ac:dyDescent="0.25">
      <c r="A2457" t="s">
        <v>2822</v>
      </c>
      <c r="B2457" s="6">
        <v>2790.319</v>
      </c>
      <c r="C2457">
        <v>-11</v>
      </c>
    </row>
    <row r="2458" spans="1:3" x14ac:dyDescent="0.25">
      <c r="A2458" t="s">
        <v>2823</v>
      </c>
      <c r="B2458" s="6">
        <v>2185.0889999999999</v>
      </c>
      <c r="C2458">
        <v>-8</v>
      </c>
    </row>
    <row r="2459" spans="1:3" x14ac:dyDescent="0.25">
      <c r="A2459" t="s">
        <v>2824</v>
      </c>
      <c r="B2459" s="6">
        <v>2185.0889999999999</v>
      </c>
      <c r="C2459">
        <v>-9</v>
      </c>
    </row>
    <row r="2460" spans="1:3" x14ac:dyDescent="0.25">
      <c r="A2460" t="s">
        <v>2825</v>
      </c>
      <c r="B2460" s="6">
        <v>2087</v>
      </c>
      <c r="C2460">
        <v>-9</v>
      </c>
    </row>
    <row r="2461" spans="1:3" x14ac:dyDescent="0.25">
      <c r="A2461" t="s">
        <v>2826</v>
      </c>
      <c r="B2461" s="6">
        <v>2185.0889999999999</v>
      </c>
      <c r="C2461">
        <v>-9</v>
      </c>
    </row>
    <row r="2462" spans="1:3" x14ac:dyDescent="0.25">
      <c r="A2462" t="s">
        <v>2827</v>
      </c>
      <c r="B2462" s="6">
        <v>2087</v>
      </c>
      <c r="C2462">
        <v>-8</v>
      </c>
    </row>
    <row r="2463" spans="1:3" x14ac:dyDescent="0.25">
      <c r="A2463" t="s">
        <v>2828</v>
      </c>
      <c r="B2463" s="6">
        <v>1988.9109999999998</v>
      </c>
      <c r="C2463">
        <v>-8</v>
      </c>
    </row>
    <row r="2464" spans="1:3" x14ac:dyDescent="0.25">
      <c r="A2464" t="s">
        <v>2829</v>
      </c>
      <c r="B2464" s="6">
        <v>2185.0889999999999</v>
      </c>
      <c r="C2464">
        <v>-8</v>
      </c>
    </row>
    <row r="2465" spans="1:3" x14ac:dyDescent="0.25">
      <c r="A2465" t="s">
        <v>2830</v>
      </c>
      <c r="B2465" s="6">
        <v>2185.0889999999999</v>
      </c>
      <c r="C2465">
        <v>-9</v>
      </c>
    </row>
    <row r="2466" spans="1:3" x14ac:dyDescent="0.25">
      <c r="A2466" t="s">
        <v>2831</v>
      </c>
      <c r="B2466" s="6">
        <v>2185.0889999999999</v>
      </c>
      <c r="C2466">
        <v>-8</v>
      </c>
    </row>
    <row r="2467" spans="1:3" x14ac:dyDescent="0.25">
      <c r="A2467" t="s">
        <v>2832</v>
      </c>
      <c r="B2467" s="6">
        <v>2087</v>
      </c>
      <c r="C2467">
        <v>-8</v>
      </c>
    </row>
    <row r="2468" spans="1:3" x14ac:dyDescent="0.25">
      <c r="A2468" t="s">
        <v>2833</v>
      </c>
      <c r="B2468" s="6">
        <v>2185.0889999999999</v>
      </c>
      <c r="C2468">
        <v>-9</v>
      </c>
    </row>
    <row r="2469" spans="1:3" x14ac:dyDescent="0.25">
      <c r="A2469" t="s">
        <v>2834</v>
      </c>
      <c r="B2469" s="6">
        <v>2087</v>
      </c>
      <c r="C2469">
        <v>-8</v>
      </c>
    </row>
    <row r="2470" spans="1:3" x14ac:dyDescent="0.25">
      <c r="A2470" t="s">
        <v>2835</v>
      </c>
      <c r="B2470" s="6">
        <v>2087</v>
      </c>
      <c r="C2470">
        <v>-8</v>
      </c>
    </row>
    <row r="2471" spans="1:3" x14ac:dyDescent="0.25">
      <c r="A2471" t="s">
        <v>2836</v>
      </c>
      <c r="B2471" s="6">
        <v>2548.2270000000003</v>
      </c>
      <c r="C2471">
        <v>-10</v>
      </c>
    </row>
    <row r="2472" spans="1:3" x14ac:dyDescent="0.25">
      <c r="A2472" t="s">
        <v>2837</v>
      </c>
      <c r="B2472" s="6">
        <v>2281.0909999999999</v>
      </c>
      <c r="C2472">
        <v>-9</v>
      </c>
    </row>
    <row r="2473" spans="1:3" x14ac:dyDescent="0.25">
      <c r="A2473" t="s">
        <v>2838</v>
      </c>
      <c r="B2473" s="6">
        <v>2185.0889999999999</v>
      </c>
      <c r="C2473">
        <v>-9</v>
      </c>
    </row>
    <row r="2474" spans="1:3" x14ac:dyDescent="0.25">
      <c r="A2474" t="s">
        <v>2839</v>
      </c>
      <c r="B2474" s="6">
        <v>2281.0909999999999</v>
      </c>
      <c r="C2474">
        <v>-10</v>
      </c>
    </row>
    <row r="2475" spans="1:3" x14ac:dyDescent="0.25">
      <c r="A2475" t="s">
        <v>2840</v>
      </c>
      <c r="B2475" s="6">
        <v>1892.9090000000001</v>
      </c>
      <c r="C2475">
        <v>-8</v>
      </c>
    </row>
    <row r="2476" spans="1:3" x14ac:dyDescent="0.25">
      <c r="A2476" t="s">
        <v>2841</v>
      </c>
      <c r="B2476" s="6">
        <v>2087</v>
      </c>
      <c r="C2476">
        <v>-8</v>
      </c>
    </row>
    <row r="2477" spans="1:3" x14ac:dyDescent="0.25">
      <c r="A2477" t="s">
        <v>2842</v>
      </c>
      <c r="B2477" s="6">
        <v>2379.1800000000003</v>
      </c>
      <c r="C2477">
        <v>-10</v>
      </c>
    </row>
    <row r="2478" spans="1:3" x14ac:dyDescent="0.25">
      <c r="A2478" t="s">
        <v>2843</v>
      </c>
      <c r="B2478" s="6">
        <v>2548.2270000000003</v>
      </c>
      <c r="C2478">
        <v>-11</v>
      </c>
    </row>
    <row r="2479" spans="1:3" x14ac:dyDescent="0.25">
      <c r="A2479" t="s">
        <v>2844</v>
      </c>
      <c r="B2479" s="6">
        <v>2087</v>
      </c>
      <c r="C2479">
        <v>-8</v>
      </c>
    </row>
    <row r="2480" spans="1:3" x14ac:dyDescent="0.25">
      <c r="A2480" t="s">
        <v>2845</v>
      </c>
      <c r="B2480" s="6">
        <v>1892.9090000000001</v>
      </c>
      <c r="C2480">
        <v>-7</v>
      </c>
    </row>
    <row r="2481" spans="1:3" x14ac:dyDescent="0.25">
      <c r="A2481" t="s">
        <v>2846</v>
      </c>
      <c r="B2481" s="6">
        <v>2281.0909999999999</v>
      </c>
      <c r="C2481">
        <v>-9</v>
      </c>
    </row>
    <row r="2482" spans="1:3" x14ac:dyDescent="0.25">
      <c r="A2482" t="s">
        <v>2847</v>
      </c>
      <c r="B2482" s="6">
        <v>2087</v>
      </c>
      <c r="C2482">
        <v>-8</v>
      </c>
    </row>
    <row r="2483" spans="1:3" x14ac:dyDescent="0.25">
      <c r="A2483" t="s">
        <v>2848</v>
      </c>
      <c r="B2483" s="6">
        <v>2087</v>
      </c>
      <c r="C2483">
        <v>-8</v>
      </c>
    </row>
    <row r="2484" spans="1:3" x14ac:dyDescent="0.25">
      <c r="A2484" t="s">
        <v>2849</v>
      </c>
      <c r="B2484" s="6">
        <v>1988.9109999999998</v>
      </c>
      <c r="C2484">
        <v>-8</v>
      </c>
    </row>
    <row r="2485" spans="1:3" x14ac:dyDescent="0.25">
      <c r="A2485" t="s">
        <v>2850</v>
      </c>
      <c r="B2485" s="6">
        <v>2548.2270000000003</v>
      </c>
      <c r="C2485">
        <v>-11</v>
      </c>
    </row>
    <row r="2486" spans="1:3" x14ac:dyDescent="0.25">
      <c r="A2486" t="s">
        <v>2851</v>
      </c>
      <c r="B2486" s="6">
        <v>2185.0889999999999</v>
      </c>
      <c r="C2486">
        <v>-9</v>
      </c>
    </row>
    <row r="2487" spans="1:3" x14ac:dyDescent="0.25">
      <c r="A2487" t="s">
        <v>2852</v>
      </c>
      <c r="B2487" s="6">
        <v>2087</v>
      </c>
      <c r="C2487">
        <v>-9</v>
      </c>
    </row>
    <row r="2488" spans="1:3" x14ac:dyDescent="0.25">
      <c r="A2488" t="s">
        <v>2853</v>
      </c>
      <c r="B2488" s="6">
        <v>2281.0909999999999</v>
      </c>
      <c r="C2488">
        <v>-9</v>
      </c>
    </row>
    <row r="2489" spans="1:3" x14ac:dyDescent="0.25">
      <c r="A2489" t="s">
        <v>2854</v>
      </c>
      <c r="B2489" s="6">
        <v>2379.1800000000003</v>
      </c>
      <c r="C2489">
        <v>-10</v>
      </c>
    </row>
    <row r="2490" spans="1:3" x14ac:dyDescent="0.25">
      <c r="A2490" t="s">
        <v>2855</v>
      </c>
      <c r="B2490" s="6">
        <v>2185.0889999999999</v>
      </c>
      <c r="C2490">
        <v>-9</v>
      </c>
    </row>
    <row r="2491" spans="1:3" x14ac:dyDescent="0.25">
      <c r="A2491" t="s">
        <v>2856</v>
      </c>
      <c r="B2491" s="6">
        <v>2087</v>
      </c>
      <c r="C2491">
        <v>-9</v>
      </c>
    </row>
    <row r="2492" spans="1:3" x14ac:dyDescent="0.25">
      <c r="A2492" t="s">
        <v>2857</v>
      </c>
      <c r="B2492" s="6">
        <v>2185.0889999999999</v>
      </c>
      <c r="C2492">
        <v>-9</v>
      </c>
    </row>
    <row r="2493" spans="1:3" x14ac:dyDescent="0.25">
      <c r="A2493" t="s">
        <v>2858</v>
      </c>
      <c r="B2493" s="6">
        <v>2379.1800000000003</v>
      </c>
      <c r="C2493">
        <v>-10</v>
      </c>
    </row>
    <row r="2494" spans="1:3" x14ac:dyDescent="0.25">
      <c r="A2494" t="s">
        <v>2859</v>
      </c>
      <c r="B2494" s="6">
        <v>2548.2270000000003</v>
      </c>
      <c r="C2494">
        <v>-11</v>
      </c>
    </row>
    <row r="2495" spans="1:3" x14ac:dyDescent="0.25">
      <c r="A2495" t="s">
        <v>2860</v>
      </c>
      <c r="B2495" s="6">
        <v>2185.0889999999999</v>
      </c>
      <c r="C2495">
        <v>-9</v>
      </c>
    </row>
    <row r="2496" spans="1:3" x14ac:dyDescent="0.25">
      <c r="A2496" t="s">
        <v>2861</v>
      </c>
      <c r="B2496" s="6">
        <v>2087</v>
      </c>
      <c r="C2496">
        <v>-8</v>
      </c>
    </row>
    <row r="2497" spans="1:3" x14ac:dyDescent="0.25">
      <c r="A2497" t="s">
        <v>2862</v>
      </c>
      <c r="B2497" s="6">
        <v>2087</v>
      </c>
      <c r="C2497">
        <v>-8</v>
      </c>
    </row>
    <row r="2498" spans="1:3" x14ac:dyDescent="0.25">
      <c r="A2498" t="s">
        <v>2863</v>
      </c>
      <c r="B2498" s="6">
        <v>2087</v>
      </c>
      <c r="C2498">
        <v>-8</v>
      </c>
    </row>
    <row r="2499" spans="1:3" x14ac:dyDescent="0.25">
      <c r="A2499" t="s">
        <v>2864</v>
      </c>
      <c r="B2499" s="6">
        <v>2379.1800000000003</v>
      </c>
      <c r="C2499">
        <v>-10</v>
      </c>
    </row>
    <row r="2500" spans="1:3" x14ac:dyDescent="0.25">
      <c r="A2500" t="s">
        <v>2865</v>
      </c>
      <c r="B2500" s="6">
        <v>2281.0909999999999</v>
      </c>
      <c r="C2500">
        <v>-9</v>
      </c>
    </row>
    <row r="2501" spans="1:3" x14ac:dyDescent="0.25">
      <c r="A2501" t="s">
        <v>2866</v>
      </c>
      <c r="B2501" s="6">
        <v>2281.0909999999999</v>
      </c>
      <c r="C2501">
        <v>-10</v>
      </c>
    </row>
    <row r="2502" spans="1:3" x14ac:dyDescent="0.25">
      <c r="A2502" t="s">
        <v>2867</v>
      </c>
      <c r="B2502" s="6">
        <v>2790.319</v>
      </c>
      <c r="C2502">
        <v>-11</v>
      </c>
    </row>
    <row r="2503" spans="1:3" x14ac:dyDescent="0.25">
      <c r="A2503" t="s">
        <v>2868</v>
      </c>
      <c r="B2503" s="6">
        <v>2087</v>
      </c>
      <c r="C2503">
        <v>-8</v>
      </c>
    </row>
    <row r="2504" spans="1:3" x14ac:dyDescent="0.25">
      <c r="A2504" t="s">
        <v>2869</v>
      </c>
      <c r="B2504" s="6">
        <v>2379.1800000000003</v>
      </c>
      <c r="C2504">
        <v>-10</v>
      </c>
    </row>
    <row r="2505" spans="1:3" x14ac:dyDescent="0.25">
      <c r="A2505" t="s">
        <v>2870</v>
      </c>
      <c r="B2505" s="6">
        <v>2087</v>
      </c>
      <c r="C2505">
        <v>-8</v>
      </c>
    </row>
    <row r="2506" spans="1:3" x14ac:dyDescent="0.25">
      <c r="A2506" t="s">
        <v>2871</v>
      </c>
      <c r="B2506" s="6">
        <v>2185.0889999999999</v>
      </c>
      <c r="C2506">
        <v>-9</v>
      </c>
    </row>
    <row r="2507" spans="1:3" x14ac:dyDescent="0.25">
      <c r="A2507" t="s">
        <v>2872</v>
      </c>
      <c r="B2507" s="6">
        <v>2185.0889999999999</v>
      </c>
      <c r="C2507">
        <v>-9</v>
      </c>
    </row>
    <row r="2508" spans="1:3" x14ac:dyDescent="0.25">
      <c r="A2508" t="s">
        <v>2873</v>
      </c>
      <c r="B2508" s="6">
        <v>2548.2270000000003</v>
      </c>
      <c r="C2508">
        <v>-10</v>
      </c>
    </row>
    <row r="2509" spans="1:3" x14ac:dyDescent="0.25">
      <c r="A2509" t="s">
        <v>2874</v>
      </c>
      <c r="B2509" s="6">
        <v>2548.2270000000003</v>
      </c>
      <c r="C2509">
        <v>-11</v>
      </c>
    </row>
    <row r="2510" spans="1:3" x14ac:dyDescent="0.25">
      <c r="A2510" t="s">
        <v>2875</v>
      </c>
      <c r="B2510" s="6">
        <v>2281.0909999999999</v>
      </c>
      <c r="C2510">
        <v>-9</v>
      </c>
    </row>
    <row r="2511" spans="1:3" x14ac:dyDescent="0.25">
      <c r="A2511" t="s">
        <v>2876</v>
      </c>
      <c r="B2511" s="6">
        <v>2185.0889999999999</v>
      </c>
      <c r="C2511">
        <v>-9</v>
      </c>
    </row>
    <row r="2512" spans="1:3" x14ac:dyDescent="0.25">
      <c r="A2512" t="s">
        <v>2877</v>
      </c>
      <c r="B2512" s="6">
        <v>2185.0889999999999</v>
      </c>
      <c r="C2512">
        <v>-9</v>
      </c>
    </row>
    <row r="2513" spans="1:3" x14ac:dyDescent="0.25">
      <c r="A2513" t="s">
        <v>2878</v>
      </c>
      <c r="B2513" s="6">
        <v>2379.1800000000003</v>
      </c>
      <c r="C2513">
        <v>-10</v>
      </c>
    </row>
    <row r="2514" spans="1:3" x14ac:dyDescent="0.25">
      <c r="A2514" t="s">
        <v>2879</v>
      </c>
      <c r="B2514" s="6">
        <v>2185.0889999999999</v>
      </c>
      <c r="C2514">
        <v>-9</v>
      </c>
    </row>
    <row r="2515" spans="1:3" x14ac:dyDescent="0.25">
      <c r="A2515" t="s">
        <v>2880</v>
      </c>
      <c r="B2515" s="6">
        <v>2379.1800000000003</v>
      </c>
      <c r="C2515">
        <v>-10</v>
      </c>
    </row>
    <row r="2516" spans="1:3" x14ac:dyDescent="0.25">
      <c r="A2516" t="s">
        <v>2881</v>
      </c>
      <c r="B2516" s="6">
        <v>2379.1800000000003</v>
      </c>
      <c r="C2516">
        <v>-10</v>
      </c>
    </row>
    <row r="2517" spans="1:3" x14ac:dyDescent="0.25">
      <c r="A2517" t="s">
        <v>2882</v>
      </c>
      <c r="B2517" s="6">
        <v>2281.0909999999999</v>
      </c>
      <c r="C2517">
        <v>-10</v>
      </c>
    </row>
    <row r="2518" spans="1:3" x14ac:dyDescent="0.25">
      <c r="A2518" t="s">
        <v>2883</v>
      </c>
      <c r="B2518" s="6">
        <v>2185.0889999999999</v>
      </c>
      <c r="C2518">
        <v>-8</v>
      </c>
    </row>
    <row r="2519" spans="1:3" x14ac:dyDescent="0.25">
      <c r="A2519" t="s">
        <v>2884</v>
      </c>
      <c r="B2519" s="6">
        <v>2281.0909999999999</v>
      </c>
      <c r="C2519">
        <v>-10</v>
      </c>
    </row>
    <row r="2520" spans="1:3" x14ac:dyDescent="0.25">
      <c r="A2520" t="s">
        <v>2885</v>
      </c>
      <c r="B2520" s="6">
        <v>2185.0889999999999</v>
      </c>
      <c r="C2520">
        <v>-9</v>
      </c>
    </row>
    <row r="2521" spans="1:3" x14ac:dyDescent="0.25">
      <c r="A2521" t="s">
        <v>2886</v>
      </c>
      <c r="B2521" s="6">
        <v>2185.0889999999999</v>
      </c>
      <c r="C2521">
        <v>-9</v>
      </c>
    </row>
    <row r="2522" spans="1:3" x14ac:dyDescent="0.25">
      <c r="A2522" t="s">
        <v>2887</v>
      </c>
      <c r="B2522" s="6">
        <v>2087</v>
      </c>
      <c r="C2522">
        <v>-8</v>
      </c>
    </row>
    <row r="2523" spans="1:3" x14ac:dyDescent="0.25">
      <c r="A2523" t="s">
        <v>2888</v>
      </c>
      <c r="B2523" s="6">
        <v>2185.0889999999999</v>
      </c>
      <c r="C2523">
        <v>-9</v>
      </c>
    </row>
    <row r="2524" spans="1:3" x14ac:dyDescent="0.25">
      <c r="A2524" t="s">
        <v>2889</v>
      </c>
      <c r="B2524" s="6">
        <v>1988.9109999999998</v>
      </c>
      <c r="C2524">
        <v>-8</v>
      </c>
    </row>
    <row r="2525" spans="1:3" x14ac:dyDescent="0.25">
      <c r="A2525" t="s">
        <v>2890</v>
      </c>
      <c r="B2525" s="6">
        <v>1892.9090000000001</v>
      </c>
      <c r="C2525">
        <v>-8</v>
      </c>
    </row>
    <row r="2526" spans="1:3" x14ac:dyDescent="0.25">
      <c r="A2526" t="s">
        <v>2891</v>
      </c>
      <c r="B2526" s="6">
        <v>1988.9109999999998</v>
      </c>
      <c r="C2526">
        <v>-8</v>
      </c>
    </row>
    <row r="2527" spans="1:3" x14ac:dyDescent="0.25">
      <c r="A2527" t="s">
        <v>2892</v>
      </c>
      <c r="B2527" s="6">
        <v>2281.0909999999999</v>
      </c>
      <c r="C2527">
        <v>-10</v>
      </c>
    </row>
    <row r="2528" spans="1:3" x14ac:dyDescent="0.25">
      <c r="A2528" t="s">
        <v>2893</v>
      </c>
      <c r="B2528" s="6">
        <v>2087</v>
      </c>
      <c r="C2528">
        <v>-8</v>
      </c>
    </row>
    <row r="2529" spans="1:3" x14ac:dyDescent="0.25">
      <c r="A2529" t="s">
        <v>2894</v>
      </c>
      <c r="B2529" s="6">
        <v>2379.1800000000003</v>
      </c>
      <c r="C2529">
        <v>-10</v>
      </c>
    </row>
    <row r="2530" spans="1:3" x14ac:dyDescent="0.25">
      <c r="A2530" t="s">
        <v>2895</v>
      </c>
      <c r="B2530" s="6">
        <v>2379.1800000000003</v>
      </c>
      <c r="C2530">
        <v>-10</v>
      </c>
    </row>
    <row r="2531" spans="1:3" x14ac:dyDescent="0.25">
      <c r="A2531" t="s">
        <v>2896</v>
      </c>
      <c r="B2531" s="6">
        <v>2185.0889999999999</v>
      </c>
      <c r="C2531">
        <v>-9</v>
      </c>
    </row>
    <row r="2532" spans="1:3" x14ac:dyDescent="0.25">
      <c r="A2532" t="s">
        <v>2897</v>
      </c>
      <c r="B2532" s="6">
        <v>2087</v>
      </c>
      <c r="C2532">
        <v>-8</v>
      </c>
    </row>
    <row r="2533" spans="1:3" x14ac:dyDescent="0.25">
      <c r="A2533" t="s">
        <v>2898</v>
      </c>
      <c r="B2533" s="6">
        <v>2185.0889999999999</v>
      </c>
      <c r="C2533">
        <v>-9</v>
      </c>
    </row>
    <row r="2534" spans="1:3" x14ac:dyDescent="0.25">
      <c r="A2534" t="s">
        <v>2899</v>
      </c>
      <c r="B2534" s="6">
        <v>2281.0909999999999</v>
      </c>
      <c r="C2534">
        <v>-9</v>
      </c>
    </row>
    <row r="2535" spans="1:3" x14ac:dyDescent="0.25">
      <c r="A2535" t="s">
        <v>2900</v>
      </c>
      <c r="B2535" s="6">
        <v>2185.0889999999999</v>
      </c>
      <c r="C2535">
        <v>-8</v>
      </c>
    </row>
    <row r="2536" spans="1:3" x14ac:dyDescent="0.25">
      <c r="A2536" t="s">
        <v>2901</v>
      </c>
      <c r="B2536" s="6">
        <v>2790.319</v>
      </c>
      <c r="C2536">
        <v>-11</v>
      </c>
    </row>
    <row r="2537" spans="1:3" x14ac:dyDescent="0.25">
      <c r="A2537" t="s">
        <v>2902</v>
      </c>
      <c r="B2537" s="6">
        <v>1988.9109999999998</v>
      </c>
      <c r="C2537">
        <v>-8</v>
      </c>
    </row>
    <row r="2538" spans="1:3" x14ac:dyDescent="0.25">
      <c r="A2538" t="s">
        <v>2903</v>
      </c>
      <c r="B2538" s="6">
        <v>1988.9109999999998</v>
      </c>
      <c r="C2538">
        <v>-8</v>
      </c>
    </row>
    <row r="2539" spans="1:3" x14ac:dyDescent="0.25">
      <c r="A2539" t="s">
        <v>2904</v>
      </c>
      <c r="B2539" s="6">
        <v>2087</v>
      </c>
      <c r="C2539">
        <v>-8</v>
      </c>
    </row>
    <row r="2540" spans="1:3" x14ac:dyDescent="0.25">
      <c r="A2540" t="s">
        <v>2905</v>
      </c>
      <c r="B2540" s="6">
        <v>1988.9109999999998</v>
      </c>
      <c r="C2540">
        <v>-8</v>
      </c>
    </row>
    <row r="2541" spans="1:3" x14ac:dyDescent="0.25">
      <c r="A2541" t="s">
        <v>2906</v>
      </c>
      <c r="B2541" s="6">
        <v>2087</v>
      </c>
      <c r="C2541">
        <v>-8</v>
      </c>
    </row>
    <row r="2542" spans="1:3" x14ac:dyDescent="0.25">
      <c r="A2542" t="s">
        <v>2907</v>
      </c>
      <c r="B2542" s="6">
        <v>2087</v>
      </c>
      <c r="C2542">
        <v>-8</v>
      </c>
    </row>
    <row r="2543" spans="1:3" x14ac:dyDescent="0.25">
      <c r="A2543" t="s">
        <v>2908</v>
      </c>
      <c r="B2543" s="6">
        <v>2087</v>
      </c>
      <c r="C2543">
        <v>-8</v>
      </c>
    </row>
    <row r="2544" spans="1:3" x14ac:dyDescent="0.25">
      <c r="A2544" t="s">
        <v>2909</v>
      </c>
      <c r="B2544" s="6">
        <v>2087</v>
      </c>
      <c r="C2544">
        <v>-8</v>
      </c>
    </row>
    <row r="2545" spans="1:3" x14ac:dyDescent="0.25">
      <c r="A2545" t="s">
        <v>2910</v>
      </c>
      <c r="B2545" s="6">
        <v>2087</v>
      </c>
      <c r="C2545">
        <v>-8</v>
      </c>
    </row>
    <row r="2546" spans="1:3" x14ac:dyDescent="0.25">
      <c r="A2546" t="s">
        <v>2911</v>
      </c>
      <c r="B2546" s="6">
        <v>2087</v>
      </c>
      <c r="C2546">
        <v>-9</v>
      </c>
    </row>
    <row r="2547" spans="1:3" x14ac:dyDescent="0.25">
      <c r="A2547" t="s">
        <v>2912</v>
      </c>
      <c r="B2547" s="6">
        <v>1892.9090000000001</v>
      </c>
      <c r="C2547">
        <v>-7</v>
      </c>
    </row>
    <row r="2548" spans="1:3" x14ac:dyDescent="0.25">
      <c r="A2548" t="s">
        <v>2913</v>
      </c>
      <c r="B2548" s="6">
        <v>2281.0909999999999</v>
      </c>
      <c r="C2548">
        <v>-10</v>
      </c>
    </row>
    <row r="2549" spans="1:3" x14ac:dyDescent="0.25">
      <c r="A2549" t="s">
        <v>2914</v>
      </c>
      <c r="B2549" s="6">
        <v>2379.1800000000003</v>
      </c>
      <c r="C2549">
        <v>-10</v>
      </c>
    </row>
    <row r="2550" spans="1:3" x14ac:dyDescent="0.25">
      <c r="A2550" t="s">
        <v>2915</v>
      </c>
      <c r="B2550" s="6">
        <v>2281.0909999999999</v>
      </c>
      <c r="C2550">
        <v>-9</v>
      </c>
    </row>
    <row r="2551" spans="1:3" x14ac:dyDescent="0.25">
      <c r="A2551" t="s">
        <v>2916</v>
      </c>
      <c r="B2551" s="6">
        <v>2281.0909999999999</v>
      </c>
      <c r="C2551">
        <v>-9</v>
      </c>
    </row>
    <row r="2552" spans="1:3" x14ac:dyDescent="0.25">
      <c r="A2552" t="s">
        <v>2917</v>
      </c>
      <c r="B2552" s="6">
        <v>2087</v>
      </c>
      <c r="C2552">
        <v>-8</v>
      </c>
    </row>
    <row r="2553" spans="1:3" x14ac:dyDescent="0.25">
      <c r="A2553" t="s">
        <v>2918</v>
      </c>
      <c r="B2553" s="6">
        <v>2087</v>
      </c>
      <c r="C2553">
        <v>-8</v>
      </c>
    </row>
    <row r="2554" spans="1:3" x14ac:dyDescent="0.25">
      <c r="A2554" t="s">
        <v>2919</v>
      </c>
      <c r="B2554" s="6">
        <v>2548.2270000000003</v>
      </c>
      <c r="C2554">
        <v>-10</v>
      </c>
    </row>
    <row r="2555" spans="1:3" x14ac:dyDescent="0.25">
      <c r="A2555" t="s">
        <v>2920</v>
      </c>
      <c r="B2555" s="6">
        <v>2087</v>
      </c>
      <c r="C2555">
        <v>-8</v>
      </c>
    </row>
    <row r="2556" spans="1:3" x14ac:dyDescent="0.25">
      <c r="A2556" t="s">
        <v>2921</v>
      </c>
      <c r="B2556" s="6">
        <v>1988.9109999999998</v>
      </c>
      <c r="C2556">
        <v>-8</v>
      </c>
    </row>
    <row r="2557" spans="1:3" x14ac:dyDescent="0.25">
      <c r="A2557" t="s">
        <v>2922</v>
      </c>
      <c r="B2557" s="6">
        <v>2087</v>
      </c>
      <c r="C2557">
        <v>-8</v>
      </c>
    </row>
    <row r="2558" spans="1:3" x14ac:dyDescent="0.25">
      <c r="A2558" t="s">
        <v>2923</v>
      </c>
      <c r="B2558" s="6">
        <v>2185.0889999999999</v>
      </c>
      <c r="C2558">
        <v>-9</v>
      </c>
    </row>
    <row r="2559" spans="1:3" x14ac:dyDescent="0.25">
      <c r="A2559" t="s">
        <v>2924</v>
      </c>
      <c r="B2559" s="6">
        <v>2185.0889999999999</v>
      </c>
      <c r="C2559">
        <v>-9</v>
      </c>
    </row>
    <row r="2560" spans="1:3" x14ac:dyDescent="0.25">
      <c r="A2560" t="s">
        <v>2925</v>
      </c>
      <c r="B2560" s="6">
        <v>2087</v>
      </c>
      <c r="C2560">
        <v>-9</v>
      </c>
    </row>
    <row r="2561" spans="1:3" x14ac:dyDescent="0.25">
      <c r="A2561" t="s">
        <v>2926</v>
      </c>
      <c r="B2561" s="6">
        <v>2185.0889999999999</v>
      </c>
      <c r="C2561">
        <v>-9</v>
      </c>
    </row>
    <row r="2562" spans="1:3" x14ac:dyDescent="0.25">
      <c r="A2562" t="s">
        <v>2927</v>
      </c>
      <c r="B2562" s="6">
        <v>2087</v>
      </c>
      <c r="C2562">
        <v>-9</v>
      </c>
    </row>
    <row r="2563" spans="1:3" x14ac:dyDescent="0.25">
      <c r="A2563" t="s">
        <v>2927</v>
      </c>
      <c r="B2563" s="6">
        <v>2087</v>
      </c>
      <c r="C2563">
        <v>-8</v>
      </c>
    </row>
    <row r="2564" spans="1:3" x14ac:dyDescent="0.25">
      <c r="A2564" t="s">
        <v>2928</v>
      </c>
      <c r="B2564" s="6">
        <v>2087</v>
      </c>
      <c r="C2564">
        <v>-9</v>
      </c>
    </row>
    <row r="2565" spans="1:3" x14ac:dyDescent="0.25">
      <c r="A2565" t="s">
        <v>2929</v>
      </c>
      <c r="B2565" s="6">
        <v>1988.9109999999998</v>
      </c>
      <c r="C2565">
        <v>-8</v>
      </c>
    </row>
    <row r="2566" spans="1:3" x14ac:dyDescent="0.25">
      <c r="A2566" t="s">
        <v>2930</v>
      </c>
      <c r="B2566" s="6">
        <v>2087</v>
      </c>
      <c r="C2566">
        <v>-8</v>
      </c>
    </row>
    <row r="2567" spans="1:3" x14ac:dyDescent="0.25">
      <c r="A2567" t="s">
        <v>2931</v>
      </c>
      <c r="B2567" s="6">
        <v>2185.0889999999999</v>
      </c>
      <c r="C2567">
        <v>-9</v>
      </c>
    </row>
    <row r="2568" spans="1:3" x14ac:dyDescent="0.25">
      <c r="A2568" t="s">
        <v>2932</v>
      </c>
      <c r="B2568" s="6">
        <v>1892.9090000000001</v>
      </c>
      <c r="C2568">
        <v>-8</v>
      </c>
    </row>
    <row r="2569" spans="1:3" x14ac:dyDescent="0.25">
      <c r="A2569" t="s">
        <v>2933</v>
      </c>
      <c r="B2569" s="6">
        <v>1988.9109999999998</v>
      </c>
      <c r="C2569">
        <v>-8</v>
      </c>
    </row>
    <row r="2570" spans="1:3" x14ac:dyDescent="0.25">
      <c r="A2570" t="s">
        <v>2934</v>
      </c>
      <c r="B2570" s="6">
        <v>2185.0889999999999</v>
      </c>
      <c r="C2570">
        <v>-8</v>
      </c>
    </row>
    <row r="2571" spans="1:3" x14ac:dyDescent="0.25">
      <c r="A2571" t="s">
        <v>2935</v>
      </c>
      <c r="B2571" s="6">
        <v>2790.319</v>
      </c>
      <c r="C2571">
        <v>-11</v>
      </c>
    </row>
    <row r="2572" spans="1:3" x14ac:dyDescent="0.25">
      <c r="A2572" t="s">
        <v>2936</v>
      </c>
      <c r="B2572" s="6">
        <v>2790.319</v>
      </c>
      <c r="C2572">
        <v>-11</v>
      </c>
    </row>
    <row r="2573" spans="1:3" x14ac:dyDescent="0.25">
      <c r="A2573" t="s">
        <v>2937</v>
      </c>
      <c r="B2573" s="6">
        <v>2185.0889999999999</v>
      </c>
      <c r="C2573">
        <v>-8</v>
      </c>
    </row>
    <row r="2574" spans="1:3" x14ac:dyDescent="0.25">
      <c r="A2574" t="s">
        <v>2938</v>
      </c>
      <c r="B2574" s="6">
        <v>2185.0889999999999</v>
      </c>
      <c r="C2574">
        <v>-8</v>
      </c>
    </row>
    <row r="2575" spans="1:3" x14ac:dyDescent="0.25">
      <c r="A2575" t="s">
        <v>2939</v>
      </c>
      <c r="B2575" s="6">
        <v>1988.9109999999998</v>
      </c>
      <c r="C2575">
        <v>-8</v>
      </c>
    </row>
    <row r="2576" spans="1:3" x14ac:dyDescent="0.25">
      <c r="A2576" t="s">
        <v>2940</v>
      </c>
      <c r="B2576" s="6">
        <v>2281.0909999999999</v>
      </c>
      <c r="C2576">
        <v>-10</v>
      </c>
    </row>
    <row r="2577" spans="1:3" x14ac:dyDescent="0.25">
      <c r="A2577" t="s">
        <v>2941</v>
      </c>
      <c r="B2577" s="6">
        <v>2087</v>
      </c>
      <c r="C2577">
        <v>-9</v>
      </c>
    </row>
    <row r="2578" spans="1:3" x14ac:dyDescent="0.25">
      <c r="A2578" t="s">
        <v>2942</v>
      </c>
      <c r="B2578" s="6">
        <v>2087</v>
      </c>
      <c r="C2578">
        <v>-8</v>
      </c>
    </row>
    <row r="2579" spans="1:3" x14ac:dyDescent="0.25">
      <c r="A2579" t="s">
        <v>2943</v>
      </c>
      <c r="B2579" s="6">
        <v>1988.9109999999998</v>
      </c>
      <c r="C2579">
        <v>-8</v>
      </c>
    </row>
    <row r="2580" spans="1:3" x14ac:dyDescent="0.25">
      <c r="A2580" t="s">
        <v>2944</v>
      </c>
      <c r="B2580" s="6">
        <v>1988.9109999999998</v>
      </c>
      <c r="C2580">
        <v>-8</v>
      </c>
    </row>
    <row r="2581" spans="1:3" x14ac:dyDescent="0.25">
      <c r="A2581" t="s">
        <v>2945</v>
      </c>
      <c r="B2581" s="6">
        <v>2087</v>
      </c>
      <c r="C2581">
        <v>-8</v>
      </c>
    </row>
    <row r="2582" spans="1:3" x14ac:dyDescent="0.25">
      <c r="A2582" t="s">
        <v>2946</v>
      </c>
      <c r="B2582" s="6">
        <v>1988.9109999999998</v>
      </c>
      <c r="C2582">
        <v>-8</v>
      </c>
    </row>
    <row r="2583" spans="1:3" x14ac:dyDescent="0.25">
      <c r="A2583" t="s">
        <v>2947</v>
      </c>
      <c r="B2583" s="6">
        <v>2087</v>
      </c>
      <c r="C2583">
        <v>-8</v>
      </c>
    </row>
    <row r="2584" spans="1:3" x14ac:dyDescent="0.25">
      <c r="A2584" t="s">
        <v>2948</v>
      </c>
      <c r="B2584" s="6">
        <v>1988.9109999999998</v>
      </c>
      <c r="C2584">
        <v>-8</v>
      </c>
    </row>
    <row r="2585" spans="1:3" x14ac:dyDescent="0.25">
      <c r="A2585" t="s">
        <v>2949</v>
      </c>
      <c r="B2585" s="6">
        <v>1988.9109999999998</v>
      </c>
      <c r="C2585">
        <v>-8</v>
      </c>
    </row>
    <row r="2586" spans="1:3" x14ac:dyDescent="0.25">
      <c r="A2586" t="s">
        <v>2950</v>
      </c>
      <c r="B2586" s="6">
        <v>2087</v>
      </c>
      <c r="C2586">
        <v>-8</v>
      </c>
    </row>
    <row r="2587" spans="1:3" x14ac:dyDescent="0.25">
      <c r="A2587" t="s">
        <v>2951</v>
      </c>
      <c r="B2587" s="6">
        <v>2185.0889999999999</v>
      </c>
      <c r="C2587">
        <v>-9</v>
      </c>
    </row>
    <row r="2588" spans="1:3" x14ac:dyDescent="0.25">
      <c r="A2588" t="s">
        <v>2952</v>
      </c>
      <c r="B2588" s="6">
        <v>2379.1800000000003</v>
      </c>
      <c r="C2588">
        <v>-10</v>
      </c>
    </row>
    <row r="2589" spans="1:3" x14ac:dyDescent="0.25">
      <c r="A2589" t="s">
        <v>2953</v>
      </c>
      <c r="B2589" s="6">
        <v>2379.1800000000003</v>
      </c>
      <c r="C2589">
        <v>-10</v>
      </c>
    </row>
    <row r="2590" spans="1:3" x14ac:dyDescent="0.25">
      <c r="A2590" t="s">
        <v>2954</v>
      </c>
      <c r="B2590" s="6">
        <v>2790.319</v>
      </c>
      <c r="C2590">
        <v>-12</v>
      </c>
    </row>
    <row r="2591" spans="1:3" x14ac:dyDescent="0.25">
      <c r="A2591" t="s">
        <v>2955</v>
      </c>
      <c r="B2591" s="6">
        <v>1988.9109999999998</v>
      </c>
      <c r="C2591">
        <v>-8</v>
      </c>
    </row>
    <row r="2592" spans="1:3" x14ac:dyDescent="0.25">
      <c r="A2592" t="s">
        <v>2956</v>
      </c>
      <c r="B2592" s="6">
        <v>2281.0909999999999</v>
      </c>
      <c r="C2592">
        <v>-9</v>
      </c>
    </row>
    <row r="2593" spans="1:3" x14ac:dyDescent="0.25">
      <c r="A2593" t="s">
        <v>2957</v>
      </c>
      <c r="B2593" s="6">
        <v>1988.9109999999998</v>
      </c>
      <c r="C2593">
        <v>-8</v>
      </c>
    </row>
    <row r="2594" spans="1:3" x14ac:dyDescent="0.25">
      <c r="A2594" t="s">
        <v>2958</v>
      </c>
      <c r="B2594" s="6">
        <v>2185.0889999999999</v>
      </c>
      <c r="C2594">
        <v>-9</v>
      </c>
    </row>
    <row r="2595" spans="1:3" x14ac:dyDescent="0.25">
      <c r="A2595" t="s">
        <v>2959</v>
      </c>
      <c r="B2595" s="6">
        <v>2185.0889999999999</v>
      </c>
      <c r="C2595">
        <v>-9</v>
      </c>
    </row>
    <row r="2596" spans="1:3" x14ac:dyDescent="0.25">
      <c r="A2596" t="s">
        <v>2960</v>
      </c>
      <c r="B2596" s="6">
        <v>2379.1800000000003</v>
      </c>
      <c r="C2596">
        <v>-10</v>
      </c>
    </row>
    <row r="2597" spans="1:3" x14ac:dyDescent="0.25">
      <c r="A2597" t="s">
        <v>2961</v>
      </c>
      <c r="B2597" s="6">
        <v>2087</v>
      </c>
      <c r="C2597">
        <v>-8</v>
      </c>
    </row>
    <row r="2598" spans="1:3" x14ac:dyDescent="0.25">
      <c r="A2598" t="s">
        <v>2962</v>
      </c>
      <c r="B2598" s="6">
        <v>2087</v>
      </c>
      <c r="C2598">
        <v>-8</v>
      </c>
    </row>
    <row r="2599" spans="1:3" x14ac:dyDescent="0.25">
      <c r="A2599" t="s">
        <v>2963</v>
      </c>
      <c r="B2599" s="6">
        <v>2087</v>
      </c>
      <c r="C2599">
        <v>-8</v>
      </c>
    </row>
    <row r="2600" spans="1:3" x14ac:dyDescent="0.25">
      <c r="A2600" t="s">
        <v>2964</v>
      </c>
      <c r="B2600" s="6">
        <v>2087</v>
      </c>
      <c r="C2600">
        <v>-8</v>
      </c>
    </row>
    <row r="2601" spans="1:3" x14ac:dyDescent="0.25">
      <c r="A2601" t="s">
        <v>2965</v>
      </c>
      <c r="B2601" s="6">
        <v>2548.2270000000003</v>
      </c>
      <c r="C2601">
        <v>-10</v>
      </c>
    </row>
    <row r="2602" spans="1:3" x14ac:dyDescent="0.25">
      <c r="A2602" t="s">
        <v>2966</v>
      </c>
      <c r="B2602" s="6">
        <v>2185.0889999999999</v>
      </c>
      <c r="C2602">
        <v>-8</v>
      </c>
    </row>
    <row r="2603" spans="1:3" x14ac:dyDescent="0.25">
      <c r="A2603" t="s">
        <v>2967</v>
      </c>
      <c r="B2603" s="6">
        <v>2185.0889999999999</v>
      </c>
      <c r="C2603">
        <v>-9</v>
      </c>
    </row>
    <row r="2604" spans="1:3" x14ac:dyDescent="0.25">
      <c r="A2604" t="s">
        <v>2968</v>
      </c>
      <c r="B2604" s="6">
        <v>2087</v>
      </c>
      <c r="C2604">
        <v>-8</v>
      </c>
    </row>
    <row r="2605" spans="1:3" x14ac:dyDescent="0.25">
      <c r="A2605" t="s">
        <v>2969</v>
      </c>
      <c r="B2605" s="6">
        <v>2185.0889999999999</v>
      </c>
      <c r="C2605">
        <v>-9</v>
      </c>
    </row>
    <row r="2606" spans="1:3" x14ac:dyDescent="0.25">
      <c r="A2606" t="s">
        <v>2970</v>
      </c>
      <c r="B2606" s="6">
        <v>2379.1800000000003</v>
      </c>
      <c r="C2606">
        <v>-10</v>
      </c>
    </row>
    <row r="2607" spans="1:3" x14ac:dyDescent="0.25">
      <c r="A2607" t="s">
        <v>2971</v>
      </c>
      <c r="B2607" s="6">
        <v>2548.2270000000003</v>
      </c>
      <c r="C2607">
        <v>-11</v>
      </c>
    </row>
    <row r="2608" spans="1:3" x14ac:dyDescent="0.25">
      <c r="A2608" t="s">
        <v>2972</v>
      </c>
      <c r="B2608" s="6">
        <v>2087</v>
      </c>
      <c r="C2608">
        <v>-8</v>
      </c>
    </row>
    <row r="2609" spans="1:3" x14ac:dyDescent="0.25">
      <c r="A2609" t="s">
        <v>2973</v>
      </c>
      <c r="B2609" s="6">
        <v>1988.9109999999998</v>
      </c>
      <c r="C2609">
        <v>-8</v>
      </c>
    </row>
    <row r="2610" spans="1:3" x14ac:dyDescent="0.25">
      <c r="A2610" t="s">
        <v>2974</v>
      </c>
      <c r="B2610" s="6">
        <v>2087</v>
      </c>
      <c r="C2610">
        <v>-9</v>
      </c>
    </row>
    <row r="2611" spans="1:3" x14ac:dyDescent="0.25">
      <c r="A2611" t="s">
        <v>2975</v>
      </c>
      <c r="B2611" s="6">
        <v>2281.0909999999999</v>
      </c>
      <c r="C2611">
        <v>-9</v>
      </c>
    </row>
    <row r="2612" spans="1:3" x14ac:dyDescent="0.25">
      <c r="A2612" t="s">
        <v>2976</v>
      </c>
      <c r="B2612" s="6">
        <v>1988.9109999999998</v>
      </c>
      <c r="C2612">
        <v>-8</v>
      </c>
    </row>
    <row r="2613" spans="1:3" x14ac:dyDescent="0.25">
      <c r="A2613" t="s">
        <v>2977</v>
      </c>
      <c r="B2613" s="6">
        <v>2087</v>
      </c>
      <c r="C2613">
        <v>-8</v>
      </c>
    </row>
    <row r="2614" spans="1:3" x14ac:dyDescent="0.25">
      <c r="A2614" t="s">
        <v>2978</v>
      </c>
      <c r="B2614" s="6">
        <v>2087</v>
      </c>
      <c r="C2614">
        <v>-8</v>
      </c>
    </row>
    <row r="2615" spans="1:3" x14ac:dyDescent="0.25">
      <c r="A2615" t="s">
        <v>2979</v>
      </c>
      <c r="B2615" s="6">
        <v>2790.319</v>
      </c>
      <c r="C2615">
        <v>-11</v>
      </c>
    </row>
    <row r="2616" spans="1:3" x14ac:dyDescent="0.25">
      <c r="A2616" t="s">
        <v>2980</v>
      </c>
      <c r="B2616" s="6">
        <v>1988.9109999999998</v>
      </c>
      <c r="C2616">
        <v>-8</v>
      </c>
    </row>
    <row r="2617" spans="1:3" x14ac:dyDescent="0.25">
      <c r="A2617" t="s">
        <v>2981</v>
      </c>
      <c r="B2617" s="6">
        <v>2185.0889999999999</v>
      </c>
      <c r="C2617">
        <v>-9</v>
      </c>
    </row>
    <row r="2618" spans="1:3" x14ac:dyDescent="0.25">
      <c r="A2618" t="s">
        <v>2982</v>
      </c>
      <c r="B2618" s="6">
        <v>2185.0889999999999</v>
      </c>
      <c r="C2618">
        <v>-9</v>
      </c>
    </row>
    <row r="2619" spans="1:3" x14ac:dyDescent="0.25">
      <c r="A2619" t="s">
        <v>2983</v>
      </c>
      <c r="B2619" s="6">
        <v>2185.0889999999999</v>
      </c>
      <c r="C2619">
        <v>-9</v>
      </c>
    </row>
    <row r="2620" spans="1:3" x14ac:dyDescent="0.25">
      <c r="A2620" t="s">
        <v>2984</v>
      </c>
      <c r="B2620" s="6">
        <v>2185.0889999999999</v>
      </c>
      <c r="C2620">
        <v>-9</v>
      </c>
    </row>
    <row r="2621" spans="1:3" x14ac:dyDescent="0.25">
      <c r="A2621" t="s">
        <v>2985</v>
      </c>
      <c r="B2621" s="6">
        <v>2281.0909999999999</v>
      </c>
      <c r="C2621">
        <v>-10</v>
      </c>
    </row>
    <row r="2622" spans="1:3" x14ac:dyDescent="0.25">
      <c r="A2622" t="s">
        <v>2986</v>
      </c>
      <c r="B2622" s="6">
        <v>2185.0889999999999</v>
      </c>
      <c r="C2622">
        <v>-9</v>
      </c>
    </row>
    <row r="2623" spans="1:3" x14ac:dyDescent="0.25">
      <c r="A2623" t="s">
        <v>2987</v>
      </c>
      <c r="B2623" s="6">
        <v>1988.9109999999998</v>
      </c>
      <c r="C2623">
        <v>-8</v>
      </c>
    </row>
    <row r="2624" spans="1:3" x14ac:dyDescent="0.25">
      <c r="A2624" t="s">
        <v>2988</v>
      </c>
      <c r="B2624" s="6">
        <v>2087</v>
      </c>
      <c r="C2624">
        <v>-8</v>
      </c>
    </row>
    <row r="2625" spans="1:3" x14ac:dyDescent="0.25">
      <c r="A2625" t="s">
        <v>2989</v>
      </c>
      <c r="B2625" s="6">
        <v>2281.0909999999999</v>
      </c>
      <c r="C2625">
        <v>-9</v>
      </c>
    </row>
    <row r="2626" spans="1:3" x14ac:dyDescent="0.25">
      <c r="A2626" t="s">
        <v>2990</v>
      </c>
      <c r="B2626" s="6">
        <v>2281.0909999999999</v>
      </c>
      <c r="C2626">
        <v>-10</v>
      </c>
    </row>
    <row r="2627" spans="1:3" x14ac:dyDescent="0.25">
      <c r="A2627" t="s">
        <v>2991</v>
      </c>
      <c r="B2627" s="6">
        <v>2087</v>
      </c>
      <c r="C2627">
        <v>-8</v>
      </c>
    </row>
    <row r="2628" spans="1:3" x14ac:dyDescent="0.25">
      <c r="A2628" t="s">
        <v>2992</v>
      </c>
      <c r="B2628" s="6">
        <v>2087</v>
      </c>
      <c r="C2628">
        <v>-8</v>
      </c>
    </row>
    <row r="2629" spans="1:3" x14ac:dyDescent="0.25">
      <c r="A2629" t="s">
        <v>2993</v>
      </c>
      <c r="B2629" s="6">
        <v>2087</v>
      </c>
      <c r="C2629">
        <v>-8</v>
      </c>
    </row>
    <row r="2630" spans="1:3" x14ac:dyDescent="0.25">
      <c r="A2630" t="s">
        <v>2994</v>
      </c>
      <c r="B2630" s="6">
        <v>2185.0889999999999</v>
      </c>
      <c r="C2630">
        <v>-9</v>
      </c>
    </row>
    <row r="2631" spans="1:3" x14ac:dyDescent="0.25">
      <c r="A2631" t="s">
        <v>2995</v>
      </c>
      <c r="B2631" s="6">
        <v>1892.9090000000001</v>
      </c>
      <c r="C2631">
        <v>-8</v>
      </c>
    </row>
    <row r="2632" spans="1:3" x14ac:dyDescent="0.25">
      <c r="A2632" t="s">
        <v>2996</v>
      </c>
      <c r="B2632" s="6">
        <v>2087</v>
      </c>
      <c r="C2632">
        <v>-8</v>
      </c>
    </row>
    <row r="2633" spans="1:3" x14ac:dyDescent="0.25">
      <c r="A2633" t="s">
        <v>2997</v>
      </c>
      <c r="B2633" s="6">
        <v>2087</v>
      </c>
      <c r="C2633">
        <v>-8</v>
      </c>
    </row>
    <row r="2634" spans="1:3" x14ac:dyDescent="0.25">
      <c r="A2634" t="s">
        <v>2998</v>
      </c>
      <c r="B2634" s="6">
        <v>2087</v>
      </c>
      <c r="C2634">
        <v>-8</v>
      </c>
    </row>
    <row r="2635" spans="1:3" x14ac:dyDescent="0.25">
      <c r="A2635" t="s">
        <v>2999</v>
      </c>
      <c r="B2635" s="6">
        <v>1892.9090000000001</v>
      </c>
      <c r="C2635">
        <v>-8</v>
      </c>
    </row>
    <row r="2636" spans="1:3" x14ac:dyDescent="0.25">
      <c r="A2636" t="s">
        <v>3000</v>
      </c>
      <c r="B2636" s="6">
        <v>1988.9109999999998</v>
      </c>
      <c r="C2636">
        <v>-8</v>
      </c>
    </row>
    <row r="2637" spans="1:3" x14ac:dyDescent="0.25">
      <c r="A2637" t="s">
        <v>3001</v>
      </c>
      <c r="B2637" s="6">
        <v>2087</v>
      </c>
      <c r="C2637">
        <v>-8</v>
      </c>
    </row>
    <row r="2638" spans="1:3" x14ac:dyDescent="0.25">
      <c r="A2638" t="s">
        <v>3002</v>
      </c>
      <c r="B2638" s="6">
        <v>2185.0889999999999</v>
      </c>
      <c r="C2638">
        <v>-9</v>
      </c>
    </row>
    <row r="2639" spans="1:3" x14ac:dyDescent="0.25">
      <c r="A2639" t="s">
        <v>3003</v>
      </c>
      <c r="B2639" s="6">
        <v>2379.1800000000003</v>
      </c>
      <c r="C2639">
        <v>-10</v>
      </c>
    </row>
    <row r="2640" spans="1:3" x14ac:dyDescent="0.25">
      <c r="A2640" t="s">
        <v>3004</v>
      </c>
      <c r="B2640" s="6">
        <v>2087</v>
      </c>
      <c r="C2640">
        <v>-8</v>
      </c>
    </row>
    <row r="2641" spans="1:3" x14ac:dyDescent="0.25">
      <c r="A2641" t="s">
        <v>3005</v>
      </c>
      <c r="B2641" s="6">
        <v>2087</v>
      </c>
      <c r="C2641">
        <v>-8</v>
      </c>
    </row>
    <row r="2642" spans="1:3" x14ac:dyDescent="0.25">
      <c r="A2642" t="s">
        <v>3006</v>
      </c>
      <c r="B2642" s="6">
        <v>2548.2270000000003</v>
      </c>
      <c r="C2642">
        <v>-10</v>
      </c>
    </row>
    <row r="2643" spans="1:3" x14ac:dyDescent="0.25">
      <c r="A2643" t="s">
        <v>3007</v>
      </c>
      <c r="B2643" s="6">
        <v>2185.0889999999999</v>
      </c>
      <c r="C2643">
        <v>-9</v>
      </c>
    </row>
    <row r="2644" spans="1:3" x14ac:dyDescent="0.25">
      <c r="A2644" t="s">
        <v>3008</v>
      </c>
      <c r="B2644" s="6">
        <v>2087</v>
      </c>
      <c r="C2644">
        <v>-9</v>
      </c>
    </row>
    <row r="2645" spans="1:3" x14ac:dyDescent="0.25">
      <c r="A2645" t="s">
        <v>3009</v>
      </c>
      <c r="B2645" s="6">
        <v>2087</v>
      </c>
      <c r="C2645">
        <v>-9</v>
      </c>
    </row>
    <row r="2646" spans="1:3" x14ac:dyDescent="0.25">
      <c r="A2646" t="s">
        <v>3010</v>
      </c>
      <c r="B2646" s="6">
        <v>2087</v>
      </c>
      <c r="C2646">
        <v>-9</v>
      </c>
    </row>
    <row r="2647" spans="1:3" x14ac:dyDescent="0.25">
      <c r="A2647" t="s">
        <v>3011</v>
      </c>
      <c r="B2647" s="6">
        <v>2185.0889999999999</v>
      </c>
      <c r="C2647">
        <v>-9</v>
      </c>
    </row>
    <row r="2648" spans="1:3" x14ac:dyDescent="0.25">
      <c r="A2648" t="s">
        <v>3012</v>
      </c>
      <c r="B2648" s="6">
        <v>1988.9109999999998</v>
      </c>
      <c r="C2648">
        <v>-8</v>
      </c>
    </row>
    <row r="2649" spans="1:3" x14ac:dyDescent="0.25">
      <c r="A2649" t="s">
        <v>3013</v>
      </c>
      <c r="B2649" s="6">
        <v>1988.9109999999998</v>
      </c>
      <c r="C2649">
        <v>-8</v>
      </c>
    </row>
    <row r="2650" spans="1:3" x14ac:dyDescent="0.25">
      <c r="A2650" t="s">
        <v>3014</v>
      </c>
      <c r="B2650" s="6">
        <v>2379.1800000000003</v>
      </c>
      <c r="C2650">
        <v>-10</v>
      </c>
    </row>
    <row r="2651" spans="1:3" x14ac:dyDescent="0.25">
      <c r="A2651" t="s">
        <v>3015</v>
      </c>
      <c r="B2651" s="6">
        <v>2281.0909999999999</v>
      </c>
      <c r="C2651">
        <v>-10</v>
      </c>
    </row>
    <row r="2652" spans="1:3" x14ac:dyDescent="0.25">
      <c r="A2652" t="s">
        <v>3016</v>
      </c>
      <c r="B2652" s="6">
        <v>2087</v>
      </c>
      <c r="C2652">
        <v>-8</v>
      </c>
    </row>
    <row r="2653" spans="1:3" x14ac:dyDescent="0.25">
      <c r="A2653" t="s">
        <v>3017</v>
      </c>
      <c r="B2653" s="6">
        <v>2379.1800000000003</v>
      </c>
      <c r="C2653">
        <v>-10</v>
      </c>
    </row>
    <row r="2654" spans="1:3" x14ac:dyDescent="0.25">
      <c r="A2654" t="s">
        <v>3018</v>
      </c>
      <c r="B2654" s="6">
        <v>2087</v>
      </c>
      <c r="C2654">
        <v>-8</v>
      </c>
    </row>
    <row r="2655" spans="1:3" x14ac:dyDescent="0.25">
      <c r="A2655" t="s">
        <v>3019</v>
      </c>
      <c r="B2655" s="6">
        <v>2087</v>
      </c>
      <c r="C2655">
        <v>-8</v>
      </c>
    </row>
    <row r="2656" spans="1:3" x14ac:dyDescent="0.25">
      <c r="A2656" t="s">
        <v>3020</v>
      </c>
      <c r="B2656" s="6">
        <v>2548.2270000000003</v>
      </c>
      <c r="C2656">
        <v>-10</v>
      </c>
    </row>
    <row r="2657" spans="1:3" x14ac:dyDescent="0.25">
      <c r="A2657" t="s">
        <v>3021</v>
      </c>
      <c r="B2657" s="6">
        <v>2087</v>
      </c>
      <c r="C2657">
        <v>-8</v>
      </c>
    </row>
    <row r="2658" spans="1:3" x14ac:dyDescent="0.25">
      <c r="A2658" t="s">
        <v>3022</v>
      </c>
      <c r="B2658" s="6">
        <v>1892.9090000000001</v>
      </c>
      <c r="C2658">
        <v>-7</v>
      </c>
    </row>
    <row r="2659" spans="1:3" x14ac:dyDescent="0.25">
      <c r="A2659" t="s">
        <v>3023</v>
      </c>
      <c r="B2659" s="6">
        <v>2281.0909999999999</v>
      </c>
      <c r="C2659">
        <v>-9</v>
      </c>
    </row>
    <row r="2660" spans="1:3" x14ac:dyDescent="0.25">
      <c r="A2660" t="s">
        <v>3024</v>
      </c>
      <c r="B2660" s="6">
        <v>2379.1800000000003</v>
      </c>
      <c r="C2660">
        <v>-10</v>
      </c>
    </row>
    <row r="2661" spans="1:3" x14ac:dyDescent="0.25">
      <c r="A2661" t="s">
        <v>3025</v>
      </c>
      <c r="B2661" s="6">
        <v>2087</v>
      </c>
      <c r="C2661">
        <v>-8</v>
      </c>
    </row>
    <row r="2662" spans="1:3" x14ac:dyDescent="0.25">
      <c r="A2662" t="s">
        <v>3026</v>
      </c>
      <c r="B2662" s="6">
        <v>2379.1800000000003</v>
      </c>
      <c r="C2662">
        <v>-10</v>
      </c>
    </row>
    <row r="2663" spans="1:3" x14ac:dyDescent="0.25">
      <c r="A2663" t="s">
        <v>3027</v>
      </c>
      <c r="B2663" s="6">
        <v>1988.9109999999998</v>
      </c>
      <c r="C2663">
        <v>-8</v>
      </c>
    </row>
    <row r="2664" spans="1:3" x14ac:dyDescent="0.25">
      <c r="A2664" t="s">
        <v>3028</v>
      </c>
      <c r="B2664" s="6">
        <v>2087</v>
      </c>
      <c r="C2664">
        <v>-8</v>
      </c>
    </row>
    <row r="2665" spans="1:3" x14ac:dyDescent="0.25">
      <c r="A2665" t="s">
        <v>3029</v>
      </c>
      <c r="B2665" s="6">
        <v>1988.9109999999998</v>
      </c>
      <c r="C2665">
        <v>-8</v>
      </c>
    </row>
    <row r="2666" spans="1:3" x14ac:dyDescent="0.25">
      <c r="A2666" t="s">
        <v>3030</v>
      </c>
      <c r="B2666" s="6">
        <v>2087</v>
      </c>
      <c r="C2666">
        <v>-8</v>
      </c>
    </row>
    <row r="2667" spans="1:3" x14ac:dyDescent="0.25">
      <c r="A2667" t="s">
        <v>3031</v>
      </c>
      <c r="B2667" s="6">
        <v>1892.9090000000001</v>
      </c>
      <c r="C2667">
        <v>-7</v>
      </c>
    </row>
    <row r="2668" spans="1:3" x14ac:dyDescent="0.25">
      <c r="A2668" t="s">
        <v>3032</v>
      </c>
      <c r="B2668" s="6">
        <v>2087</v>
      </c>
      <c r="C2668">
        <v>-9</v>
      </c>
    </row>
    <row r="2669" spans="1:3" x14ac:dyDescent="0.25">
      <c r="A2669" t="s">
        <v>3033</v>
      </c>
      <c r="B2669" s="6">
        <v>1892.9090000000001</v>
      </c>
      <c r="C2669">
        <v>-7</v>
      </c>
    </row>
    <row r="2670" spans="1:3" x14ac:dyDescent="0.25">
      <c r="A2670" t="s">
        <v>3034</v>
      </c>
      <c r="B2670" s="6">
        <v>1988.9109999999998</v>
      </c>
      <c r="C2670">
        <v>-8</v>
      </c>
    </row>
    <row r="2671" spans="1:3" x14ac:dyDescent="0.25">
      <c r="A2671" t="s">
        <v>3035</v>
      </c>
      <c r="B2671" s="6">
        <v>2087</v>
      </c>
      <c r="C2671">
        <v>-9</v>
      </c>
    </row>
    <row r="2672" spans="1:3" x14ac:dyDescent="0.25">
      <c r="A2672" t="s">
        <v>3036</v>
      </c>
      <c r="B2672" s="6">
        <v>2087</v>
      </c>
      <c r="C2672">
        <v>-9</v>
      </c>
    </row>
    <row r="2673" spans="1:3" x14ac:dyDescent="0.25">
      <c r="A2673" t="s">
        <v>3037</v>
      </c>
      <c r="B2673" s="6">
        <v>1988.9109999999998</v>
      </c>
      <c r="C2673">
        <v>-8</v>
      </c>
    </row>
    <row r="2674" spans="1:3" x14ac:dyDescent="0.25">
      <c r="A2674" t="s">
        <v>3038</v>
      </c>
      <c r="B2674" s="6">
        <v>1988.9109999999998</v>
      </c>
      <c r="C2674">
        <v>-8</v>
      </c>
    </row>
    <row r="2675" spans="1:3" x14ac:dyDescent="0.25">
      <c r="A2675" t="s">
        <v>3039</v>
      </c>
      <c r="B2675" s="6">
        <v>1988.9109999999998</v>
      </c>
      <c r="C2675">
        <v>-8</v>
      </c>
    </row>
    <row r="2676" spans="1:3" x14ac:dyDescent="0.25">
      <c r="A2676" t="s">
        <v>3040</v>
      </c>
      <c r="B2676" s="6">
        <v>1988.9109999999998</v>
      </c>
      <c r="C2676">
        <v>-8</v>
      </c>
    </row>
    <row r="2677" spans="1:3" x14ac:dyDescent="0.25">
      <c r="A2677" t="s">
        <v>3041</v>
      </c>
      <c r="B2677" s="6">
        <v>1988.9109999999998</v>
      </c>
      <c r="C2677">
        <v>-8</v>
      </c>
    </row>
    <row r="2678" spans="1:3" x14ac:dyDescent="0.25">
      <c r="A2678" t="s">
        <v>3042</v>
      </c>
      <c r="B2678" s="6">
        <v>1988.9109999999998</v>
      </c>
      <c r="C2678">
        <v>-8</v>
      </c>
    </row>
    <row r="2679" spans="1:3" x14ac:dyDescent="0.25">
      <c r="A2679" t="s">
        <v>3043</v>
      </c>
      <c r="B2679" s="6">
        <v>2087</v>
      </c>
      <c r="C2679">
        <v>-8</v>
      </c>
    </row>
    <row r="2680" spans="1:3" x14ac:dyDescent="0.25">
      <c r="A2680" t="s">
        <v>3044</v>
      </c>
      <c r="B2680" s="6">
        <v>2087</v>
      </c>
      <c r="C2680">
        <v>-8</v>
      </c>
    </row>
    <row r="2681" spans="1:3" x14ac:dyDescent="0.25">
      <c r="A2681" t="s">
        <v>3045</v>
      </c>
      <c r="B2681" s="6">
        <v>2087</v>
      </c>
      <c r="C2681">
        <v>-8</v>
      </c>
    </row>
    <row r="2682" spans="1:3" x14ac:dyDescent="0.25">
      <c r="A2682" t="s">
        <v>3046</v>
      </c>
      <c r="B2682" s="6">
        <v>2087</v>
      </c>
      <c r="C2682">
        <v>-9</v>
      </c>
    </row>
    <row r="2683" spans="1:3" x14ac:dyDescent="0.25">
      <c r="A2683" t="s">
        <v>3047</v>
      </c>
      <c r="B2683" s="6">
        <v>2548.2270000000003</v>
      </c>
      <c r="C2683">
        <v>-11</v>
      </c>
    </row>
    <row r="2684" spans="1:3" x14ac:dyDescent="0.25">
      <c r="A2684" t="s">
        <v>3048</v>
      </c>
      <c r="B2684" s="6">
        <v>1988.9109999999998</v>
      </c>
      <c r="C2684">
        <v>-8</v>
      </c>
    </row>
    <row r="2685" spans="1:3" x14ac:dyDescent="0.25">
      <c r="A2685" t="s">
        <v>3049</v>
      </c>
      <c r="B2685" s="6">
        <v>2087</v>
      </c>
      <c r="C2685">
        <v>-8</v>
      </c>
    </row>
    <row r="2686" spans="1:3" x14ac:dyDescent="0.25">
      <c r="A2686" t="s">
        <v>3050</v>
      </c>
      <c r="B2686" s="6">
        <v>2087</v>
      </c>
      <c r="C2686">
        <v>-9</v>
      </c>
    </row>
    <row r="2687" spans="1:3" x14ac:dyDescent="0.25">
      <c r="A2687" t="s">
        <v>3051</v>
      </c>
      <c r="B2687" s="6">
        <v>1988.9109999999998</v>
      </c>
      <c r="C2687">
        <v>-8</v>
      </c>
    </row>
    <row r="2688" spans="1:3" x14ac:dyDescent="0.25">
      <c r="A2688" t="s">
        <v>3052</v>
      </c>
      <c r="B2688" s="6">
        <v>2281.0909999999999</v>
      </c>
      <c r="C2688">
        <v>-9</v>
      </c>
    </row>
    <row r="2689" spans="1:3" x14ac:dyDescent="0.25">
      <c r="A2689" t="s">
        <v>3053</v>
      </c>
      <c r="B2689" s="6">
        <v>2087</v>
      </c>
      <c r="C2689">
        <v>-8</v>
      </c>
    </row>
    <row r="2690" spans="1:3" x14ac:dyDescent="0.25">
      <c r="A2690" t="s">
        <v>3054</v>
      </c>
      <c r="B2690" s="6">
        <v>2379.1800000000003</v>
      </c>
      <c r="C2690">
        <v>-10</v>
      </c>
    </row>
    <row r="2691" spans="1:3" x14ac:dyDescent="0.25">
      <c r="A2691" t="s">
        <v>3055</v>
      </c>
      <c r="B2691" s="6">
        <v>1988.9109999999998</v>
      </c>
      <c r="C2691">
        <v>-8</v>
      </c>
    </row>
    <row r="2692" spans="1:3" x14ac:dyDescent="0.25">
      <c r="A2692" t="s">
        <v>3056</v>
      </c>
      <c r="B2692" s="6">
        <v>2087</v>
      </c>
      <c r="C2692">
        <v>-8</v>
      </c>
    </row>
    <row r="2693" spans="1:3" x14ac:dyDescent="0.25">
      <c r="A2693" t="s">
        <v>3057</v>
      </c>
      <c r="B2693" s="6">
        <v>2185.0889999999999</v>
      </c>
      <c r="C2693">
        <v>-8</v>
      </c>
    </row>
    <row r="2694" spans="1:3" x14ac:dyDescent="0.25">
      <c r="A2694" t="s">
        <v>3058</v>
      </c>
      <c r="B2694" s="6">
        <v>2185.0889999999999</v>
      </c>
      <c r="C2694">
        <v>-9</v>
      </c>
    </row>
    <row r="2695" spans="1:3" x14ac:dyDescent="0.25">
      <c r="A2695" t="s">
        <v>3059</v>
      </c>
      <c r="B2695" s="6">
        <v>2087</v>
      </c>
      <c r="C2695">
        <v>-8</v>
      </c>
    </row>
    <row r="2696" spans="1:3" x14ac:dyDescent="0.25">
      <c r="A2696" t="s">
        <v>3060</v>
      </c>
      <c r="B2696" s="6">
        <v>2087</v>
      </c>
      <c r="C2696">
        <v>-9</v>
      </c>
    </row>
    <row r="2697" spans="1:3" x14ac:dyDescent="0.25">
      <c r="A2697" t="s">
        <v>3061</v>
      </c>
      <c r="B2697" s="6">
        <v>2185.0889999999999</v>
      </c>
      <c r="C2697">
        <v>-9</v>
      </c>
    </row>
    <row r="2698" spans="1:3" x14ac:dyDescent="0.25">
      <c r="A2698" t="s">
        <v>3062</v>
      </c>
      <c r="B2698" s="6">
        <v>1988.9109999999998</v>
      </c>
      <c r="C2698">
        <v>-8</v>
      </c>
    </row>
    <row r="2699" spans="1:3" x14ac:dyDescent="0.25">
      <c r="A2699" t="s">
        <v>3063</v>
      </c>
      <c r="B2699" s="6">
        <v>2087</v>
      </c>
      <c r="C2699">
        <v>-8</v>
      </c>
    </row>
    <row r="2700" spans="1:3" x14ac:dyDescent="0.25">
      <c r="A2700" t="s">
        <v>3064</v>
      </c>
      <c r="B2700" s="6">
        <v>2087</v>
      </c>
      <c r="C2700">
        <v>-8</v>
      </c>
    </row>
    <row r="2701" spans="1:3" x14ac:dyDescent="0.25">
      <c r="A2701" t="s">
        <v>3065</v>
      </c>
      <c r="B2701" s="6">
        <v>2087</v>
      </c>
      <c r="C2701">
        <v>-8</v>
      </c>
    </row>
    <row r="2702" spans="1:3" x14ac:dyDescent="0.25">
      <c r="A2702" t="s">
        <v>3066</v>
      </c>
      <c r="B2702" s="6">
        <v>1988.9109999999998</v>
      </c>
      <c r="C2702">
        <v>-8</v>
      </c>
    </row>
    <row r="2703" spans="1:3" x14ac:dyDescent="0.25">
      <c r="A2703" t="s">
        <v>3067</v>
      </c>
      <c r="B2703" s="6">
        <v>2087</v>
      </c>
      <c r="C2703">
        <v>-8</v>
      </c>
    </row>
    <row r="2704" spans="1:3" x14ac:dyDescent="0.25">
      <c r="A2704" t="s">
        <v>3068</v>
      </c>
      <c r="B2704" s="6">
        <v>2548.2270000000003</v>
      </c>
      <c r="C2704">
        <v>-11</v>
      </c>
    </row>
    <row r="2705" spans="1:3" x14ac:dyDescent="0.25">
      <c r="A2705" t="s">
        <v>3069</v>
      </c>
      <c r="B2705" s="6">
        <v>1988.9109999999998</v>
      </c>
      <c r="C2705">
        <v>-8</v>
      </c>
    </row>
    <row r="2706" spans="1:3" x14ac:dyDescent="0.25">
      <c r="A2706" t="s">
        <v>3070</v>
      </c>
      <c r="B2706" s="6">
        <v>2087</v>
      </c>
      <c r="C2706">
        <v>-8</v>
      </c>
    </row>
    <row r="2707" spans="1:3" x14ac:dyDescent="0.25">
      <c r="A2707" t="s">
        <v>3071</v>
      </c>
      <c r="B2707" s="6">
        <v>1892.9090000000001</v>
      </c>
      <c r="C2707">
        <v>-7</v>
      </c>
    </row>
    <row r="2708" spans="1:3" x14ac:dyDescent="0.25">
      <c r="A2708" t="s">
        <v>3072</v>
      </c>
      <c r="B2708" s="6">
        <v>2087</v>
      </c>
      <c r="C2708">
        <v>-8</v>
      </c>
    </row>
    <row r="2709" spans="1:3" x14ac:dyDescent="0.25">
      <c r="A2709" t="s">
        <v>3073</v>
      </c>
      <c r="B2709" s="6">
        <v>2379.1800000000003</v>
      </c>
      <c r="C2709">
        <v>-10</v>
      </c>
    </row>
    <row r="2710" spans="1:3" x14ac:dyDescent="0.25">
      <c r="A2710" t="s">
        <v>3074</v>
      </c>
      <c r="B2710" s="6">
        <v>1988.9109999999998</v>
      </c>
      <c r="C2710">
        <v>-8</v>
      </c>
    </row>
    <row r="2711" spans="1:3" x14ac:dyDescent="0.25">
      <c r="A2711" t="s">
        <v>3075</v>
      </c>
      <c r="B2711" s="6">
        <v>2087</v>
      </c>
      <c r="C2711">
        <v>-8</v>
      </c>
    </row>
    <row r="2712" spans="1:3" x14ac:dyDescent="0.25">
      <c r="A2712" t="s">
        <v>3076</v>
      </c>
      <c r="B2712" s="6">
        <v>2087</v>
      </c>
      <c r="C2712">
        <v>-8</v>
      </c>
    </row>
    <row r="2713" spans="1:3" x14ac:dyDescent="0.25">
      <c r="A2713" t="s">
        <v>3077</v>
      </c>
      <c r="B2713" s="6">
        <v>2790.319</v>
      </c>
      <c r="C2713">
        <v>-11</v>
      </c>
    </row>
    <row r="2714" spans="1:3" x14ac:dyDescent="0.25">
      <c r="A2714" t="s">
        <v>3078</v>
      </c>
      <c r="B2714" s="6">
        <v>2087</v>
      </c>
      <c r="C2714">
        <v>-8</v>
      </c>
    </row>
    <row r="2715" spans="1:3" x14ac:dyDescent="0.25">
      <c r="A2715" t="s">
        <v>3079</v>
      </c>
      <c r="B2715" s="6">
        <v>1988.9109999999998</v>
      </c>
      <c r="C2715">
        <v>-8</v>
      </c>
    </row>
    <row r="2716" spans="1:3" x14ac:dyDescent="0.25">
      <c r="A2716" t="s">
        <v>3080</v>
      </c>
      <c r="B2716" s="6">
        <v>2548.2270000000003</v>
      </c>
      <c r="C2716">
        <v>-11</v>
      </c>
    </row>
    <row r="2717" spans="1:3" x14ac:dyDescent="0.25">
      <c r="A2717" t="s">
        <v>3081</v>
      </c>
      <c r="B2717" s="6">
        <v>2087</v>
      </c>
      <c r="C2717">
        <v>-8</v>
      </c>
    </row>
    <row r="2718" spans="1:3" x14ac:dyDescent="0.25">
      <c r="A2718" t="s">
        <v>3082</v>
      </c>
      <c r="B2718" s="6">
        <v>2087</v>
      </c>
      <c r="C2718">
        <v>-8</v>
      </c>
    </row>
    <row r="2719" spans="1:3" x14ac:dyDescent="0.25">
      <c r="A2719" t="s">
        <v>3083</v>
      </c>
      <c r="B2719" s="6">
        <v>2087</v>
      </c>
      <c r="C2719">
        <v>-8</v>
      </c>
    </row>
    <row r="2720" spans="1:3" x14ac:dyDescent="0.25">
      <c r="A2720" t="s">
        <v>3084</v>
      </c>
      <c r="B2720" s="6">
        <v>1988.9109999999998</v>
      </c>
      <c r="C2720">
        <v>-8</v>
      </c>
    </row>
    <row r="2721" spans="1:3" x14ac:dyDescent="0.25">
      <c r="A2721" t="s">
        <v>3085</v>
      </c>
      <c r="B2721" s="6">
        <v>2087</v>
      </c>
      <c r="C2721">
        <v>-8</v>
      </c>
    </row>
    <row r="2722" spans="1:3" x14ac:dyDescent="0.25">
      <c r="A2722" t="s">
        <v>3086</v>
      </c>
      <c r="B2722" s="6">
        <v>2185.0889999999999</v>
      </c>
      <c r="C2722">
        <v>-8</v>
      </c>
    </row>
    <row r="2723" spans="1:3" x14ac:dyDescent="0.25">
      <c r="A2723" t="s">
        <v>3087</v>
      </c>
      <c r="B2723" s="6">
        <v>1988.9109999999998</v>
      </c>
      <c r="C2723">
        <v>-8</v>
      </c>
    </row>
    <row r="2724" spans="1:3" x14ac:dyDescent="0.25">
      <c r="A2724" t="s">
        <v>3088</v>
      </c>
      <c r="B2724" s="6">
        <v>1988.9109999999998</v>
      </c>
      <c r="C2724">
        <v>-8</v>
      </c>
    </row>
    <row r="2725" spans="1:3" x14ac:dyDescent="0.25">
      <c r="A2725" t="s">
        <v>3089</v>
      </c>
      <c r="B2725" s="6">
        <v>2087</v>
      </c>
      <c r="C2725">
        <v>-8</v>
      </c>
    </row>
    <row r="2726" spans="1:3" x14ac:dyDescent="0.25">
      <c r="A2726" t="s">
        <v>3090</v>
      </c>
      <c r="B2726" s="6">
        <v>2087</v>
      </c>
      <c r="C2726">
        <v>-8</v>
      </c>
    </row>
    <row r="2727" spans="1:3" x14ac:dyDescent="0.25">
      <c r="A2727" t="s">
        <v>3091</v>
      </c>
      <c r="B2727" s="6">
        <v>2185.0889999999999</v>
      </c>
      <c r="C2727">
        <v>-9</v>
      </c>
    </row>
    <row r="2728" spans="1:3" x14ac:dyDescent="0.25">
      <c r="A2728" t="s">
        <v>3092</v>
      </c>
      <c r="B2728" s="6">
        <v>2087</v>
      </c>
      <c r="C2728">
        <v>-8</v>
      </c>
    </row>
    <row r="2729" spans="1:3" x14ac:dyDescent="0.25">
      <c r="A2729" t="s">
        <v>3093</v>
      </c>
      <c r="B2729" s="6">
        <v>1988.9109999999998</v>
      </c>
      <c r="C2729">
        <v>-8</v>
      </c>
    </row>
    <row r="2730" spans="1:3" x14ac:dyDescent="0.25">
      <c r="A2730" t="s">
        <v>3094</v>
      </c>
      <c r="B2730" s="6">
        <v>1892.9090000000001</v>
      </c>
      <c r="C2730">
        <v>-7</v>
      </c>
    </row>
    <row r="2731" spans="1:3" x14ac:dyDescent="0.25">
      <c r="A2731" t="s">
        <v>3095</v>
      </c>
      <c r="B2731" s="6">
        <v>1988.9109999999998</v>
      </c>
      <c r="C2731">
        <v>-8</v>
      </c>
    </row>
    <row r="2732" spans="1:3" x14ac:dyDescent="0.25">
      <c r="A2732" t="s">
        <v>3096</v>
      </c>
      <c r="B2732" s="6">
        <v>1892.9090000000001</v>
      </c>
      <c r="C2732">
        <v>-8</v>
      </c>
    </row>
    <row r="2733" spans="1:3" x14ac:dyDescent="0.25">
      <c r="A2733" t="s">
        <v>3097</v>
      </c>
      <c r="B2733" s="6">
        <v>2087</v>
      </c>
      <c r="C2733">
        <v>-9</v>
      </c>
    </row>
    <row r="2734" spans="1:3" x14ac:dyDescent="0.25">
      <c r="A2734" t="s">
        <v>3098</v>
      </c>
      <c r="B2734" s="6">
        <v>2281.0909999999999</v>
      </c>
      <c r="C2734">
        <v>-10</v>
      </c>
    </row>
    <row r="2735" spans="1:3" x14ac:dyDescent="0.25">
      <c r="A2735" t="s">
        <v>3099</v>
      </c>
      <c r="B2735" s="6">
        <v>2185.0889999999999</v>
      </c>
      <c r="C2735">
        <v>-9</v>
      </c>
    </row>
    <row r="2736" spans="1:3" x14ac:dyDescent="0.25">
      <c r="A2736" t="s">
        <v>3100</v>
      </c>
      <c r="B2736" s="6">
        <v>2379.1800000000003</v>
      </c>
      <c r="C2736">
        <v>-10</v>
      </c>
    </row>
    <row r="2737" spans="1:3" x14ac:dyDescent="0.25">
      <c r="A2737" t="s">
        <v>3101</v>
      </c>
      <c r="B2737" s="6">
        <v>2281.0909999999999</v>
      </c>
      <c r="C2737">
        <v>-9</v>
      </c>
    </row>
    <row r="2738" spans="1:3" x14ac:dyDescent="0.25">
      <c r="A2738" t="s">
        <v>3102</v>
      </c>
      <c r="B2738" s="6">
        <v>2281.0909999999999</v>
      </c>
      <c r="C2738">
        <v>-9</v>
      </c>
    </row>
    <row r="2739" spans="1:3" x14ac:dyDescent="0.25">
      <c r="A2739" t="s">
        <v>3103</v>
      </c>
      <c r="B2739" s="6">
        <v>2281.0909999999999</v>
      </c>
      <c r="C2739">
        <v>-10</v>
      </c>
    </row>
    <row r="2740" spans="1:3" x14ac:dyDescent="0.25">
      <c r="A2740" t="s">
        <v>3104</v>
      </c>
      <c r="B2740" s="6">
        <v>1988.9109999999998</v>
      </c>
      <c r="C2740">
        <v>-8</v>
      </c>
    </row>
    <row r="2741" spans="1:3" x14ac:dyDescent="0.25">
      <c r="A2741" t="s">
        <v>3105</v>
      </c>
      <c r="B2741" s="6">
        <v>2087</v>
      </c>
      <c r="C2741">
        <v>-8</v>
      </c>
    </row>
    <row r="2742" spans="1:3" x14ac:dyDescent="0.25">
      <c r="A2742" t="s">
        <v>3106</v>
      </c>
      <c r="B2742" s="6">
        <v>1988.9109999999998</v>
      </c>
      <c r="C2742">
        <v>-8</v>
      </c>
    </row>
    <row r="2743" spans="1:3" x14ac:dyDescent="0.25">
      <c r="A2743" t="s">
        <v>3107</v>
      </c>
      <c r="B2743" s="6">
        <v>2087</v>
      </c>
      <c r="C2743">
        <v>-9</v>
      </c>
    </row>
    <row r="2744" spans="1:3" x14ac:dyDescent="0.25">
      <c r="A2744" t="s">
        <v>3108</v>
      </c>
      <c r="B2744" s="6">
        <v>1988.9109999999998</v>
      </c>
      <c r="C2744">
        <v>-8</v>
      </c>
    </row>
    <row r="2745" spans="1:3" x14ac:dyDescent="0.25">
      <c r="A2745" t="s">
        <v>3109</v>
      </c>
      <c r="B2745" s="6">
        <v>1892.9090000000001</v>
      </c>
      <c r="C2745">
        <v>-7</v>
      </c>
    </row>
    <row r="2746" spans="1:3" x14ac:dyDescent="0.25">
      <c r="A2746" t="s">
        <v>3109</v>
      </c>
      <c r="B2746" s="6">
        <v>1988.9109999999998</v>
      </c>
      <c r="C2746">
        <v>-8</v>
      </c>
    </row>
    <row r="2747" spans="1:3" x14ac:dyDescent="0.25">
      <c r="A2747" t="s">
        <v>3110</v>
      </c>
      <c r="B2747" s="6">
        <v>2087</v>
      </c>
      <c r="C2747">
        <v>-8</v>
      </c>
    </row>
    <row r="2748" spans="1:3" x14ac:dyDescent="0.25">
      <c r="A2748" t="s">
        <v>3111</v>
      </c>
      <c r="B2748" s="6">
        <v>1988.9109999999998</v>
      </c>
      <c r="C2748">
        <v>-8</v>
      </c>
    </row>
    <row r="2749" spans="1:3" x14ac:dyDescent="0.25">
      <c r="A2749" t="s">
        <v>3112</v>
      </c>
      <c r="B2749" s="6">
        <v>1988.9109999999998</v>
      </c>
      <c r="C2749">
        <v>-8</v>
      </c>
    </row>
    <row r="2750" spans="1:3" x14ac:dyDescent="0.25">
      <c r="A2750" t="s">
        <v>3113</v>
      </c>
      <c r="B2750" s="6">
        <v>2087</v>
      </c>
      <c r="C2750">
        <v>-8</v>
      </c>
    </row>
    <row r="2751" spans="1:3" x14ac:dyDescent="0.25">
      <c r="A2751" t="s">
        <v>3114</v>
      </c>
      <c r="B2751" s="6">
        <v>1988.9109999999998</v>
      </c>
      <c r="C2751">
        <v>-8</v>
      </c>
    </row>
    <row r="2752" spans="1:3" x14ac:dyDescent="0.25">
      <c r="A2752" t="s">
        <v>3115</v>
      </c>
      <c r="B2752" s="6">
        <v>2087</v>
      </c>
      <c r="C2752">
        <v>-8</v>
      </c>
    </row>
    <row r="2753" spans="1:3" x14ac:dyDescent="0.25">
      <c r="A2753" t="s">
        <v>3116</v>
      </c>
      <c r="B2753" s="6">
        <v>1988.9109999999998</v>
      </c>
      <c r="C2753">
        <v>-8</v>
      </c>
    </row>
    <row r="2754" spans="1:3" x14ac:dyDescent="0.25">
      <c r="A2754" t="s">
        <v>3117</v>
      </c>
      <c r="B2754" s="6">
        <v>2087</v>
      </c>
      <c r="C2754">
        <v>-9</v>
      </c>
    </row>
    <row r="2755" spans="1:3" x14ac:dyDescent="0.25">
      <c r="A2755" t="s">
        <v>3118</v>
      </c>
      <c r="B2755" s="6">
        <v>2087</v>
      </c>
      <c r="C2755">
        <v>-8</v>
      </c>
    </row>
    <row r="2756" spans="1:3" x14ac:dyDescent="0.25">
      <c r="A2756" t="s">
        <v>3119</v>
      </c>
      <c r="B2756" s="6">
        <v>1988.9109999999998</v>
      </c>
      <c r="C2756">
        <v>-8</v>
      </c>
    </row>
    <row r="2757" spans="1:3" x14ac:dyDescent="0.25">
      <c r="A2757" t="s">
        <v>3120</v>
      </c>
      <c r="B2757" s="6">
        <v>1988.9109999999998</v>
      </c>
      <c r="C2757">
        <v>-8</v>
      </c>
    </row>
    <row r="2758" spans="1:3" x14ac:dyDescent="0.25">
      <c r="A2758" t="s">
        <v>3121</v>
      </c>
      <c r="B2758" s="6">
        <v>2087</v>
      </c>
      <c r="C2758">
        <v>-8</v>
      </c>
    </row>
    <row r="2759" spans="1:3" x14ac:dyDescent="0.25">
      <c r="A2759" t="s">
        <v>3122</v>
      </c>
      <c r="B2759" s="6">
        <v>1988.9109999999998</v>
      </c>
      <c r="C2759">
        <v>-8</v>
      </c>
    </row>
    <row r="2760" spans="1:3" x14ac:dyDescent="0.25">
      <c r="A2760" t="s">
        <v>3123</v>
      </c>
      <c r="B2760" s="6">
        <v>2087</v>
      </c>
      <c r="C2760">
        <v>-8</v>
      </c>
    </row>
    <row r="2761" spans="1:3" x14ac:dyDescent="0.25">
      <c r="A2761" t="s">
        <v>3124</v>
      </c>
      <c r="B2761" s="6">
        <v>1988.9109999999998</v>
      </c>
      <c r="C2761">
        <v>-8</v>
      </c>
    </row>
    <row r="2762" spans="1:3" x14ac:dyDescent="0.25">
      <c r="A2762" t="s">
        <v>3125</v>
      </c>
      <c r="B2762" s="6">
        <v>1988.9109999999998</v>
      </c>
      <c r="C2762">
        <v>-8</v>
      </c>
    </row>
    <row r="2763" spans="1:3" x14ac:dyDescent="0.25">
      <c r="A2763" t="s">
        <v>3126</v>
      </c>
      <c r="B2763" s="6">
        <v>1988.9109999999998</v>
      </c>
      <c r="C2763">
        <v>-8</v>
      </c>
    </row>
    <row r="2764" spans="1:3" x14ac:dyDescent="0.25">
      <c r="A2764" t="s">
        <v>3127</v>
      </c>
      <c r="B2764" s="6">
        <v>1988.9109999999998</v>
      </c>
      <c r="C2764">
        <v>-8</v>
      </c>
    </row>
    <row r="2765" spans="1:3" x14ac:dyDescent="0.25">
      <c r="A2765" t="s">
        <v>3128</v>
      </c>
      <c r="B2765" s="6">
        <v>2087</v>
      </c>
      <c r="C2765">
        <v>-9</v>
      </c>
    </row>
    <row r="2766" spans="1:3" x14ac:dyDescent="0.25">
      <c r="A2766" t="s">
        <v>3129</v>
      </c>
      <c r="B2766" s="6">
        <v>2185.0889999999999</v>
      </c>
      <c r="C2766">
        <v>-8</v>
      </c>
    </row>
    <row r="2767" spans="1:3" x14ac:dyDescent="0.25">
      <c r="A2767" t="s">
        <v>3130</v>
      </c>
      <c r="B2767" s="6">
        <v>1988.9109999999998</v>
      </c>
      <c r="C2767">
        <v>-8</v>
      </c>
    </row>
    <row r="2768" spans="1:3" x14ac:dyDescent="0.25">
      <c r="A2768" t="s">
        <v>3131</v>
      </c>
      <c r="B2768" s="6">
        <v>1988.9109999999998</v>
      </c>
      <c r="C2768">
        <v>-8</v>
      </c>
    </row>
    <row r="2769" spans="1:3" x14ac:dyDescent="0.25">
      <c r="A2769" t="s">
        <v>3132</v>
      </c>
      <c r="B2769" s="6">
        <v>2087</v>
      </c>
      <c r="C2769">
        <v>-9</v>
      </c>
    </row>
    <row r="2770" spans="1:3" x14ac:dyDescent="0.25">
      <c r="A2770" t="s">
        <v>3133</v>
      </c>
      <c r="B2770" s="6">
        <v>2087</v>
      </c>
      <c r="C2770">
        <v>-9</v>
      </c>
    </row>
    <row r="2771" spans="1:3" x14ac:dyDescent="0.25">
      <c r="A2771" t="s">
        <v>3134</v>
      </c>
      <c r="B2771" s="6">
        <v>2087</v>
      </c>
      <c r="C2771">
        <v>-9</v>
      </c>
    </row>
    <row r="2772" spans="1:3" x14ac:dyDescent="0.25">
      <c r="A2772" t="s">
        <v>3135</v>
      </c>
      <c r="B2772" s="6">
        <v>1988.9109999999998</v>
      </c>
      <c r="C2772">
        <v>-8</v>
      </c>
    </row>
    <row r="2773" spans="1:3" x14ac:dyDescent="0.25">
      <c r="A2773" t="s">
        <v>3136</v>
      </c>
      <c r="B2773" s="6">
        <v>2087</v>
      </c>
      <c r="C2773">
        <v>-9</v>
      </c>
    </row>
    <row r="2774" spans="1:3" x14ac:dyDescent="0.25">
      <c r="A2774" t="s">
        <v>3137</v>
      </c>
      <c r="B2774" s="6">
        <v>1988.9109999999998</v>
      </c>
      <c r="C2774">
        <v>-8</v>
      </c>
    </row>
    <row r="2775" spans="1:3" x14ac:dyDescent="0.25">
      <c r="A2775" t="s">
        <v>3138</v>
      </c>
      <c r="B2775" s="6">
        <v>2087</v>
      </c>
      <c r="C2775">
        <v>-8</v>
      </c>
    </row>
    <row r="2776" spans="1:3" x14ac:dyDescent="0.25">
      <c r="A2776" t="s">
        <v>3139</v>
      </c>
      <c r="B2776" s="6">
        <v>2087</v>
      </c>
      <c r="C2776">
        <v>-8</v>
      </c>
    </row>
    <row r="2777" spans="1:3" x14ac:dyDescent="0.25">
      <c r="A2777" t="s">
        <v>3140</v>
      </c>
      <c r="B2777" s="6">
        <v>1988.9109999999998</v>
      </c>
      <c r="C2777">
        <v>-8</v>
      </c>
    </row>
    <row r="2778" spans="1:3" x14ac:dyDescent="0.25">
      <c r="A2778" t="s">
        <v>3141</v>
      </c>
      <c r="B2778" s="6">
        <v>2087</v>
      </c>
      <c r="C2778">
        <v>-8</v>
      </c>
    </row>
    <row r="2779" spans="1:3" x14ac:dyDescent="0.25">
      <c r="A2779" t="s">
        <v>3142</v>
      </c>
      <c r="B2779" s="6">
        <v>1988.9109999999998</v>
      </c>
      <c r="C2779">
        <v>-8</v>
      </c>
    </row>
    <row r="2780" spans="1:3" x14ac:dyDescent="0.25">
      <c r="A2780" t="s">
        <v>3143</v>
      </c>
      <c r="B2780" s="6">
        <v>1988.9109999999998</v>
      </c>
      <c r="C2780">
        <v>-8</v>
      </c>
    </row>
    <row r="2781" spans="1:3" x14ac:dyDescent="0.25">
      <c r="A2781" t="s">
        <v>3144</v>
      </c>
      <c r="B2781" s="6">
        <v>1988.9109999999998</v>
      </c>
      <c r="C2781">
        <v>-8</v>
      </c>
    </row>
    <row r="2782" spans="1:3" x14ac:dyDescent="0.25">
      <c r="A2782" t="s">
        <v>3145</v>
      </c>
      <c r="B2782" s="6">
        <v>2087</v>
      </c>
      <c r="C2782">
        <v>-8</v>
      </c>
    </row>
    <row r="2783" spans="1:3" x14ac:dyDescent="0.25">
      <c r="A2783" t="s">
        <v>3146</v>
      </c>
      <c r="B2783" s="6">
        <v>2087</v>
      </c>
      <c r="C2783">
        <v>-9</v>
      </c>
    </row>
    <row r="2784" spans="1:3" x14ac:dyDescent="0.25">
      <c r="A2784" t="s">
        <v>3147</v>
      </c>
      <c r="B2784" s="6">
        <v>2087</v>
      </c>
      <c r="C2784">
        <v>-8</v>
      </c>
    </row>
    <row r="2785" spans="1:3" x14ac:dyDescent="0.25">
      <c r="A2785" t="s">
        <v>3148</v>
      </c>
      <c r="B2785" s="6">
        <v>1988.9109999999998</v>
      </c>
      <c r="C2785">
        <v>-8</v>
      </c>
    </row>
    <row r="2786" spans="1:3" x14ac:dyDescent="0.25">
      <c r="A2786" t="s">
        <v>3149</v>
      </c>
      <c r="B2786" s="6">
        <v>1988.9109999999998</v>
      </c>
      <c r="C2786">
        <v>-8</v>
      </c>
    </row>
    <row r="2787" spans="1:3" x14ac:dyDescent="0.25">
      <c r="A2787" t="s">
        <v>3150</v>
      </c>
      <c r="B2787" s="6">
        <v>1988.9109999999998</v>
      </c>
      <c r="C2787">
        <v>-8</v>
      </c>
    </row>
    <row r="2788" spans="1:3" x14ac:dyDescent="0.25">
      <c r="A2788" t="s">
        <v>3151</v>
      </c>
      <c r="B2788" s="6">
        <v>1988.9109999999998</v>
      </c>
      <c r="C2788">
        <v>-8</v>
      </c>
    </row>
    <row r="2789" spans="1:3" x14ac:dyDescent="0.25">
      <c r="A2789" t="s">
        <v>3152</v>
      </c>
      <c r="B2789" s="6">
        <v>2281.0909999999999</v>
      </c>
      <c r="C2789">
        <v>-9</v>
      </c>
    </row>
    <row r="2790" spans="1:3" x14ac:dyDescent="0.25">
      <c r="A2790" t="s">
        <v>3153</v>
      </c>
      <c r="B2790" s="6">
        <v>2087</v>
      </c>
      <c r="C2790">
        <v>-9</v>
      </c>
    </row>
    <row r="2791" spans="1:3" x14ac:dyDescent="0.25">
      <c r="A2791" t="s">
        <v>3154</v>
      </c>
      <c r="B2791" s="6">
        <v>2087</v>
      </c>
      <c r="C2791">
        <v>-8</v>
      </c>
    </row>
    <row r="5572" spans="7:7" x14ac:dyDescent="0.25">
      <c r="G5572" t="s">
        <v>3155</v>
      </c>
    </row>
  </sheetData>
  <sheetProtection algorithmName="SHA-512" hashValue="T9Mb5Wg0na0dKzghDerhMoqo01keh8U5lmonUImy9W7x/2/o0mwkSy6SDOUN4UcOTuOhTgciy9cyl/U3e3z7HQ==" saltValue="wHfZpN6DaSnrgSSAh2Oshw==" spinCount="100000" sheet="1" objects="1" scenarios="1" selectLockedCells="1" selectUnlockedCells="1"/>
  <phoneticPr fontId="5" type="noConversion"/>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1B2-8FB1-4A89-B33A-25030E24357F}">
  <sheetPr codeName="Feuil4">
    <tabColor theme="8"/>
  </sheetPr>
  <dimension ref="A1:XFC184"/>
  <sheetViews>
    <sheetView topLeftCell="B1" zoomScaleNormal="100" workbookViewId="0">
      <selection activeCell="D7" sqref="D7"/>
    </sheetView>
  </sheetViews>
  <sheetFormatPr baseColWidth="10" defaultColWidth="0" defaultRowHeight="13.2" zeroHeight="1" x14ac:dyDescent="0.25"/>
  <cols>
    <col min="1" max="1" width="11.5546875" style="129" customWidth="1"/>
    <col min="2" max="2" width="4.33203125" style="129" customWidth="1"/>
    <col min="3" max="3" width="44.44140625" style="129" customWidth="1"/>
    <col min="4" max="4" width="30.6640625" style="130" customWidth="1"/>
    <col min="5" max="5" width="30.6640625" style="129" customWidth="1"/>
    <col min="6" max="6" width="42.6640625" style="129" customWidth="1"/>
    <col min="7" max="7" width="15.33203125" style="129" customWidth="1"/>
    <col min="8" max="8" width="42.6640625" style="129" customWidth="1"/>
    <col min="9" max="9" width="18.109375" style="129" customWidth="1"/>
    <col min="10" max="10" width="11.5546875" style="129" bestFit="1" customWidth="1"/>
    <col min="11" max="11" width="74" style="129" customWidth="1"/>
    <col min="12" max="16383" width="11.5546875" style="129" hidden="1"/>
    <col min="16384" max="16384" width="13.6640625" style="129" hidden="1" customWidth="1"/>
  </cols>
  <sheetData>
    <row r="1" spans="1:11" ht="13.8" thickBot="1" x14ac:dyDescent="0.3">
      <c r="A1" s="116"/>
      <c r="B1" s="116"/>
      <c r="C1" s="116"/>
      <c r="D1" s="140"/>
      <c r="E1" s="116"/>
      <c r="F1" s="116"/>
      <c r="G1" s="116"/>
      <c r="H1" s="116"/>
      <c r="I1" s="116"/>
      <c r="J1" s="116"/>
      <c r="K1" s="116"/>
    </row>
    <row r="2" spans="1:11" ht="16.2" thickBot="1" x14ac:dyDescent="0.35">
      <c r="A2" s="116"/>
      <c r="B2" s="263" t="s">
        <v>2</v>
      </c>
      <c r="C2" s="264"/>
      <c r="D2" s="264"/>
      <c r="E2" s="265"/>
      <c r="F2" s="116"/>
      <c r="G2" s="116"/>
      <c r="H2" s="116"/>
      <c r="I2" s="116"/>
      <c r="J2" s="116"/>
      <c r="K2" s="116"/>
    </row>
    <row r="3" spans="1:11" ht="13.8" thickBot="1" x14ac:dyDescent="0.3">
      <c r="A3" s="116"/>
      <c r="B3" s="116"/>
      <c r="C3" s="116"/>
      <c r="D3" s="140"/>
      <c r="E3" s="116"/>
      <c r="F3" s="116"/>
      <c r="G3" s="116"/>
      <c r="H3" s="116"/>
      <c r="I3" s="116"/>
      <c r="J3" s="116"/>
      <c r="K3" s="116"/>
    </row>
    <row r="4" spans="1:11" x14ac:dyDescent="0.25">
      <c r="A4" s="116"/>
      <c r="B4" s="116"/>
      <c r="C4" s="141" t="s">
        <v>3</v>
      </c>
      <c r="D4" s="142"/>
      <c r="E4" s="143"/>
      <c r="F4" s="144"/>
      <c r="G4" s="116"/>
      <c r="H4" s="116"/>
      <c r="I4" s="116"/>
      <c r="J4" s="116"/>
      <c r="K4" s="116"/>
    </row>
    <row r="5" spans="1:11" ht="13.8" thickBot="1" x14ac:dyDescent="0.3">
      <c r="A5" s="116"/>
      <c r="B5" s="116"/>
      <c r="C5" s="145"/>
      <c r="D5" s="146"/>
      <c r="E5" s="147"/>
      <c r="F5" s="148"/>
      <c r="G5" s="116"/>
      <c r="H5" s="116"/>
      <c r="I5" s="116"/>
      <c r="J5" s="116"/>
      <c r="K5" s="116"/>
    </row>
    <row r="6" spans="1:11" x14ac:dyDescent="0.25">
      <c r="A6" s="116"/>
      <c r="B6" s="116"/>
      <c r="C6" s="116"/>
      <c r="D6" s="140"/>
      <c r="E6" s="116"/>
      <c r="F6" s="116"/>
      <c r="G6" s="116"/>
      <c r="H6" s="116"/>
      <c r="I6" s="116"/>
      <c r="J6" s="116"/>
      <c r="K6" s="116"/>
    </row>
    <row r="7" spans="1:11" x14ac:dyDescent="0.25">
      <c r="A7" s="116"/>
      <c r="B7" s="116"/>
      <c r="C7" s="149" t="s">
        <v>4</v>
      </c>
      <c r="D7" s="134"/>
      <c r="E7" s="116"/>
      <c r="F7" s="131" t="str">
        <f>Checks!E9</f>
        <v>Sélectionnez : Commune</v>
      </c>
      <c r="G7" s="116"/>
      <c r="H7" s="116"/>
      <c r="I7" s="116"/>
      <c r="J7" s="116"/>
      <c r="K7" s="116"/>
    </row>
    <row r="8" spans="1:11" x14ac:dyDescent="0.25">
      <c r="A8" s="116"/>
      <c r="B8" s="116"/>
      <c r="C8" s="150" t="s">
        <v>5</v>
      </c>
      <c r="D8" s="134"/>
      <c r="E8" s="116"/>
      <c r="F8" s="131" t="str">
        <f>Checks!E10</f>
        <v>Sélectionnez : Affectation Principale</v>
      </c>
      <c r="G8" s="116"/>
      <c r="H8" s="152"/>
      <c r="I8" s="152"/>
      <c r="J8" s="116"/>
      <c r="K8" s="116"/>
    </row>
    <row r="9" spans="1:11" x14ac:dyDescent="0.25">
      <c r="A9" s="116"/>
      <c r="B9" s="116"/>
      <c r="C9" s="150" t="s">
        <v>6</v>
      </c>
      <c r="D9" s="134"/>
      <c r="E9" s="155" t="s">
        <v>7</v>
      </c>
      <c r="F9" s="131" t="str">
        <f>Checks!E11</f>
        <v>Encodez : Nombre maximum de personnes présentes</v>
      </c>
      <c r="G9" s="116"/>
      <c r="H9" s="116"/>
      <c r="I9" s="116"/>
      <c r="J9" s="116"/>
      <c r="K9" s="116"/>
    </row>
    <row r="10" spans="1:11" x14ac:dyDescent="0.25">
      <c r="A10" s="116"/>
      <c r="B10" s="116"/>
      <c r="C10" s="150" t="s">
        <v>8</v>
      </c>
      <c r="D10" s="134"/>
      <c r="E10" s="155" t="s">
        <v>7</v>
      </c>
      <c r="F10" s="131" t="str">
        <f>Checks!E12</f>
        <v>Encodez : Nombre moyen de personnes dans le bâtiment</v>
      </c>
      <c r="G10" s="116"/>
      <c r="H10" s="116"/>
      <c r="I10" s="116"/>
      <c r="J10" s="116"/>
      <c r="K10" s="116"/>
    </row>
    <row r="11" spans="1:11" x14ac:dyDescent="0.25">
      <c r="A11" s="116"/>
      <c r="B11" s="116"/>
      <c r="C11" s="150" t="s">
        <v>9</v>
      </c>
      <c r="D11" s="134"/>
      <c r="E11" s="216"/>
      <c r="F11" s="131" t="str">
        <f>Checks!E13</f>
        <v>Sélectionnez : Horaires d'occupation</v>
      </c>
      <c r="G11" s="116"/>
      <c r="H11" s="116"/>
      <c r="I11" s="116"/>
      <c r="J11" s="116"/>
      <c r="K11" s="116"/>
    </row>
    <row r="12" spans="1:11" x14ac:dyDescent="0.25">
      <c r="A12" s="116"/>
      <c r="B12" s="116"/>
      <c r="C12" s="150" t="s">
        <v>10</v>
      </c>
      <c r="D12" s="134"/>
      <c r="E12" s="155" t="s">
        <v>11</v>
      </c>
      <c r="F12" s="131" t="str">
        <f>Checks!E14</f>
        <v>Encodez : Température moyenne: en occupation</v>
      </c>
      <c r="G12" s="116"/>
      <c r="H12" s="116"/>
      <c r="I12" s="116"/>
      <c r="J12" s="116"/>
      <c r="K12" s="116"/>
    </row>
    <row r="13" spans="1:11" x14ac:dyDescent="0.25">
      <c r="A13" s="116"/>
      <c r="B13" s="116"/>
      <c r="C13" s="150" t="s">
        <v>12</v>
      </c>
      <c r="D13" s="134"/>
      <c r="E13" s="155"/>
      <c r="F13" s="131" t="str">
        <f>Checks!E15</f>
        <v>Sélectionnez : Diminution ou coupure du chauffage en inoccupation ?</v>
      </c>
      <c r="G13" s="197"/>
      <c r="H13" s="116"/>
      <c r="I13" s="116"/>
      <c r="J13" s="116"/>
      <c r="K13" s="116"/>
    </row>
    <row r="14" spans="1:11" x14ac:dyDescent="0.25">
      <c r="A14" s="116"/>
      <c r="B14" s="116"/>
      <c r="C14" s="150" t="s">
        <v>13</v>
      </c>
      <c r="D14" s="193"/>
      <c r="E14" s="155" t="s">
        <v>14</v>
      </c>
      <c r="F14" s="131" t="str">
        <f>Checks!E16</f>
        <v>Encodez : Surface de plancher chauffé</v>
      </c>
      <c r="G14" s="116"/>
      <c r="H14" s="152"/>
      <c r="I14" s="152"/>
      <c r="J14" s="116"/>
      <c r="K14" s="116"/>
    </row>
    <row r="15" spans="1:11" x14ac:dyDescent="0.25">
      <c r="A15" s="116"/>
      <c r="B15" s="116"/>
      <c r="C15" s="150"/>
      <c r="D15" s="154"/>
      <c r="E15" s="155"/>
      <c r="F15" s="131"/>
      <c r="G15" s="116"/>
      <c r="H15" s="152"/>
      <c r="I15"/>
      <c r="J15" s="116"/>
      <c r="K15" s="116"/>
    </row>
    <row r="16" spans="1:11" ht="15" customHeight="1" x14ac:dyDescent="0.25">
      <c r="A16" s="116"/>
      <c r="B16" s="116"/>
      <c r="C16" s="150" t="s">
        <v>3156</v>
      </c>
      <c r="D16" s="215"/>
      <c r="E16" s="155" t="s">
        <v>16</v>
      </c>
      <c r="F16" s="131" t="str">
        <f>Checks!E18</f>
        <v>Encodez : Volume du bâtiment</v>
      </c>
      <c r="G16" s="116"/>
      <c r="H16" s="152"/>
      <c r="I16" s="152"/>
      <c r="J16" s="116"/>
      <c r="K16" s="116"/>
    </row>
    <row r="17" spans="1:11" ht="15" customHeight="1" x14ac:dyDescent="0.25">
      <c r="A17" s="116"/>
      <c r="B17" s="116"/>
      <c r="C17" s="150"/>
      <c r="D17" s="231"/>
      <c r="E17" s="155"/>
      <c r="F17" s="131"/>
      <c r="G17" s="116"/>
      <c r="H17" s="152"/>
      <c r="I17" s="152"/>
      <c r="J17" s="116"/>
      <c r="K17" s="116"/>
    </row>
    <row r="18" spans="1:11" ht="15" customHeight="1" x14ac:dyDescent="0.25">
      <c r="A18" s="116"/>
      <c r="B18" s="116"/>
      <c r="C18" s="150" t="s">
        <v>3167</v>
      </c>
      <c r="D18" s="134"/>
      <c r="E18" s="155"/>
      <c r="F18" s="131" t="str">
        <f>Checks!E20</f>
        <v>Précisez si le bâtiment est classé ou pas</v>
      </c>
      <c r="G18" s="116"/>
      <c r="H18" s="152"/>
      <c r="I18" s="152"/>
      <c r="J18" s="116"/>
      <c r="K18" s="116"/>
    </row>
    <row r="19" spans="1:11" x14ac:dyDescent="0.25">
      <c r="A19" s="116"/>
      <c r="B19" s="116"/>
      <c r="C19" s="116"/>
      <c r="D19" s="151"/>
      <c r="E19" s="116"/>
      <c r="F19" s="116"/>
      <c r="G19" s="116"/>
      <c r="H19" s="152"/>
      <c r="I19" s="152"/>
      <c r="J19" s="116"/>
      <c r="K19" s="116"/>
    </row>
    <row r="20" spans="1:11" ht="13.8" thickBot="1" x14ac:dyDescent="0.3">
      <c r="A20" s="116"/>
      <c r="B20" s="116"/>
      <c r="C20" s="116"/>
      <c r="D20" s="151"/>
      <c r="E20" s="116"/>
      <c r="F20" s="116"/>
      <c r="G20" s="116"/>
      <c r="H20" s="116"/>
      <c r="I20" s="116"/>
      <c r="J20" s="116"/>
      <c r="K20" s="116"/>
    </row>
    <row r="21" spans="1:11" ht="16.2" thickBot="1" x14ac:dyDescent="0.35">
      <c r="A21" s="116"/>
      <c r="B21" s="263" t="s">
        <v>17</v>
      </c>
      <c r="C21" s="264"/>
      <c r="D21" s="264"/>
      <c r="E21" s="265"/>
      <c r="F21" s="116"/>
      <c r="G21" s="116"/>
      <c r="H21" s="116"/>
      <c r="I21" s="116"/>
      <c r="J21" s="116"/>
      <c r="K21" s="116"/>
    </row>
    <row r="22" spans="1:11" ht="16.2" thickBot="1" x14ac:dyDescent="0.35">
      <c r="A22" s="116"/>
      <c r="B22" s="124"/>
      <c r="C22" s="124"/>
      <c r="D22" s="124"/>
      <c r="E22" s="124"/>
      <c r="F22" s="116"/>
      <c r="G22" s="116"/>
      <c r="H22" s="116"/>
      <c r="I22" s="116"/>
      <c r="J22" s="116"/>
      <c r="K22" s="116"/>
    </row>
    <row r="23" spans="1:11" ht="55.5" customHeight="1" thickBot="1" x14ac:dyDescent="0.35">
      <c r="A23" s="116"/>
      <c r="B23" s="124"/>
      <c r="C23" s="283" t="s">
        <v>3178</v>
      </c>
      <c r="D23" s="284"/>
      <c r="E23" s="284"/>
      <c r="F23" s="285"/>
      <c r="G23" s="116"/>
      <c r="H23" s="116"/>
      <c r="I23" s="116"/>
      <c r="J23" s="116"/>
      <c r="K23" s="116"/>
    </row>
    <row r="24" spans="1:11" ht="16.2" customHeight="1" x14ac:dyDescent="0.3">
      <c r="A24" s="116"/>
      <c r="B24" s="124"/>
      <c r="C24" s="221"/>
      <c r="D24" s="221"/>
      <c r="E24" s="221"/>
      <c r="F24" s="221"/>
      <c r="G24" s="116"/>
      <c r="H24" s="116"/>
      <c r="I24" s="116"/>
      <c r="J24" s="116"/>
      <c r="K24" s="116"/>
    </row>
    <row r="25" spans="1:11" ht="13.2" customHeight="1" x14ac:dyDescent="0.3">
      <c r="A25" s="116"/>
      <c r="B25" s="124"/>
      <c r="C25" s="221" t="s">
        <v>3157</v>
      </c>
      <c r="D25" s="230"/>
      <c r="E25" s="221"/>
      <c r="F25" s="226" t="str">
        <f>Checks!E25</f>
        <v xml:space="preserve">Précisez s'il y aura ou non une amélioration de l'installation de chauffage </v>
      </c>
      <c r="G25" s="116"/>
      <c r="H25" s="116"/>
      <c r="I25" s="116"/>
      <c r="J25" s="116"/>
      <c r="K25" s="116"/>
    </row>
    <row r="26" spans="1:11" ht="15.6" x14ac:dyDescent="0.3">
      <c r="A26" s="116"/>
      <c r="B26" s="124"/>
      <c r="C26" s="124"/>
      <c r="D26" s="124"/>
      <c r="E26" s="124"/>
      <c r="F26" s="116"/>
      <c r="G26" s="116"/>
      <c r="H26" s="116"/>
      <c r="I26" s="116"/>
      <c r="J26" s="116"/>
      <c r="K26" s="116"/>
    </row>
    <row r="27" spans="1:11" x14ac:dyDescent="0.25">
      <c r="A27" s="116"/>
      <c r="B27" s="116"/>
      <c r="C27" s="116"/>
      <c r="D27" s="153" t="s">
        <v>18</v>
      </c>
      <c r="E27" s="153" t="s">
        <v>19</v>
      </c>
      <c r="F27" s="116"/>
      <c r="G27" s="116"/>
      <c r="H27" s="116"/>
      <c r="I27" s="116"/>
      <c r="J27" s="116"/>
      <c r="K27" s="116"/>
    </row>
    <row r="28" spans="1:11" x14ac:dyDescent="0.25">
      <c r="A28" s="116"/>
      <c r="B28" s="116"/>
      <c r="C28" s="116"/>
      <c r="D28" s="151"/>
      <c r="E28" s="116"/>
      <c r="F28" s="116"/>
      <c r="G28" s="116"/>
      <c r="H28" s="116"/>
      <c r="I28" s="116"/>
      <c r="J28" s="116"/>
      <c r="K28" s="116"/>
    </row>
    <row r="29" spans="1:11" ht="28.5" customHeight="1" x14ac:dyDescent="0.25">
      <c r="A29" s="116"/>
      <c r="B29" s="116"/>
      <c r="C29" s="116" t="s">
        <v>20</v>
      </c>
      <c r="D29" s="134"/>
      <c r="E29" s="134"/>
      <c r="F29" s="131" t="str">
        <f>Checks!E27</f>
        <v>Sélectionnez : Type d'installation</v>
      </c>
      <c r="G29" s="116"/>
      <c r="H29" s="116"/>
      <c r="I29" s="116"/>
      <c r="J29" s="116"/>
      <c r="K29" s="116"/>
    </row>
    <row r="30" spans="1:11" x14ac:dyDescent="0.25">
      <c r="A30" s="116"/>
      <c r="B30" s="116"/>
      <c r="C30" s="197" t="s">
        <v>21</v>
      </c>
      <c r="D30" s="193"/>
      <c r="E30" s="193"/>
      <c r="F30" s="131" t="str">
        <f>Checks!E28</f>
        <v>Encodez : Vecteur énergétique</v>
      </c>
      <c r="G30" s="116"/>
      <c r="H30" s="116"/>
      <c r="I30" s="116"/>
      <c r="J30" s="116"/>
      <c r="K30" s="116"/>
    </row>
    <row r="31" spans="1:11" x14ac:dyDescent="0.25">
      <c r="A31" s="116"/>
      <c r="B31" s="116"/>
      <c r="C31" s="116" t="s">
        <v>3177</v>
      </c>
      <c r="D31" s="193"/>
      <c r="E31" s="193"/>
      <c r="F31" s="131" t="str">
        <f>Checks!E29</f>
        <v>Encodez : Date de fabrication de la chaudière</v>
      </c>
      <c r="G31" s="116"/>
      <c r="H31" s="116"/>
      <c r="I31" s="116"/>
      <c r="J31" s="116"/>
      <c r="K31" s="116"/>
    </row>
    <row r="32" spans="1:11" x14ac:dyDescent="0.25">
      <c r="A32" s="116"/>
      <c r="B32" s="116"/>
      <c r="C32" s="197" t="s">
        <v>23</v>
      </c>
      <c r="D32" s="193"/>
      <c r="E32" s="194"/>
      <c r="F32" s="132" t="str">
        <f>Checks!E30</f>
        <v>Sélectionnez : Rendement de combustion connu ?</v>
      </c>
      <c r="G32" s="197"/>
      <c r="H32" s="116"/>
      <c r="I32" s="116"/>
      <c r="J32" s="116"/>
      <c r="K32" s="116"/>
    </row>
    <row r="33" spans="1:11" x14ac:dyDescent="0.25">
      <c r="A33" s="116"/>
      <c r="B33" s="116"/>
      <c r="C33" s="197" t="str">
        <f>IF(OR(D32="Oui",E32="Oui"),"Rendement de combustion","")</f>
        <v/>
      </c>
      <c r="D33" s="195"/>
      <c r="E33" s="196"/>
      <c r="F33" s="131" t="str">
        <f>Checks!E31</f>
        <v/>
      </c>
      <c r="G33" s="197"/>
      <c r="H33" s="116"/>
      <c r="I33" s="116"/>
      <c r="J33" s="116"/>
      <c r="K33" s="116"/>
    </row>
    <row r="34" spans="1:11" x14ac:dyDescent="0.25">
      <c r="A34" s="116"/>
      <c r="B34" s="116"/>
      <c r="C34" s="197" t="s">
        <v>24</v>
      </c>
      <c r="D34" s="134"/>
      <c r="E34" s="134"/>
      <c r="F34" s="131" t="str">
        <f>Checks!E32</f>
        <v>Encodez : Isolation des tuyaux</v>
      </c>
      <c r="G34" s="116"/>
      <c r="H34" s="116"/>
      <c r="I34" s="116"/>
      <c r="J34" s="116"/>
      <c r="K34" s="116"/>
    </row>
    <row r="35" spans="1:11" x14ac:dyDescent="0.25">
      <c r="A35" s="116"/>
      <c r="B35" s="116"/>
      <c r="C35" s="116" t="s">
        <v>25</v>
      </c>
      <c r="D35" s="134"/>
      <c r="E35" s="134"/>
      <c r="F35" s="131" t="str">
        <f>Checks!E33</f>
        <v>Encodez : Vannes thermostatiques</v>
      </c>
      <c r="G35" s="116"/>
      <c r="H35" s="116"/>
      <c r="I35" s="116"/>
      <c r="J35" s="116"/>
      <c r="K35" s="116"/>
    </row>
    <row r="36" spans="1:11" x14ac:dyDescent="0.25">
      <c r="A36" s="116"/>
      <c r="B36" s="116"/>
      <c r="C36" s="197" t="s">
        <v>26</v>
      </c>
      <c r="D36" s="134"/>
      <c r="E36" s="134"/>
      <c r="F36" s="131" t="str">
        <f>Checks!E34</f>
        <v>Encodez : Régulation</v>
      </c>
      <c r="G36" s="116"/>
      <c r="H36" s="116"/>
      <c r="I36" s="116"/>
      <c r="J36" s="116"/>
      <c r="K36" s="116"/>
    </row>
    <row r="37" spans="1:11" ht="22.5" customHeight="1" x14ac:dyDescent="0.25">
      <c r="A37" s="116"/>
      <c r="B37" s="116"/>
      <c r="C37" s="197" t="s">
        <v>27</v>
      </c>
      <c r="D37" s="134"/>
      <c r="E37" s="134"/>
      <c r="F37" s="131" t="str">
        <f>Checks!E35</f>
        <v>Encodez : Positionnement des radiateurs</v>
      </c>
      <c r="G37" s="116"/>
      <c r="H37" s="116"/>
      <c r="I37" s="116"/>
      <c r="J37" s="116"/>
      <c r="K37" s="116"/>
    </row>
    <row r="38" spans="1:11" x14ac:dyDescent="0.25">
      <c r="A38" s="116"/>
      <c r="B38" s="116"/>
      <c r="C38" s="116"/>
      <c r="D38" s="140"/>
      <c r="E38" s="116"/>
      <c r="F38" s="116"/>
      <c r="G38" s="116"/>
      <c r="H38" s="116"/>
      <c r="I38" s="116"/>
      <c r="J38" s="116"/>
      <c r="K38" s="116"/>
    </row>
    <row r="39" spans="1:11" ht="13.8" thickBot="1" x14ac:dyDescent="0.3">
      <c r="A39" s="116"/>
      <c r="B39" s="116"/>
      <c r="C39" s="116"/>
      <c r="D39" s="140"/>
      <c r="E39" s="116"/>
      <c r="F39" s="116"/>
      <c r="G39" s="116"/>
      <c r="H39" s="116"/>
      <c r="I39" s="116"/>
      <c r="J39" s="116"/>
      <c r="K39" s="116"/>
    </row>
    <row r="40" spans="1:11" ht="16.2" thickBot="1" x14ac:dyDescent="0.35">
      <c r="A40" s="116"/>
      <c r="B40" s="263" t="s">
        <v>28</v>
      </c>
      <c r="C40" s="264"/>
      <c r="D40" s="264"/>
      <c r="E40" s="265"/>
      <c r="F40" s="116"/>
      <c r="G40" s="116"/>
      <c r="H40" s="116"/>
      <c r="I40" s="116"/>
      <c r="J40" s="116"/>
      <c r="K40" s="116"/>
    </row>
    <row r="41" spans="1:11" x14ac:dyDescent="0.25">
      <c r="A41" s="116"/>
      <c r="B41" s="116"/>
      <c r="C41" s="116"/>
      <c r="D41" s="140"/>
      <c r="E41" s="116"/>
      <c r="F41" s="116"/>
      <c r="G41" s="116"/>
      <c r="H41" s="116"/>
      <c r="I41" s="116"/>
      <c r="J41" s="116"/>
      <c r="K41" s="116"/>
    </row>
    <row r="42" spans="1:11" x14ac:dyDescent="0.25">
      <c r="A42" s="116"/>
      <c r="B42" s="116"/>
      <c r="C42"/>
      <c r="D42" s="31"/>
      <c r="E42"/>
      <c r="F42"/>
      <c r="G42" s="116"/>
      <c r="H42" s="116"/>
      <c r="I42" s="116"/>
      <c r="J42" s="116"/>
      <c r="K42" s="116"/>
    </row>
    <row r="43" spans="1:11" x14ac:dyDescent="0.25">
      <c r="A43" s="116"/>
      <c r="B43" s="116"/>
      <c r="C43" s="156" t="s">
        <v>29</v>
      </c>
      <c r="D43" s="157" t="s">
        <v>30</v>
      </c>
      <c r="E43" s="158" t="s">
        <v>31</v>
      </c>
      <c r="F43" s="156" t="s">
        <v>32</v>
      </c>
      <c r="G43" s="116"/>
      <c r="H43" s="116"/>
      <c r="I43" s="116"/>
      <c r="J43" s="116"/>
      <c r="K43" s="116"/>
    </row>
    <row r="44" spans="1:11" x14ac:dyDescent="0.25">
      <c r="A44" s="116"/>
      <c r="B44" s="116"/>
      <c r="C44" s="156">
        <v>2019</v>
      </c>
      <c r="D44" s="168"/>
      <c r="E44" s="169"/>
      <c r="F44" s="134"/>
      <c r="G44" s="131" t="str">
        <f>IF(OR(D44="",E44="",F44=""),"Encodez : Les consommations de chauffage"," ")</f>
        <v>Encodez : Les consommations de chauffage</v>
      </c>
      <c r="H44" s="116"/>
      <c r="I44" s="116"/>
      <c r="J44" s="116"/>
      <c r="K44" s="116"/>
    </row>
    <row r="45" spans="1:11" x14ac:dyDescent="0.25">
      <c r="A45" s="116"/>
      <c r="B45" s="116"/>
      <c r="C45" s="156">
        <v>2020</v>
      </c>
      <c r="D45" s="168"/>
      <c r="E45" s="169"/>
      <c r="F45" s="134"/>
      <c r="G45" s="131" t="str">
        <f t="shared" ref="G45:G46" si="0">IF(OR(D45="",E45="",F45=""),"Encodez : Les consommations de chauffage"," ")</f>
        <v>Encodez : Les consommations de chauffage</v>
      </c>
      <c r="H45" s="116"/>
      <c r="I45" s="116"/>
      <c r="J45" s="116"/>
      <c r="K45" s="116"/>
    </row>
    <row r="46" spans="1:11" x14ac:dyDescent="0.25">
      <c r="A46" s="116"/>
      <c r="B46" s="116"/>
      <c r="C46" s="156">
        <v>2021</v>
      </c>
      <c r="D46" s="168"/>
      <c r="E46" s="169"/>
      <c r="F46" s="134"/>
      <c r="G46" s="131" t="str">
        <f t="shared" si="0"/>
        <v>Encodez : Les consommations de chauffage</v>
      </c>
      <c r="H46" s="116"/>
      <c r="I46" s="116"/>
      <c r="J46" s="116"/>
      <c r="K46" s="116"/>
    </row>
    <row r="47" spans="1:11" x14ac:dyDescent="0.25">
      <c r="A47" s="116"/>
      <c r="B47" s="116"/>
      <c r="C47" s="116"/>
      <c r="D47" s="140"/>
      <c r="E47" s="116"/>
      <c r="F47" s="116"/>
      <c r="G47" s="116"/>
      <c r="H47" s="116"/>
      <c r="I47" s="116"/>
      <c r="J47" s="116"/>
      <c r="K47" s="116"/>
    </row>
    <row r="48" spans="1:11" ht="13.8" thickBot="1" x14ac:dyDescent="0.3">
      <c r="A48" s="116"/>
      <c r="B48" s="116"/>
      <c r="C48" s="116"/>
      <c r="D48" s="140"/>
      <c r="E48" s="116"/>
      <c r="F48" s="116"/>
      <c r="G48" s="116"/>
      <c r="H48" s="116"/>
      <c r="I48" s="116"/>
      <c r="J48" s="116"/>
      <c r="K48" s="116"/>
    </row>
    <row r="49" spans="1:11" ht="16.2" thickBot="1" x14ac:dyDescent="0.35">
      <c r="A49" s="116"/>
      <c r="B49" s="159" t="s">
        <v>33</v>
      </c>
      <c r="C49" s="160"/>
      <c r="D49" s="161"/>
      <c r="E49" s="162"/>
      <c r="F49" s="116"/>
      <c r="G49" s="116"/>
      <c r="H49" s="116"/>
      <c r="I49" s="116"/>
      <c r="J49" s="116"/>
      <c r="K49" s="116"/>
    </row>
    <row r="50" spans="1:11" x14ac:dyDescent="0.25">
      <c r="A50" s="116"/>
      <c r="B50" s="116"/>
      <c r="C50" s="116"/>
      <c r="D50" s="140"/>
      <c r="E50" s="116"/>
      <c r="F50" s="116"/>
      <c r="G50" s="116"/>
      <c r="H50" s="116"/>
      <c r="I50" s="116"/>
      <c r="J50" s="116"/>
      <c r="K50" s="116"/>
    </row>
    <row r="51" spans="1:11" ht="13.8" thickBot="1" x14ac:dyDescent="0.3">
      <c r="A51" s="116"/>
      <c r="B51" s="116"/>
      <c r="C51" s="116"/>
      <c r="D51" s="140"/>
      <c r="E51" s="116"/>
      <c r="F51" s="116"/>
      <c r="G51" s="116"/>
      <c r="H51" s="116"/>
      <c r="I51" s="116"/>
      <c r="J51" s="116"/>
      <c r="K51" s="116"/>
    </row>
    <row r="52" spans="1:11" ht="53.25" customHeight="1" x14ac:dyDescent="0.25">
      <c r="A52" s="116"/>
      <c r="B52" s="116"/>
      <c r="C52" s="266" t="s">
        <v>3164</v>
      </c>
      <c r="D52" s="267"/>
      <c r="E52" s="267"/>
      <c r="F52" s="268"/>
      <c r="G52" s="116"/>
      <c r="H52" s="131" t="str">
        <f>IF(Checks!D43&lt;&gt;Checks!B42,"Au moins une surface n'a pas étét encodée !","")</f>
        <v/>
      </c>
      <c r="I52" s="116"/>
      <c r="J52" s="116"/>
      <c r="K52" s="116"/>
    </row>
    <row r="53" spans="1:11" x14ac:dyDescent="0.25">
      <c r="A53" s="116"/>
      <c r="B53" s="116"/>
      <c r="C53" s="269" t="s">
        <v>34</v>
      </c>
      <c r="D53" s="270"/>
      <c r="E53" s="270"/>
      <c r="F53" s="271"/>
      <c r="G53" s="116"/>
      <c r="H53" s="131" t="str">
        <f>IF(Checks!C43&lt;&gt;Checks!B42,"Au moins un U des surfaces dont le U est connu n'a pas été encodé !","")</f>
        <v/>
      </c>
      <c r="I53" s="116"/>
      <c r="J53" s="116"/>
      <c r="K53" s="116"/>
    </row>
    <row r="54" spans="1:11" ht="43.2" customHeight="1" x14ac:dyDescent="0.25">
      <c r="A54" s="116"/>
      <c r="B54" s="116"/>
      <c r="C54" s="275" t="s">
        <v>3179</v>
      </c>
      <c r="D54" s="276"/>
      <c r="E54" s="276"/>
      <c r="F54" s="277"/>
      <c r="G54" s="116"/>
      <c r="H54" s="131"/>
      <c r="I54" s="116"/>
      <c r="J54" s="116"/>
      <c r="K54" s="116"/>
    </row>
    <row r="55" spans="1:11" x14ac:dyDescent="0.25">
      <c r="A55" s="116"/>
      <c r="B55" s="116"/>
      <c r="C55" s="272" t="s">
        <v>35</v>
      </c>
      <c r="D55" s="273"/>
      <c r="E55" s="273"/>
      <c r="F55" s="274"/>
      <c r="G55" s="116"/>
      <c r="H55" s="131" t="str">
        <f>IF(Checks!E43&lt;&gt;Checks!B42,"Au moins un état actuel de paroi n'a pas été encodé !","")</f>
        <v/>
      </c>
      <c r="I55" s="116"/>
      <c r="J55" s="116"/>
      <c r="K55" s="116"/>
    </row>
    <row r="56" spans="1:11" x14ac:dyDescent="0.25">
      <c r="A56" s="116"/>
      <c r="B56" s="116"/>
      <c r="C56" s="272" t="s">
        <v>36</v>
      </c>
      <c r="D56" s="273"/>
      <c r="E56" s="273"/>
      <c r="F56" s="274"/>
      <c r="G56" s="116"/>
      <c r="H56" s="131" t="str">
        <f>IF(Checks!F43&lt;&gt;Checks!B42,"Au moins une catégorie de paroi n'a pas été encodée !","")</f>
        <v/>
      </c>
      <c r="I56" s="116"/>
      <c r="J56" s="197"/>
      <c r="K56" s="116"/>
    </row>
    <row r="57" spans="1:11" ht="27" customHeight="1" x14ac:dyDescent="0.25">
      <c r="A57" s="116"/>
      <c r="B57" s="116"/>
      <c r="C57" s="286" t="s">
        <v>37</v>
      </c>
      <c r="D57" s="287"/>
      <c r="E57" s="287"/>
      <c r="F57" s="288"/>
      <c r="G57" s="116"/>
      <c r="H57" s="131" t="str">
        <f>IF(Checks!G43&lt;&gt;Checks!B42,"Au moins une rénovation de paroi n'a pas été encodée !","")</f>
        <v/>
      </c>
      <c r="I57" s="116"/>
      <c r="J57" s="116"/>
      <c r="K57" s="116"/>
    </row>
    <row r="58" spans="1:11" ht="27" customHeight="1" x14ac:dyDescent="0.25">
      <c r="A58" s="116"/>
      <c r="B58" s="116"/>
      <c r="C58" s="286" t="s">
        <v>38</v>
      </c>
      <c r="D58" s="287"/>
      <c r="E58" s="287"/>
      <c r="F58" s="288"/>
      <c r="G58" s="116"/>
      <c r="H58" s="131" t="str">
        <f>IF(Checks!H43&lt;&gt;Checks!B42,"Au moins un U de rénovation n'a pas été encodé !","")</f>
        <v/>
      </c>
      <c r="I58" s="116"/>
      <c r="J58" s="116"/>
      <c r="K58" s="116"/>
    </row>
    <row r="59" spans="1:11" x14ac:dyDescent="0.25">
      <c r="A59" s="116"/>
      <c r="B59" s="116"/>
      <c r="C59" s="272" t="s">
        <v>39</v>
      </c>
      <c r="D59" s="278"/>
      <c r="E59" s="278"/>
      <c r="F59" s="279"/>
      <c r="G59" s="116"/>
      <c r="H59" s="131" t="str">
        <f>IF(Checks!I43&lt;&gt;Checks!B42,"Au moins un type d'isolant n'a pas été encodé","")</f>
        <v/>
      </c>
      <c r="I59" s="116"/>
      <c r="J59" s="116"/>
      <c r="K59" s="116"/>
    </row>
    <row r="60" spans="1:11" x14ac:dyDescent="0.25">
      <c r="A60" s="116"/>
      <c r="B60" s="116"/>
      <c r="C60" s="163"/>
      <c r="D60" s="164"/>
      <c r="E60" s="164"/>
      <c r="F60" s="165"/>
      <c r="G60" s="116"/>
      <c r="H60" s="131"/>
      <c r="I60" s="116"/>
      <c r="J60" s="116"/>
      <c r="K60" s="116"/>
    </row>
    <row r="61" spans="1:11" ht="13.8" thickBot="1" x14ac:dyDescent="0.3">
      <c r="A61" s="116"/>
      <c r="B61" s="116"/>
      <c r="C61" s="280" t="s">
        <v>40</v>
      </c>
      <c r="D61" s="281"/>
      <c r="E61" s="281"/>
      <c r="F61" s="282"/>
      <c r="G61" s="116"/>
      <c r="H61" s="131"/>
      <c r="I61" s="116"/>
      <c r="J61" s="116"/>
      <c r="K61" s="116"/>
    </row>
    <row r="62" spans="1:11" x14ac:dyDescent="0.25">
      <c r="A62" s="116"/>
      <c r="B62" s="116"/>
      <c r="C62" s="166"/>
      <c r="D62" s="166"/>
      <c r="E62" s="166"/>
      <c r="F62" s="166"/>
      <c r="G62" s="116"/>
      <c r="H62" s="116"/>
      <c r="I62" s="116"/>
      <c r="J62" s="116"/>
      <c r="K62" s="116"/>
    </row>
    <row r="63" spans="1:11" x14ac:dyDescent="0.25">
      <c r="A63" s="116"/>
      <c r="B63" s="116"/>
      <c r="C63" s="116"/>
      <c r="D63" s="140"/>
      <c r="E63" s="116"/>
      <c r="F63" s="116"/>
      <c r="G63" s="116"/>
      <c r="H63" s="116"/>
      <c r="I63" s="116"/>
      <c r="J63" s="116"/>
      <c r="K63" s="116"/>
    </row>
    <row r="64" spans="1:11" ht="52.5" customHeight="1" x14ac:dyDescent="0.25">
      <c r="A64" s="116"/>
      <c r="B64" s="116"/>
      <c r="C64" s="156" t="s">
        <v>41</v>
      </c>
      <c r="D64" s="156" t="s">
        <v>42</v>
      </c>
      <c r="E64" s="156" t="s">
        <v>43</v>
      </c>
      <c r="F64" s="167" t="s">
        <v>44</v>
      </c>
      <c r="G64" s="167" t="s">
        <v>45</v>
      </c>
      <c r="H64" s="167" t="s">
        <v>46</v>
      </c>
      <c r="I64" s="167" t="s">
        <v>47</v>
      </c>
      <c r="J64" s="167" t="s">
        <v>48</v>
      </c>
      <c r="K64" s="116"/>
    </row>
    <row r="65" spans="1:11" x14ac:dyDescent="0.25">
      <c r="A65" s="177" t="str">
        <f>IFERROR(INDEX(Tableau4[cat], MATCH('Encodage données'!C65,Tableau4[Catégories de parois], 0)),"")</f>
        <v/>
      </c>
      <c r="B65" s="42">
        <v>1</v>
      </c>
      <c r="C65" s="170"/>
      <c r="D65" s="135"/>
      <c r="E65" s="135"/>
      <c r="F65" s="136"/>
      <c r="G65" s="171"/>
      <c r="H65" s="170"/>
      <c r="I65" s="172"/>
      <c r="J65" s="135"/>
      <c r="K65" s="244" t="str">
        <f>IF(OR(H65="Isolation Toiture en pente",H65="Isolation Toiture Sarking"),"Une donnée non prévue dans le menu déroulant a été encodée dans la colonne Rénovation prévue de la paroi ?",IF(OR(AND(A65="fen",F65="U connu"),AND(NOT(A65="fen"),F65="U connu (porte et fenêtres)")),"Une donnée non prévue dans le menu déroulant a été encodée dans la colonne Etat actuel",""))</f>
        <v/>
      </c>
    </row>
    <row r="66" spans="1:11" x14ac:dyDescent="0.25">
      <c r="A66" s="177" t="str">
        <f>IFERROR(INDEX(Tableau4[cat], MATCH('Encodage données'!C66,Tableau4[Catégories de parois], 0)),"")</f>
        <v/>
      </c>
      <c r="B66" s="42">
        <v>2</v>
      </c>
      <c r="C66" s="170"/>
      <c r="D66" s="135"/>
      <c r="E66" s="135"/>
      <c r="F66" s="136"/>
      <c r="G66" s="171"/>
      <c r="H66" s="170"/>
      <c r="I66" s="172"/>
      <c r="J66" s="135"/>
      <c r="K66" s="244" t="str">
        <f t="shared" ref="K66:K129" si="1">IF(OR(H66="Isolation Toiture en pente",H66="Isolation Toiture Sarking"),"Une donnée non prévue dans le menu déroulant a été encodée dans la colonne Rénovation prévue de la paroi ?",IF(OR(AND(A66="fen",F66="U connu"),AND(NOT(A66="fen"),F66="U connu (porte et fenêtres)")),"Une donnée non prévue dans le menu déroulant a été encodée dans la colonne Etat actuel",""))</f>
        <v/>
      </c>
    </row>
    <row r="67" spans="1:11" x14ac:dyDescent="0.25">
      <c r="A67" s="177" t="str">
        <f>IFERROR(INDEX(Tableau4[cat], MATCH('Encodage données'!C67,Tableau4[Catégories de parois], 0)),"")</f>
        <v/>
      </c>
      <c r="B67" s="42">
        <v>3</v>
      </c>
      <c r="C67" s="170"/>
      <c r="D67" s="135"/>
      <c r="E67" s="135"/>
      <c r="F67" s="136"/>
      <c r="G67" s="171"/>
      <c r="H67" s="170"/>
      <c r="I67" s="172"/>
      <c r="J67" s="135"/>
      <c r="K67" s="244" t="str">
        <f t="shared" si="1"/>
        <v/>
      </c>
    </row>
    <row r="68" spans="1:11" x14ac:dyDescent="0.25">
      <c r="A68" s="177" t="str">
        <f>IFERROR(INDEX(Tableau4[cat], MATCH('Encodage données'!C68,Tableau4[Catégories de parois], 0)),"")</f>
        <v/>
      </c>
      <c r="B68" s="42">
        <v>4</v>
      </c>
      <c r="C68" s="170"/>
      <c r="D68" s="135"/>
      <c r="E68" s="135"/>
      <c r="F68" s="136"/>
      <c r="G68" s="171"/>
      <c r="H68" s="170"/>
      <c r="I68" s="172"/>
      <c r="J68" s="135"/>
      <c r="K68" s="244" t="str">
        <f t="shared" si="1"/>
        <v/>
      </c>
    </row>
    <row r="69" spans="1:11" x14ac:dyDescent="0.25">
      <c r="A69" s="177" t="str">
        <f>IFERROR(INDEX(Tableau4[cat], MATCH('Encodage données'!C69,Tableau4[Catégories de parois], 0)),"")</f>
        <v/>
      </c>
      <c r="B69" s="42">
        <v>5</v>
      </c>
      <c r="C69" s="170"/>
      <c r="D69" s="135"/>
      <c r="E69" s="135"/>
      <c r="F69" s="136"/>
      <c r="G69" s="171"/>
      <c r="H69" s="170"/>
      <c r="I69" s="172"/>
      <c r="J69" s="135"/>
      <c r="K69" s="244" t="str">
        <f t="shared" si="1"/>
        <v/>
      </c>
    </row>
    <row r="70" spans="1:11" x14ac:dyDescent="0.25">
      <c r="A70" s="177" t="str">
        <f>IFERROR(INDEX(Tableau4[cat], MATCH('Encodage données'!C70,Tableau4[Catégories de parois], 0)),"")</f>
        <v/>
      </c>
      <c r="B70" s="42">
        <v>6</v>
      </c>
      <c r="C70" s="170"/>
      <c r="D70" s="135"/>
      <c r="E70" s="135"/>
      <c r="F70" s="136"/>
      <c r="G70" s="171"/>
      <c r="H70" s="170"/>
      <c r="I70" s="172"/>
      <c r="J70" s="135"/>
      <c r="K70" s="244" t="str">
        <f t="shared" si="1"/>
        <v/>
      </c>
    </row>
    <row r="71" spans="1:11" x14ac:dyDescent="0.25">
      <c r="A71" s="177" t="str">
        <f>IFERROR(INDEX(Tableau4[cat], MATCH('Encodage données'!C71,Tableau4[Catégories de parois], 0)),"")</f>
        <v/>
      </c>
      <c r="B71" s="42">
        <v>7</v>
      </c>
      <c r="C71" s="170"/>
      <c r="D71" s="135"/>
      <c r="E71" s="135"/>
      <c r="F71" s="136"/>
      <c r="G71" s="171"/>
      <c r="H71" s="170"/>
      <c r="I71" s="172"/>
      <c r="J71" s="135"/>
      <c r="K71" s="244" t="str">
        <f t="shared" si="1"/>
        <v/>
      </c>
    </row>
    <row r="72" spans="1:11" x14ac:dyDescent="0.25">
      <c r="A72" s="177" t="str">
        <f>IFERROR(INDEX(Tableau4[cat], MATCH('Encodage données'!C72,Tableau4[Catégories de parois], 0)),"")</f>
        <v/>
      </c>
      <c r="B72" s="42">
        <v>8</v>
      </c>
      <c r="C72" s="170"/>
      <c r="D72" s="135"/>
      <c r="E72" s="135"/>
      <c r="F72" s="136"/>
      <c r="G72" s="171"/>
      <c r="H72" s="170"/>
      <c r="I72" s="172"/>
      <c r="J72" s="135"/>
      <c r="K72" s="244" t="str">
        <f t="shared" si="1"/>
        <v/>
      </c>
    </row>
    <row r="73" spans="1:11" x14ac:dyDescent="0.25">
      <c r="A73" s="177" t="str">
        <f>IFERROR(INDEX(Tableau4[cat], MATCH('Encodage données'!C73,Tableau4[Catégories de parois], 0)),"")</f>
        <v/>
      </c>
      <c r="B73" s="42">
        <v>9</v>
      </c>
      <c r="C73" s="170"/>
      <c r="D73" s="135"/>
      <c r="E73" s="135"/>
      <c r="F73" s="136"/>
      <c r="G73" s="171"/>
      <c r="H73" s="170"/>
      <c r="I73" s="172"/>
      <c r="J73" s="135"/>
      <c r="K73" s="244" t="str">
        <f t="shared" si="1"/>
        <v/>
      </c>
    </row>
    <row r="74" spans="1:11" x14ac:dyDescent="0.25">
      <c r="A74" s="177" t="str">
        <f>IFERROR(INDEX(Tableau4[cat], MATCH('Encodage données'!C74,Tableau4[Catégories de parois], 0)),"")</f>
        <v/>
      </c>
      <c r="B74" s="42">
        <v>10</v>
      </c>
      <c r="C74" s="170"/>
      <c r="D74" s="135"/>
      <c r="E74" s="135"/>
      <c r="F74" s="136"/>
      <c r="G74" s="171"/>
      <c r="H74" s="170"/>
      <c r="I74" s="172"/>
      <c r="J74" s="135"/>
      <c r="K74" s="244" t="str">
        <f t="shared" si="1"/>
        <v/>
      </c>
    </row>
    <row r="75" spans="1:11" x14ac:dyDescent="0.25">
      <c r="A75" s="177" t="str">
        <f>IFERROR(INDEX(Tableau4[cat], MATCH('Encodage données'!C75,Tableau4[Catégories de parois], 0)),"")</f>
        <v/>
      </c>
      <c r="B75" s="42">
        <v>11</v>
      </c>
      <c r="C75" s="170"/>
      <c r="D75" s="135"/>
      <c r="E75" s="135"/>
      <c r="F75" s="136"/>
      <c r="G75" s="171"/>
      <c r="H75" s="170"/>
      <c r="I75" s="172"/>
      <c r="J75" s="135"/>
      <c r="K75" s="244" t="str">
        <f t="shared" si="1"/>
        <v/>
      </c>
    </row>
    <row r="76" spans="1:11" x14ac:dyDescent="0.25">
      <c r="A76" s="177" t="str">
        <f>IFERROR(INDEX(Tableau4[cat], MATCH('Encodage données'!C76,Tableau4[Catégories de parois], 0)),"")</f>
        <v/>
      </c>
      <c r="B76" s="42">
        <v>12</v>
      </c>
      <c r="C76" s="170"/>
      <c r="D76" s="135"/>
      <c r="E76" s="135"/>
      <c r="F76" s="136"/>
      <c r="G76" s="171"/>
      <c r="H76" s="170"/>
      <c r="I76" s="172"/>
      <c r="J76" s="135"/>
      <c r="K76" s="244" t="str">
        <f t="shared" si="1"/>
        <v/>
      </c>
    </row>
    <row r="77" spans="1:11" x14ac:dyDescent="0.25">
      <c r="A77" s="177" t="str">
        <f>IFERROR(INDEX(Tableau4[cat], MATCH('Encodage données'!C77,Tableau4[Catégories de parois], 0)),"")</f>
        <v/>
      </c>
      <c r="B77" s="42">
        <v>13</v>
      </c>
      <c r="C77" s="170"/>
      <c r="D77" s="135"/>
      <c r="E77" s="135"/>
      <c r="F77" s="136"/>
      <c r="G77" s="171"/>
      <c r="H77" s="170"/>
      <c r="I77" s="172"/>
      <c r="J77" s="135"/>
      <c r="K77" s="244" t="str">
        <f t="shared" si="1"/>
        <v/>
      </c>
    </row>
    <row r="78" spans="1:11" x14ac:dyDescent="0.25">
      <c r="A78" s="177" t="str">
        <f>IFERROR(INDEX(Tableau4[cat], MATCH('Encodage données'!C78,Tableau4[Catégories de parois], 0)),"")</f>
        <v/>
      </c>
      <c r="B78" s="42">
        <v>14</v>
      </c>
      <c r="C78" s="170"/>
      <c r="D78" s="135"/>
      <c r="E78" s="135"/>
      <c r="F78" s="136"/>
      <c r="G78" s="171"/>
      <c r="H78" s="170"/>
      <c r="I78" s="172"/>
      <c r="J78" s="135"/>
      <c r="K78" s="244" t="str">
        <f t="shared" si="1"/>
        <v/>
      </c>
    </row>
    <row r="79" spans="1:11" x14ac:dyDescent="0.25">
      <c r="A79" s="177" t="str">
        <f>IFERROR(INDEX(Tableau4[cat], MATCH('Encodage données'!C79,Tableau4[Catégories de parois], 0)),"")</f>
        <v/>
      </c>
      <c r="B79" s="42">
        <v>15</v>
      </c>
      <c r="C79" s="170"/>
      <c r="D79" s="135"/>
      <c r="E79" s="135"/>
      <c r="F79" s="136"/>
      <c r="G79" s="171"/>
      <c r="H79" s="170"/>
      <c r="I79" s="172"/>
      <c r="J79" s="135"/>
      <c r="K79" s="244" t="str">
        <f t="shared" si="1"/>
        <v/>
      </c>
    </row>
    <row r="80" spans="1:11" x14ac:dyDescent="0.25">
      <c r="A80" s="177" t="str">
        <f>IFERROR(INDEX(Tableau4[cat], MATCH('Encodage données'!C80,Tableau4[Catégories de parois], 0)),"")</f>
        <v/>
      </c>
      <c r="B80" s="42">
        <v>16</v>
      </c>
      <c r="C80" s="170"/>
      <c r="D80" s="135"/>
      <c r="E80" s="135"/>
      <c r="F80" s="136"/>
      <c r="G80" s="171"/>
      <c r="H80" s="170"/>
      <c r="I80" s="172"/>
      <c r="J80" s="135"/>
      <c r="K80" s="244" t="str">
        <f t="shared" si="1"/>
        <v/>
      </c>
    </row>
    <row r="81" spans="1:11" x14ac:dyDescent="0.25">
      <c r="A81" s="177" t="str">
        <f>IFERROR(INDEX(Tableau4[cat], MATCH('Encodage données'!C81,Tableau4[Catégories de parois], 0)),"")</f>
        <v/>
      </c>
      <c r="B81" s="42">
        <v>17</v>
      </c>
      <c r="C81" s="170"/>
      <c r="D81" s="135"/>
      <c r="E81" s="135"/>
      <c r="F81" s="136"/>
      <c r="G81" s="171"/>
      <c r="H81" s="170"/>
      <c r="I81" s="172"/>
      <c r="J81" s="135"/>
      <c r="K81" s="244" t="str">
        <f t="shared" si="1"/>
        <v/>
      </c>
    </row>
    <row r="82" spans="1:11" x14ac:dyDescent="0.25">
      <c r="A82" s="177" t="str">
        <f>IFERROR(INDEX(Tableau4[cat], MATCH('Encodage données'!C82,Tableau4[Catégories de parois], 0)),"")</f>
        <v/>
      </c>
      <c r="B82" s="42">
        <v>18</v>
      </c>
      <c r="C82" s="170"/>
      <c r="D82" s="135"/>
      <c r="E82" s="135"/>
      <c r="F82" s="136"/>
      <c r="G82" s="171"/>
      <c r="H82" s="170"/>
      <c r="I82" s="172"/>
      <c r="J82" s="135"/>
      <c r="K82" s="244" t="str">
        <f t="shared" si="1"/>
        <v/>
      </c>
    </row>
    <row r="83" spans="1:11" x14ac:dyDescent="0.25">
      <c r="A83" s="177" t="str">
        <f>IFERROR(INDEX(Tableau4[cat], MATCH('Encodage données'!C83,Tableau4[Catégories de parois], 0)),"")</f>
        <v/>
      </c>
      <c r="B83" s="42">
        <v>19</v>
      </c>
      <c r="C83" s="170"/>
      <c r="D83" s="135"/>
      <c r="E83" s="135"/>
      <c r="F83" s="136"/>
      <c r="G83" s="171"/>
      <c r="H83" s="170"/>
      <c r="I83" s="172"/>
      <c r="J83" s="135"/>
      <c r="K83" s="244" t="str">
        <f t="shared" si="1"/>
        <v/>
      </c>
    </row>
    <row r="84" spans="1:11" x14ac:dyDescent="0.25">
      <c r="A84" s="177" t="str">
        <f>IFERROR(INDEX(Tableau4[cat], MATCH('Encodage données'!C84,Tableau4[Catégories de parois], 0)),"")</f>
        <v/>
      </c>
      <c r="B84" s="42">
        <v>20</v>
      </c>
      <c r="C84" s="170"/>
      <c r="D84" s="135"/>
      <c r="E84" s="135"/>
      <c r="F84" s="136"/>
      <c r="G84" s="171"/>
      <c r="H84" s="170"/>
      <c r="I84" s="172"/>
      <c r="J84" s="135"/>
      <c r="K84" s="244" t="str">
        <f t="shared" si="1"/>
        <v/>
      </c>
    </row>
    <row r="85" spans="1:11" x14ac:dyDescent="0.25">
      <c r="A85" s="177" t="str">
        <f>IFERROR(INDEX(Tableau4[cat], MATCH('Encodage données'!C85,Tableau4[Catégories de parois], 0)),"")</f>
        <v/>
      </c>
      <c r="B85" s="42">
        <v>21</v>
      </c>
      <c r="C85" s="170"/>
      <c r="D85" s="135"/>
      <c r="E85" s="135"/>
      <c r="F85" s="136"/>
      <c r="G85" s="171"/>
      <c r="H85" s="170"/>
      <c r="I85" s="172"/>
      <c r="J85" s="135"/>
      <c r="K85" s="244" t="str">
        <f t="shared" si="1"/>
        <v/>
      </c>
    </row>
    <row r="86" spans="1:11" x14ac:dyDescent="0.25">
      <c r="A86" s="177" t="str">
        <f>IFERROR(INDEX(Tableau4[cat], MATCH('Encodage données'!C86,Tableau4[Catégories de parois], 0)),"")</f>
        <v/>
      </c>
      <c r="B86" s="42">
        <v>22</v>
      </c>
      <c r="C86" s="170"/>
      <c r="D86" s="135"/>
      <c r="E86" s="135"/>
      <c r="F86" s="136"/>
      <c r="G86" s="171"/>
      <c r="H86" s="170"/>
      <c r="I86" s="172"/>
      <c r="J86" s="135"/>
      <c r="K86" s="244" t="str">
        <f t="shared" si="1"/>
        <v/>
      </c>
    </row>
    <row r="87" spans="1:11" x14ac:dyDescent="0.25">
      <c r="A87" s="177" t="str">
        <f>IFERROR(INDEX(Tableau4[cat], MATCH('Encodage données'!C87,Tableau4[Catégories de parois], 0)),"")</f>
        <v/>
      </c>
      <c r="B87" s="42">
        <v>23</v>
      </c>
      <c r="C87" s="170"/>
      <c r="D87" s="135"/>
      <c r="E87" s="135"/>
      <c r="F87" s="136"/>
      <c r="G87" s="171"/>
      <c r="H87" s="170"/>
      <c r="I87" s="172"/>
      <c r="J87" s="135"/>
      <c r="K87" s="244" t="str">
        <f t="shared" si="1"/>
        <v/>
      </c>
    </row>
    <row r="88" spans="1:11" x14ac:dyDescent="0.25">
      <c r="A88" s="177" t="str">
        <f>IFERROR(INDEX(Tableau4[cat], MATCH('Encodage données'!C88,Tableau4[Catégories de parois], 0)),"")</f>
        <v/>
      </c>
      <c r="B88" s="42">
        <v>24</v>
      </c>
      <c r="C88" s="170"/>
      <c r="D88" s="135"/>
      <c r="E88" s="135"/>
      <c r="F88" s="136"/>
      <c r="G88" s="171"/>
      <c r="H88" s="170"/>
      <c r="I88" s="172"/>
      <c r="J88" s="135"/>
      <c r="K88" s="244" t="str">
        <f t="shared" si="1"/>
        <v/>
      </c>
    </row>
    <row r="89" spans="1:11" x14ac:dyDescent="0.25">
      <c r="A89" s="177" t="str">
        <f>IFERROR(INDEX(Tableau4[cat], MATCH('Encodage données'!C89,Tableau4[Catégories de parois], 0)),"")</f>
        <v/>
      </c>
      <c r="B89" s="42">
        <v>25</v>
      </c>
      <c r="C89" s="170"/>
      <c r="D89" s="135"/>
      <c r="E89" s="135"/>
      <c r="F89" s="136"/>
      <c r="G89" s="171"/>
      <c r="H89" s="170"/>
      <c r="I89" s="172"/>
      <c r="J89" s="135"/>
      <c r="K89" s="244" t="str">
        <f t="shared" si="1"/>
        <v/>
      </c>
    </row>
    <row r="90" spans="1:11" x14ac:dyDescent="0.25">
      <c r="A90" s="177" t="str">
        <f>IFERROR(INDEX(Tableau4[cat], MATCH('Encodage données'!C90,Tableau4[Catégories de parois], 0)),"")</f>
        <v/>
      </c>
      <c r="B90" s="42">
        <v>26</v>
      </c>
      <c r="C90" s="170"/>
      <c r="D90" s="135"/>
      <c r="E90" s="135"/>
      <c r="F90" s="136"/>
      <c r="G90" s="171"/>
      <c r="H90" s="170"/>
      <c r="I90" s="172"/>
      <c r="J90" s="135"/>
      <c r="K90" s="244" t="str">
        <f t="shared" si="1"/>
        <v/>
      </c>
    </row>
    <row r="91" spans="1:11" x14ac:dyDescent="0.25">
      <c r="A91" s="177" t="str">
        <f>IFERROR(INDEX(Tableau4[cat], MATCH('Encodage données'!C91,Tableau4[Catégories de parois], 0)),"")</f>
        <v/>
      </c>
      <c r="B91" s="42">
        <v>27</v>
      </c>
      <c r="C91" s="170"/>
      <c r="D91" s="135"/>
      <c r="E91" s="135"/>
      <c r="F91" s="136"/>
      <c r="G91" s="171"/>
      <c r="H91" s="170"/>
      <c r="I91" s="172"/>
      <c r="J91" s="135"/>
      <c r="K91" s="244" t="str">
        <f t="shared" si="1"/>
        <v/>
      </c>
    </row>
    <row r="92" spans="1:11" x14ac:dyDescent="0.25">
      <c r="A92" s="177" t="str">
        <f>IFERROR(INDEX(Tableau4[cat], MATCH('Encodage données'!C92,Tableau4[Catégories de parois], 0)),"")</f>
        <v/>
      </c>
      <c r="B92" s="42">
        <v>28</v>
      </c>
      <c r="C92" s="170"/>
      <c r="D92" s="135"/>
      <c r="E92" s="135"/>
      <c r="F92" s="136"/>
      <c r="G92" s="171"/>
      <c r="H92" s="170"/>
      <c r="I92" s="172"/>
      <c r="J92" s="135"/>
      <c r="K92" s="244" t="str">
        <f t="shared" si="1"/>
        <v/>
      </c>
    </row>
    <row r="93" spans="1:11" x14ac:dyDescent="0.25">
      <c r="A93" s="177" t="str">
        <f>IFERROR(INDEX(Tableau4[cat], MATCH('Encodage données'!C93,Tableau4[Catégories de parois], 0)),"")</f>
        <v/>
      </c>
      <c r="B93" s="42">
        <v>29</v>
      </c>
      <c r="C93" s="170"/>
      <c r="D93" s="135"/>
      <c r="E93" s="135"/>
      <c r="F93" s="136"/>
      <c r="G93" s="171"/>
      <c r="H93" s="170"/>
      <c r="I93" s="172"/>
      <c r="J93" s="135"/>
      <c r="K93" s="244" t="str">
        <f t="shared" si="1"/>
        <v/>
      </c>
    </row>
    <row r="94" spans="1:11" x14ac:dyDescent="0.25">
      <c r="A94" s="177" t="str">
        <f>IFERROR(INDEX(Tableau4[cat], MATCH('Encodage données'!C94,Tableau4[Catégories de parois], 0)),"")</f>
        <v/>
      </c>
      <c r="B94" s="42">
        <v>30</v>
      </c>
      <c r="C94" s="170"/>
      <c r="D94" s="135"/>
      <c r="E94" s="135"/>
      <c r="F94" s="136"/>
      <c r="G94" s="171"/>
      <c r="H94" s="170"/>
      <c r="I94" s="172"/>
      <c r="J94" s="135"/>
      <c r="K94" s="244" t="str">
        <f t="shared" si="1"/>
        <v/>
      </c>
    </row>
    <row r="95" spans="1:11" x14ac:dyDescent="0.25">
      <c r="A95" s="177" t="str">
        <f>IFERROR(INDEX(Tableau4[cat], MATCH('Encodage données'!C95,Tableau4[Catégories de parois], 0)),"")</f>
        <v/>
      </c>
      <c r="B95" s="42">
        <v>31</v>
      </c>
      <c r="C95" s="170"/>
      <c r="D95" s="135"/>
      <c r="E95" s="135"/>
      <c r="F95" s="136"/>
      <c r="G95" s="171"/>
      <c r="H95" s="170"/>
      <c r="I95" s="172"/>
      <c r="J95" s="135"/>
      <c r="K95" s="244" t="str">
        <f t="shared" si="1"/>
        <v/>
      </c>
    </row>
    <row r="96" spans="1:11" x14ac:dyDescent="0.25">
      <c r="A96" s="177" t="str">
        <f>IFERROR(INDEX(Tableau4[cat], MATCH('Encodage données'!C96,Tableau4[Catégories de parois], 0)),"")</f>
        <v/>
      </c>
      <c r="B96" s="42">
        <v>32</v>
      </c>
      <c r="C96" s="170"/>
      <c r="D96" s="135"/>
      <c r="E96" s="135"/>
      <c r="F96" s="136"/>
      <c r="G96" s="171"/>
      <c r="H96" s="170"/>
      <c r="I96" s="172"/>
      <c r="J96" s="135"/>
      <c r="K96" s="244" t="str">
        <f t="shared" si="1"/>
        <v/>
      </c>
    </row>
    <row r="97" spans="1:11" x14ac:dyDescent="0.25">
      <c r="A97" s="177" t="str">
        <f>IFERROR(INDEX(Tableau4[cat], MATCH('Encodage données'!C97,Tableau4[Catégories de parois], 0)),"")</f>
        <v/>
      </c>
      <c r="B97" s="42">
        <v>33</v>
      </c>
      <c r="C97" s="170"/>
      <c r="D97" s="135"/>
      <c r="E97" s="135"/>
      <c r="F97" s="136"/>
      <c r="G97" s="171"/>
      <c r="H97" s="170"/>
      <c r="I97" s="172"/>
      <c r="J97" s="135"/>
      <c r="K97" s="244" t="str">
        <f t="shared" si="1"/>
        <v/>
      </c>
    </row>
    <row r="98" spans="1:11" x14ac:dyDescent="0.25">
      <c r="A98" s="177" t="str">
        <f>IFERROR(INDEX(Tableau4[cat], MATCH('Encodage données'!C98,Tableau4[Catégories de parois], 0)),"")</f>
        <v/>
      </c>
      <c r="B98" s="42">
        <v>34</v>
      </c>
      <c r="C98" s="170"/>
      <c r="D98" s="135"/>
      <c r="E98" s="135"/>
      <c r="F98" s="136"/>
      <c r="G98" s="171"/>
      <c r="H98" s="170"/>
      <c r="I98" s="172"/>
      <c r="J98" s="135"/>
      <c r="K98" s="244" t="str">
        <f t="shared" si="1"/>
        <v/>
      </c>
    </row>
    <row r="99" spans="1:11" x14ac:dyDescent="0.25">
      <c r="A99" s="177" t="str">
        <f>IFERROR(INDEX(Tableau4[cat], MATCH('Encodage données'!C99,Tableau4[Catégories de parois], 0)),"")</f>
        <v/>
      </c>
      <c r="B99" s="42">
        <v>35</v>
      </c>
      <c r="C99" s="170"/>
      <c r="D99" s="135"/>
      <c r="E99" s="135"/>
      <c r="F99" s="136"/>
      <c r="G99" s="171"/>
      <c r="H99" s="170"/>
      <c r="I99" s="172"/>
      <c r="J99" s="135"/>
      <c r="K99" s="244" t="str">
        <f t="shared" si="1"/>
        <v/>
      </c>
    </row>
    <row r="100" spans="1:11" x14ac:dyDescent="0.25">
      <c r="A100" s="177" t="str">
        <f>IFERROR(INDEX(Tableau4[cat], MATCH('Encodage données'!C100,Tableau4[Catégories de parois], 0)),"")</f>
        <v/>
      </c>
      <c r="B100" s="42">
        <v>36</v>
      </c>
      <c r="C100" s="170"/>
      <c r="D100" s="135"/>
      <c r="E100" s="135"/>
      <c r="F100" s="136"/>
      <c r="G100" s="171"/>
      <c r="H100" s="170"/>
      <c r="I100" s="172"/>
      <c r="J100" s="135"/>
      <c r="K100" s="244" t="str">
        <f t="shared" si="1"/>
        <v/>
      </c>
    </row>
    <row r="101" spans="1:11" x14ac:dyDescent="0.25">
      <c r="A101" s="177" t="str">
        <f>IFERROR(INDEX(Tableau4[cat], MATCH('Encodage données'!C101,Tableau4[Catégories de parois], 0)),"")</f>
        <v/>
      </c>
      <c r="B101" s="42">
        <v>37</v>
      </c>
      <c r="C101" s="170"/>
      <c r="D101" s="135"/>
      <c r="E101" s="135"/>
      <c r="F101" s="136"/>
      <c r="G101" s="171"/>
      <c r="H101" s="170"/>
      <c r="I101" s="172"/>
      <c r="J101" s="135"/>
      <c r="K101" s="244" t="str">
        <f t="shared" si="1"/>
        <v/>
      </c>
    </row>
    <row r="102" spans="1:11" x14ac:dyDescent="0.25">
      <c r="A102" s="177" t="str">
        <f>IFERROR(INDEX(Tableau4[cat], MATCH('Encodage données'!C102,Tableau4[Catégories de parois], 0)),"")</f>
        <v/>
      </c>
      <c r="B102" s="42">
        <v>38</v>
      </c>
      <c r="C102" s="170"/>
      <c r="D102" s="135"/>
      <c r="E102" s="135"/>
      <c r="F102" s="136"/>
      <c r="G102" s="171"/>
      <c r="H102" s="170"/>
      <c r="I102" s="172"/>
      <c r="J102" s="135"/>
      <c r="K102" s="244" t="str">
        <f t="shared" si="1"/>
        <v/>
      </c>
    </row>
    <row r="103" spans="1:11" x14ac:dyDescent="0.25">
      <c r="A103" s="177" t="str">
        <f>IFERROR(INDEX(Tableau4[cat], MATCH('Encodage données'!C103,Tableau4[Catégories de parois], 0)),"")</f>
        <v/>
      </c>
      <c r="B103" s="42">
        <v>39</v>
      </c>
      <c r="C103" s="170"/>
      <c r="D103" s="135"/>
      <c r="E103" s="135"/>
      <c r="F103" s="136"/>
      <c r="G103" s="171"/>
      <c r="H103" s="170"/>
      <c r="I103" s="172"/>
      <c r="J103" s="135"/>
      <c r="K103" s="244" t="str">
        <f t="shared" si="1"/>
        <v/>
      </c>
    </row>
    <row r="104" spans="1:11" x14ac:dyDescent="0.25">
      <c r="A104" s="177" t="str">
        <f>IFERROR(INDEX(Tableau4[cat], MATCH('Encodage données'!C104,Tableau4[Catégories de parois], 0)),"")</f>
        <v/>
      </c>
      <c r="B104" s="42">
        <v>40</v>
      </c>
      <c r="C104" s="170"/>
      <c r="D104" s="135"/>
      <c r="E104" s="135"/>
      <c r="F104" s="136"/>
      <c r="G104" s="171"/>
      <c r="H104" s="170"/>
      <c r="I104" s="172"/>
      <c r="J104" s="135"/>
      <c r="K104" s="244" t="str">
        <f t="shared" si="1"/>
        <v/>
      </c>
    </row>
    <row r="105" spans="1:11" x14ac:dyDescent="0.25">
      <c r="A105" s="177" t="str">
        <f>IFERROR(INDEX(Tableau4[cat], MATCH('Encodage données'!C105,Tableau4[Catégories de parois], 0)),"")</f>
        <v/>
      </c>
      <c r="B105" s="42">
        <v>41</v>
      </c>
      <c r="C105" s="170"/>
      <c r="D105" s="135"/>
      <c r="E105" s="135"/>
      <c r="F105" s="136"/>
      <c r="G105" s="171"/>
      <c r="H105" s="170"/>
      <c r="I105" s="172"/>
      <c r="J105" s="135"/>
      <c r="K105" s="244" t="str">
        <f t="shared" si="1"/>
        <v/>
      </c>
    </row>
    <row r="106" spans="1:11" x14ac:dyDescent="0.25">
      <c r="A106" s="177" t="str">
        <f>IFERROR(INDEX(Tableau4[cat], MATCH('Encodage données'!C106,Tableau4[Catégories de parois], 0)),"")</f>
        <v/>
      </c>
      <c r="B106" s="42">
        <v>42</v>
      </c>
      <c r="C106" s="170"/>
      <c r="D106" s="135"/>
      <c r="E106" s="135"/>
      <c r="F106" s="136"/>
      <c r="G106" s="171"/>
      <c r="H106" s="170"/>
      <c r="I106" s="172"/>
      <c r="J106" s="135"/>
      <c r="K106" s="244" t="str">
        <f t="shared" si="1"/>
        <v/>
      </c>
    </row>
    <row r="107" spans="1:11" x14ac:dyDescent="0.25">
      <c r="A107" s="177" t="str">
        <f>IFERROR(INDEX(Tableau4[cat], MATCH('Encodage données'!C107,Tableau4[Catégories de parois], 0)),"")</f>
        <v/>
      </c>
      <c r="B107" s="42">
        <v>43</v>
      </c>
      <c r="C107" s="170"/>
      <c r="D107" s="135"/>
      <c r="E107" s="135"/>
      <c r="F107" s="136"/>
      <c r="G107" s="171"/>
      <c r="H107" s="170"/>
      <c r="I107" s="172"/>
      <c r="J107" s="135"/>
      <c r="K107" s="244" t="str">
        <f t="shared" si="1"/>
        <v/>
      </c>
    </row>
    <row r="108" spans="1:11" x14ac:dyDescent="0.25">
      <c r="A108" s="177" t="str">
        <f>IFERROR(INDEX(Tableau4[cat], MATCH('Encodage données'!C108,Tableau4[Catégories de parois], 0)),"")</f>
        <v/>
      </c>
      <c r="B108" s="42">
        <v>44</v>
      </c>
      <c r="C108" s="170"/>
      <c r="D108" s="135"/>
      <c r="E108" s="135"/>
      <c r="F108" s="136"/>
      <c r="G108" s="171"/>
      <c r="H108" s="170"/>
      <c r="I108" s="172"/>
      <c r="J108" s="135"/>
      <c r="K108" s="244" t="str">
        <f t="shared" si="1"/>
        <v/>
      </c>
    </row>
    <row r="109" spans="1:11" x14ac:dyDescent="0.25">
      <c r="A109" s="177" t="str">
        <f>IFERROR(INDEX(Tableau4[cat], MATCH('Encodage données'!C109,Tableau4[Catégories de parois], 0)),"")</f>
        <v/>
      </c>
      <c r="B109" s="42">
        <v>45</v>
      </c>
      <c r="C109" s="170"/>
      <c r="D109" s="135"/>
      <c r="E109" s="135"/>
      <c r="F109" s="136"/>
      <c r="G109" s="171"/>
      <c r="H109" s="170"/>
      <c r="I109" s="172"/>
      <c r="J109" s="135"/>
      <c r="K109" s="244" t="str">
        <f t="shared" si="1"/>
        <v/>
      </c>
    </row>
    <row r="110" spans="1:11" x14ac:dyDescent="0.25">
      <c r="A110" s="177" t="str">
        <f>IFERROR(INDEX(Tableau4[cat], MATCH('Encodage données'!C110,Tableau4[Catégories de parois], 0)),"")</f>
        <v/>
      </c>
      <c r="B110" s="42">
        <v>46</v>
      </c>
      <c r="C110" s="170"/>
      <c r="D110" s="135"/>
      <c r="E110" s="135"/>
      <c r="F110" s="136"/>
      <c r="G110" s="171"/>
      <c r="H110" s="170"/>
      <c r="I110" s="172"/>
      <c r="J110" s="135"/>
      <c r="K110" s="244" t="str">
        <f t="shared" si="1"/>
        <v/>
      </c>
    </row>
    <row r="111" spans="1:11" x14ac:dyDescent="0.25">
      <c r="A111" s="177" t="str">
        <f>IFERROR(INDEX(Tableau4[cat], MATCH('Encodage données'!C111,Tableau4[Catégories de parois], 0)),"")</f>
        <v/>
      </c>
      <c r="B111" s="42">
        <v>47</v>
      </c>
      <c r="C111" s="170"/>
      <c r="D111" s="135"/>
      <c r="E111" s="135"/>
      <c r="F111" s="136"/>
      <c r="G111" s="171"/>
      <c r="H111" s="170"/>
      <c r="I111" s="172"/>
      <c r="J111" s="135"/>
      <c r="K111" s="244" t="str">
        <f t="shared" si="1"/>
        <v/>
      </c>
    </row>
    <row r="112" spans="1:11" x14ac:dyDescent="0.25">
      <c r="A112" s="177" t="str">
        <f>IFERROR(INDEX(Tableau4[cat], MATCH('Encodage données'!C112,Tableau4[Catégories de parois], 0)),"")</f>
        <v/>
      </c>
      <c r="B112" s="42">
        <v>48</v>
      </c>
      <c r="C112" s="170"/>
      <c r="D112" s="135"/>
      <c r="E112" s="135"/>
      <c r="F112" s="136"/>
      <c r="G112" s="171"/>
      <c r="H112" s="170"/>
      <c r="I112" s="172"/>
      <c r="J112" s="135"/>
      <c r="K112" s="244" t="str">
        <f t="shared" si="1"/>
        <v/>
      </c>
    </row>
    <row r="113" spans="1:11" x14ac:dyDescent="0.25">
      <c r="A113" s="177" t="str">
        <f>IFERROR(INDEX(Tableau4[cat], MATCH('Encodage données'!C113,Tableau4[Catégories de parois], 0)),"")</f>
        <v/>
      </c>
      <c r="B113" s="42">
        <v>49</v>
      </c>
      <c r="C113" s="170"/>
      <c r="D113" s="135"/>
      <c r="E113" s="135"/>
      <c r="F113" s="136"/>
      <c r="G113" s="171"/>
      <c r="H113" s="170"/>
      <c r="I113" s="172"/>
      <c r="J113" s="135"/>
      <c r="K113" s="244" t="str">
        <f t="shared" si="1"/>
        <v/>
      </c>
    </row>
    <row r="114" spans="1:11" x14ac:dyDescent="0.25">
      <c r="A114" s="177" t="str">
        <f>IFERROR(INDEX(Tableau4[cat], MATCH('Encodage données'!C114,Tableau4[Catégories de parois], 0)),"")</f>
        <v/>
      </c>
      <c r="B114" s="42">
        <v>50</v>
      </c>
      <c r="C114" s="170"/>
      <c r="D114" s="135"/>
      <c r="E114" s="135"/>
      <c r="F114" s="136"/>
      <c r="G114" s="171"/>
      <c r="H114" s="170"/>
      <c r="I114" s="172"/>
      <c r="J114" s="135"/>
      <c r="K114" s="244" t="str">
        <f t="shared" si="1"/>
        <v/>
      </c>
    </row>
    <row r="115" spans="1:11" x14ac:dyDescent="0.25">
      <c r="A115" s="177" t="str">
        <f>IFERROR(INDEX(Tableau4[cat], MATCH('Encodage données'!C115,Tableau4[Catégories de parois], 0)),"")</f>
        <v/>
      </c>
      <c r="B115" s="42">
        <v>51</v>
      </c>
      <c r="C115" s="170"/>
      <c r="D115" s="135"/>
      <c r="E115" s="135"/>
      <c r="F115" s="136"/>
      <c r="G115" s="171"/>
      <c r="H115" s="170"/>
      <c r="I115" s="172"/>
      <c r="J115" s="135"/>
      <c r="K115" s="244" t="str">
        <f t="shared" si="1"/>
        <v/>
      </c>
    </row>
    <row r="116" spans="1:11" x14ac:dyDescent="0.25">
      <c r="A116" s="177" t="str">
        <f>IFERROR(INDEX(Tableau4[cat], MATCH('Encodage données'!C116,Tableau4[Catégories de parois], 0)),"")</f>
        <v/>
      </c>
      <c r="B116" s="42">
        <v>52</v>
      </c>
      <c r="C116" s="170"/>
      <c r="D116" s="135"/>
      <c r="E116" s="135"/>
      <c r="F116" s="136"/>
      <c r="G116" s="171"/>
      <c r="H116" s="170"/>
      <c r="I116" s="172"/>
      <c r="J116" s="135"/>
      <c r="K116" s="244" t="str">
        <f t="shared" si="1"/>
        <v/>
      </c>
    </row>
    <row r="117" spans="1:11" x14ac:dyDescent="0.25">
      <c r="A117" s="177" t="str">
        <f>IFERROR(INDEX(Tableau4[cat], MATCH('Encodage données'!C117,Tableau4[Catégories de parois], 0)),"")</f>
        <v/>
      </c>
      <c r="B117" s="42">
        <v>53</v>
      </c>
      <c r="C117" s="170"/>
      <c r="D117" s="135"/>
      <c r="E117" s="135"/>
      <c r="F117" s="136"/>
      <c r="G117" s="171"/>
      <c r="H117" s="170"/>
      <c r="I117" s="172"/>
      <c r="J117" s="135"/>
      <c r="K117" s="244" t="str">
        <f t="shared" si="1"/>
        <v/>
      </c>
    </row>
    <row r="118" spans="1:11" x14ac:dyDescent="0.25">
      <c r="A118" s="177" t="str">
        <f>IFERROR(INDEX(Tableau4[cat], MATCH('Encodage données'!C118,Tableau4[Catégories de parois], 0)),"")</f>
        <v/>
      </c>
      <c r="B118" s="42">
        <v>54</v>
      </c>
      <c r="C118" s="170"/>
      <c r="D118" s="135"/>
      <c r="E118" s="135"/>
      <c r="F118" s="136"/>
      <c r="G118" s="171"/>
      <c r="H118" s="170"/>
      <c r="I118" s="172"/>
      <c r="J118" s="135"/>
      <c r="K118" s="244" t="str">
        <f t="shared" si="1"/>
        <v/>
      </c>
    </row>
    <row r="119" spans="1:11" x14ac:dyDescent="0.25">
      <c r="A119" s="177" t="str">
        <f>IFERROR(INDEX(Tableau4[cat], MATCH('Encodage données'!C119,Tableau4[Catégories de parois], 0)),"")</f>
        <v/>
      </c>
      <c r="B119" s="42">
        <v>55</v>
      </c>
      <c r="C119" s="170"/>
      <c r="D119" s="135"/>
      <c r="E119" s="135"/>
      <c r="F119" s="136"/>
      <c r="G119" s="171"/>
      <c r="H119" s="170"/>
      <c r="I119" s="172"/>
      <c r="J119" s="135"/>
      <c r="K119" s="244" t="str">
        <f t="shared" si="1"/>
        <v/>
      </c>
    </row>
    <row r="120" spans="1:11" x14ac:dyDescent="0.25">
      <c r="A120" s="177" t="str">
        <f>IFERROR(INDEX(Tableau4[cat], MATCH('Encodage données'!C120,Tableau4[Catégories de parois], 0)),"")</f>
        <v/>
      </c>
      <c r="B120" s="42">
        <v>56</v>
      </c>
      <c r="C120" s="170"/>
      <c r="D120" s="135"/>
      <c r="E120" s="135"/>
      <c r="F120" s="136"/>
      <c r="G120" s="171"/>
      <c r="H120" s="170"/>
      <c r="I120" s="172"/>
      <c r="J120" s="135"/>
      <c r="K120" s="244" t="str">
        <f t="shared" si="1"/>
        <v/>
      </c>
    </row>
    <row r="121" spans="1:11" x14ac:dyDescent="0.25">
      <c r="A121" s="177" t="str">
        <f>IFERROR(INDEX(Tableau4[cat], MATCH('Encodage données'!C121,Tableau4[Catégories de parois], 0)),"")</f>
        <v/>
      </c>
      <c r="B121" s="42">
        <v>57</v>
      </c>
      <c r="C121" s="170"/>
      <c r="D121" s="135"/>
      <c r="E121" s="135"/>
      <c r="F121" s="136"/>
      <c r="G121" s="171"/>
      <c r="H121" s="170"/>
      <c r="I121" s="172"/>
      <c r="J121" s="135"/>
      <c r="K121" s="244" t="str">
        <f t="shared" si="1"/>
        <v/>
      </c>
    </row>
    <row r="122" spans="1:11" x14ac:dyDescent="0.25">
      <c r="A122" s="177" t="str">
        <f>IFERROR(INDEX(Tableau4[cat], MATCH('Encodage données'!C122,Tableau4[Catégories de parois], 0)),"")</f>
        <v/>
      </c>
      <c r="B122" s="42">
        <v>58</v>
      </c>
      <c r="C122" s="170"/>
      <c r="D122" s="135"/>
      <c r="E122" s="135"/>
      <c r="F122" s="136"/>
      <c r="G122" s="171"/>
      <c r="H122" s="170"/>
      <c r="I122" s="172"/>
      <c r="J122" s="135"/>
      <c r="K122" s="244" t="str">
        <f t="shared" si="1"/>
        <v/>
      </c>
    </row>
    <row r="123" spans="1:11" x14ac:dyDescent="0.25">
      <c r="A123" s="177" t="str">
        <f>IFERROR(INDEX(Tableau4[cat], MATCH('Encodage données'!C123,Tableau4[Catégories de parois], 0)),"")</f>
        <v/>
      </c>
      <c r="B123" s="42">
        <v>59</v>
      </c>
      <c r="C123" s="170"/>
      <c r="D123" s="135"/>
      <c r="E123" s="135"/>
      <c r="F123" s="136"/>
      <c r="G123" s="171"/>
      <c r="H123" s="170"/>
      <c r="I123" s="172"/>
      <c r="J123" s="135"/>
      <c r="K123" s="244" t="str">
        <f t="shared" si="1"/>
        <v/>
      </c>
    </row>
    <row r="124" spans="1:11" x14ac:dyDescent="0.25">
      <c r="A124" s="177" t="str">
        <f>IFERROR(INDEX(Tableau4[cat], MATCH('Encodage données'!C124,Tableau4[Catégories de parois], 0)),"")</f>
        <v/>
      </c>
      <c r="B124" s="42">
        <v>60</v>
      </c>
      <c r="C124" s="170"/>
      <c r="D124" s="135"/>
      <c r="E124" s="135"/>
      <c r="F124" s="136"/>
      <c r="G124" s="171"/>
      <c r="H124" s="170"/>
      <c r="I124" s="172"/>
      <c r="J124" s="135"/>
      <c r="K124" s="244" t="str">
        <f t="shared" si="1"/>
        <v/>
      </c>
    </row>
    <row r="125" spans="1:11" x14ac:dyDescent="0.25">
      <c r="A125" s="177" t="str">
        <f>IFERROR(INDEX(Tableau4[cat], MATCH('Encodage données'!C125,Tableau4[Catégories de parois], 0)),"")</f>
        <v/>
      </c>
      <c r="B125" s="42">
        <v>61</v>
      </c>
      <c r="C125" s="170"/>
      <c r="D125" s="135"/>
      <c r="E125" s="135"/>
      <c r="F125" s="136"/>
      <c r="G125" s="171"/>
      <c r="H125" s="170"/>
      <c r="I125" s="172"/>
      <c r="J125" s="135"/>
      <c r="K125" s="244" t="str">
        <f t="shared" si="1"/>
        <v/>
      </c>
    </row>
    <row r="126" spans="1:11" x14ac:dyDescent="0.25">
      <c r="A126" s="177" t="str">
        <f>IFERROR(INDEX(Tableau4[cat], MATCH('Encodage données'!C126,Tableau4[Catégories de parois], 0)),"")</f>
        <v/>
      </c>
      <c r="B126" s="42">
        <v>62</v>
      </c>
      <c r="C126" s="170"/>
      <c r="D126" s="135"/>
      <c r="E126" s="135"/>
      <c r="F126" s="136"/>
      <c r="G126" s="171"/>
      <c r="H126" s="170"/>
      <c r="I126" s="172"/>
      <c r="J126" s="135"/>
      <c r="K126" s="244" t="str">
        <f t="shared" si="1"/>
        <v/>
      </c>
    </row>
    <row r="127" spans="1:11" x14ac:dyDescent="0.25">
      <c r="A127" s="177" t="str">
        <f>IFERROR(INDEX(Tableau4[cat], MATCH('Encodage données'!C127,Tableau4[Catégories de parois], 0)),"")</f>
        <v/>
      </c>
      <c r="B127" s="42">
        <v>63</v>
      </c>
      <c r="C127" s="170"/>
      <c r="D127" s="135"/>
      <c r="E127" s="135"/>
      <c r="F127" s="136"/>
      <c r="G127" s="171"/>
      <c r="H127" s="170"/>
      <c r="I127" s="172"/>
      <c r="J127" s="135"/>
      <c r="K127" s="244" t="str">
        <f t="shared" si="1"/>
        <v/>
      </c>
    </row>
    <row r="128" spans="1:11" x14ac:dyDescent="0.25">
      <c r="A128" s="177" t="str">
        <f>IFERROR(INDEX(Tableau4[cat], MATCH('Encodage données'!C128,Tableau4[Catégories de parois], 0)),"")</f>
        <v/>
      </c>
      <c r="B128" s="42">
        <v>64</v>
      </c>
      <c r="C128" s="170"/>
      <c r="D128" s="135"/>
      <c r="E128" s="135"/>
      <c r="F128" s="136"/>
      <c r="G128" s="171"/>
      <c r="H128" s="170"/>
      <c r="I128" s="172"/>
      <c r="J128" s="135"/>
      <c r="K128" s="244" t="str">
        <f t="shared" si="1"/>
        <v/>
      </c>
    </row>
    <row r="129" spans="1:11" x14ac:dyDescent="0.25">
      <c r="A129" s="177" t="str">
        <f>IFERROR(INDEX(Tableau4[cat], MATCH('Encodage données'!C129,Tableau4[Catégories de parois], 0)),"")</f>
        <v/>
      </c>
      <c r="B129" s="42">
        <v>65</v>
      </c>
      <c r="C129" s="170"/>
      <c r="D129" s="135"/>
      <c r="E129" s="135"/>
      <c r="F129" s="136"/>
      <c r="G129" s="171"/>
      <c r="H129" s="170"/>
      <c r="I129" s="172"/>
      <c r="J129" s="135"/>
      <c r="K129" s="244" t="str">
        <f t="shared" si="1"/>
        <v/>
      </c>
    </row>
    <row r="130" spans="1:11" x14ac:dyDescent="0.25">
      <c r="A130" s="177" t="str">
        <f>IFERROR(INDEX(Tableau4[cat], MATCH('Encodage données'!C130,Tableau4[Catégories de parois], 0)),"")</f>
        <v/>
      </c>
      <c r="B130" s="42">
        <v>66</v>
      </c>
      <c r="C130" s="170"/>
      <c r="D130" s="135"/>
      <c r="E130" s="135"/>
      <c r="F130" s="136"/>
      <c r="G130" s="171"/>
      <c r="H130" s="170"/>
      <c r="I130" s="172"/>
      <c r="J130" s="135"/>
      <c r="K130" s="244" t="str">
        <f t="shared" ref="K130:K182" si="2">IF(OR(H130="Isolation Toiture en pente",H130="Isolation Toiture Sarking"),"Une donnée non prévue dans le menu déroulant a été encodée dans la colonne Rénovation prévue de la paroi ?",IF(OR(AND(A130="fen",F130="U connu"),AND(NOT(A130="fen"),F130="U connu (porte et fenêtres)")),"Une donnée non prévue dans le menu déroulant a été encodée dans la colonne Etat actuel",""))</f>
        <v/>
      </c>
    </row>
    <row r="131" spans="1:11" x14ac:dyDescent="0.25">
      <c r="A131" s="177" t="str">
        <f>IFERROR(INDEX(Tableau4[cat], MATCH('Encodage données'!C131,Tableau4[Catégories de parois], 0)),"")</f>
        <v/>
      </c>
      <c r="B131" s="42">
        <v>67</v>
      </c>
      <c r="C131" s="170"/>
      <c r="D131" s="135"/>
      <c r="E131" s="135"/>
      <c r="F131" s="136"/>
      <c r="G131" s="171"/>
      <c r="H131" s="170"/>
      <c r="I131" s="172"/>
      <c r="J131" s="135"/>
      <c r="K131" s="244" t="str">
        <f t="shared" si="2"/>
        <v/>
      </c>
    </row>
    <row r="132" spans="1:11" x14ac:dyDescent="0.25">
      <c r="A132" s="177" t="str">
        <f>IFERROR(INDEX(Tableau4[cat], MATCH('Encodage données'!C132,Tableau4[Catégories de parois], 0)),"")</f>
        <v/>
      </c>
      <c r="B132" s="42">
        <v>68</v>
      </c>
      <c r="C132" s="170"/>
      <c r="D132" s="135"/>
      <c r="E132" s="135"/>
      <c r="F132" s="136"/>
      <c r="G132" s="171"/>
      <c r="H132" s="170"/>
      <c r="I132" s="172"/>
      <c r="J132" s="135"/>
      <c r="K132" s="244" t="str">
        <f t="shared" si="2"/>
        <v/>
      </c>
    </row>
    <row r="133" spans="1:11" x14ac:dyDescent="0.25">
      <c r="A133" s="177" t="str">
        <f>IFERROR(INDEX(Tableau4[cat], MATCH('Encodage données'!C133,Tableau4[Catégories de parois], 0)),"")</f>
        <v/>
      </c>
      <c r="B133" s="42">
        <v>69</v>
      </c>
      <c r="C133" s="170"/>
      <c r="D133" s="135"/>
      <c r="E133" s="135"/>
      <c r="F133" s="136"/>
      <c r="G133" s="171"/>
      <c r="H133" s="170"/>
      <c r="I133" s="172"/>
      <c r="J133" s="135"/>
      <c r="K133" s="244" t="str">
        <f t="shared" si="2"/>
        <v/>
      </c>
    </row>
    <row r="134" spans="1:11" x14ac:dyDescent="0.25">
      <c r="A134" s="177" t="str">
        <f>IFERROR(INDEX(Tableau4[cat], MATCH('Encodage données'!C134,Tableau4[Catégories de parois], 0)),"")</f>
        <v/>
      </c>
      <c r="B134" s="42">
        <v>70</v>
      </c>
      <c r="C134" s="170"/>
      <c r="D134" s="135"/>
      <c r="E134" s="135"/>
      <c r="F134" s="136"/>
      <c r="G134" s="171"/>
      <c r="H134" s="170"/>
      <c r="I134" s="172"/>
      <c r="J134" s="135"/>
      <c r="K134" s="244" t="str">
        <f t="shared" si="2"/>
        <v/>
      </c>
    </row>
    <row r="135" spans="1:11" x14ac:dyDescent="0.25">
      <c r="A135" s="177" t="str">
        <f>IFERROR(INDEX(Tableau4[cat], MATCH('Encodage données'!C135,Tableau4[Catégories de parois], 0)),"")</f>
        <v/>
      </c>
      <c r="B135" s="42">
        <v>71</v>
      </c>
      <c r="C135" s="170"/>
      <c r="D135" s="135"/>
      <c r="E135" s="135"/>
      <c r="F135" s="136"/>
      <c r="G135" s="171"/>
      <c r="H135" s="170"/>
      <c r="I135" s="172"/>
      <c r="J135" s="135"/>
      <c r="K135" s="244" t="str">
        <f t="shared" si="2"/>
        <v/>
      </c>
    </row>
    <row r="136" spans="1:11" x14ac:dyDescent="0.25">
      <c r="A136" s="177" t="str">
        <f>IFERROR(INDEX(Tableau4[cat], MATCH('Encodage données'!C136,Tableau4[Catégories de parois], 0)),"")</f>
        <v/>
      </c>
      <c r="B136" s="42">
        <v>72</v>
      </c>
      <c r="C136" s="170"/>
      <c r="D136" s="135"/>
      <c r="E136" s="135"/>
      <c r="F136" s="136"/>
      <c r="G136" s="171"/>
      <c r="H136" s="170"/>
      <c r="I136" s="172"/>
      <c r="J136" s="135"/>
      <c r="K136" s="244" t="str">
        <f t="shared" si="2"/>
        <v/>
      </c>
    </row>
    <row r="137" spans="1:11" x14ac:dyDescent="0.25">
      <c r="A137" s="177" t="str">
        <f>IFERROR(INDEX(Tableau4[cat], MATCH('Encodage données'!C137,Tableau4[Catégories de parois], 0)),"")</f>
        <v/>
      </c>
      <c r="B137" s="42">
        <v>73</v>
      </c>
      <c r="C137" s="170"/>
      <c r="D137" s="135"/>
      <c r="E137" s="135"/>
      <c r="F137" s="136"/>
      <c r="G137" s="171"/>
      <c r="H137" s="170"/>
      <c r="I137" s="172"/>
      <c r="J137" s="135"/>
      <c r="K137" s="244" t="str">
        <f t="shared" si="2"/>
        <v/>
      </c>
    </row>
    <row r="138" spans="1:11" x14ac:dyDescent="0.25">
      <c r="A138" s="177" t="str">
        <f>IFERROR(INDEX(Tableau4[cat], MATCH('Encodage données'!C138,Tableau4[Catégories de parois], 0)),"")</f>
        <v/>
      </c>
      <c r="B138" s="42">
        <v>74</v>
      </c>
      <c r="C138" s="170"/>
      <c r="D138" s="135"/>
      <c r="E138" s="135"/>
      <c r="F138" s="136"/>
      <c r="G138" s="171"/>
      <c r="H138" s="170"/>
      <c r="I138" s="172"/>
      <c r="J138" s="135"/>
      <c r="K138" s="244" t="str">
        <f t="shared" si="2"/>
        <v/>
      </c>
    </row>
    <row r="139" spans="1:11" x14ac:dyDescent="0.25">
      <c r="A139" s="177" t="str">
        <f>IFERROR(INDEX(Tableau4[cat], MATCH('Encodage données'!C139,Tableau4[Catégories de parois], 0)),"")</f>
        <v/>
      </c>
      <c r="B139" s="42">
        <v>75</v>
      </c>
      <c r="C139" s="170"/>
      <c r="D139" s="135"/>
      <c r="E139" s="135"/>
      <c r="F139" s="136"/>
      <c r="G139" s="171"/>
      <c r="H139" s="170"/>
      <c r="I139" s="172"/>
      <c r="J139" s="135"/>
      <c r="K139" s="244" t="str">
        <f t="shared" si="2"/>
        <v/>
      </c>
    </row>
    <row r="140" spans="1:11" x14ac:dyDescent="0.25">
      <c r="A140" s="177" t="str">
        <f>IFERROR(INDEX(Tableau4[cat], MATCH('Encodage données'!C140,Tableau4[Catégories de parois], 0)),"")</f>
        <v/>
      </c>
      <c r="B140" s="42">
        <v>76</v>
      </c>
      <c r="C140" s="170"/>
      <c r="D140" s="135"/>
      <c r="E140" s="135"/>
      <c r="F140" s="136"/>
      <c r="G140" s="171"/>
      <c r="H140" s="170"/>
      <c r="I140" s="172"/>
      <c r="J140" s="135"/>
      <c r="K140" s="244" t="str">
        <f t="shared" si="2"/>
        <v/>
      </c>
    </row>
    <row r="141" spans="1:11" x14ac:dyDescent="0.25">
      <c r="A141" s="177" t="str">
        <f>IFERROR(INDEX(Tableau4[cat], MATCH('Encodage données'!C141,Tableau4[Catégories de parois], 0)),"")</f>
        <v/>
      </c>
      <c r="B141" s="42">
        <v>77</v>
      </c>
      <c r="C141" s="170"/>
      <c r="D141" s="135"/>
      <c r="E141" s="135"/>
      <c r="F141" s="136"/>
      <c r="G141" s="171"/>
      <c r="H141" s="170"/>
      <c r="I141" s="172"/>
      <c r="J141" s="135"/>
      <c r="K141" s="244" t="str">
        <f t="shared" si="2"/>
        <v/>
      </c>
    </row>
    <row r="142" spans="1:11" x14ac:dyDescent="0.25">
      <c r="A142" s="177" t="str">
        <f>IFERROR(INDEX(Tableau4[cat], MATCH('Encodage données'!C142,Tableau4[Catégories de parois], 0)),"")</f>
        <v/>
      </c>
      <c r="B142" s="42">
        <v>78</v>
      </c>
      <c r="C142" s="170"/>
      <c r="D142" s="135"/>
      <c r="E142" s="135"/>
      <c r="F142" s="136"/>
      <c r="G142" s="171"/>
      <c r="H142" s="170"/>
      <c r="I142" s="172"/>
      <c r="J142" s="135"/>
      <c r="K142" s="244" t="str">
        <f t="shared" si="2"/>
        <v/>
      </c>
    </row>
    <row r="143" spans="1:11" x14ac:dyDescent="0.25">
      <c r="A143" s="177" t="str">
        <f>IFERROR(INDEX(Tableau4[cat], MATCH('Encodage données'!C143,Tableau4[Catégories de parois], 0)),"")</f>
        <v/>
      </c>
      <c r="B143" s="42">
        <v>79</v>
      </c>
      <c r="C143" s="170"/>
      <c r="D143" s="135"/>
      <c r="E143" s="135"/>
      <c r="F143" s="136"/>
      <c r="G143" s="171"/>
      <c r="H143" s="170"/>
      <c r="I143" s="172"/>
      <c r="J143" s="135"/>
      <c r="K143" s="244" t="str">
        <f t="shared" si="2"/>
        <v/>
      </c>
    </row>
    <row r="144" spans="1:11" x14ac:dyDescent="0.25">
      <c r="A144" s="177" t="str">
        <f>IFERROR(INDEX(Tableau4[cat], MATCH('Encodage données'!C144,Tableau4[Catégories de parois], 0)),"")</f>
        <v/>
      </c>
      <c r="B144" s="42">
        <v>80</v>
      </c>
      <c r="C144" s="170"/>
      <c r="D144" s="135"/>
      <c r="E144" s="135"/>
      <c r="F144" s="136"/>
      <c r="G144" s="171"/>
      <c r="H144" s="170"/>
      <c r="I144" s="172"/>
      <c r="J144" s="135"/>
      <c r="K144" s="244" t="str">
        <f t="shared" si="2"/>
        <v/>
      </c>
    </row>
    <row r="145" spans="1:11" x14ac:dyDescent="0.25">
      <c r="A145" s="177" t="str">
        <f>IFERROR(INDEX(Tableau4[cat], MATCH('Encodage données'!C145,Tableau4[Catégories de parois], 0)),"")</f>
        <v/>
      </c>
      <c r="B145" s="42">
        <v>81</v>
      </c>
      <c r="C145" s="170"/>
      <c r="D145" s="135"/>
      <c r="E145" s="135"/>
      <c r="F145" s="136"/>
      <c r="G145" s="171"/>
      <c r="H145" s="170"/>
      <c r="I145" s="172"/>
      <c r="J145" s="135"/>
      <c r="K145" s="244" t="str">
        <f t="shared" si="2"/>
        <v/>
      </c>
    </row>
    <row r="146" spans="1:11" x14ac:dyDescent="0.25">
      <c r="A146" s="177" t="str">
        <f>IFERROR(INDEX(Tableau4[cat], MATCH('Encodage données'!C146,Tableau4[Catégories de parois], 0)),"")</f>
        <v/>
      </c>
      <c r="B146" s="42">
        <v>82</v>
      </c>
      <c r="C146" s="170"/>
      <c r="D146" s="135"/>
      <c r="E146" s="135"/>
      <c r="F146" s="136"/>
      <c r="G146" s="171"/>
      <c r="H146" s="170"/>
      <c r="I146" s="172"/>
      <c r="J146" s="135"/>
      <c r="K146" s="244" t="str">
        <f t="shared" si="2"/>
        <v/>
      </c>
    </row>
    <row r="147" spans="1:11" x14ac:dyDescent="0.25">
      <c r="A147" s="177" t="str">
        <f>IFERROR(INDEX(Tableau4[cat], MATCH('Encodage données'!C147,Tableau4[Catégories de parois], 0)),"")</f>
        <v/>
      </c>
      <c r="B147" s="42">
        <v>83</v>
      </c>
      <c r="C147" s="170"/>
      <c r="D147" s="135"/>
      <c r="E147" s="135"/>
      <c r="F147" s="136"/>
      <c r="G147" s="171"/>
      <c r="H147" s="170"/>
      <c r="I147" s="172"/>
      <c r="J147" s="135"/>
      <c r="K147" s="244" t="str">
        <f t="shared" si="2"/>
        <v/>
      </c>
    </row>
    <row r="148" spans="1:11" x14ac:dyDescent="0.25">
      <c r="A148" s="177" t="str">
        <f>IFERROR(INDEX(Tableau4[cat], MATCH('Encodage données'!C148,Tableau4[Catégories de parois], 0)),"")</f>
        <v/>
      </c>
      <c r="B148" s="42">
        <v>84</v>
      </c>
      <c r="C148" s="170"/>
      <c r="D148" s="135"/>
      <c r="E148" s="135"/>
      <c r="F148" s="136"/>
      <c r="G148" s="171"/>
      <c r="H148" s="170"/>
      <c r="I148" s="172"/>
      <c r="J148" s="135"/>
      <c r="K148" s="244" t="str">
        <f t="shared" si="2"/>
        <v/>
      </c>
    </row>
    <row r="149" spans="1:11" x14ac:dyDescent="0.25">
      <c r="A149" s="177" t="str">
        <f>IFERROR(INDEX(Tableau4[cat], MATCH('Encodage données'!C149,Tableau4[Catégories de parois], 0)),"")</f>
        <v/>
      </c>
      <c r="B149" s="42">
        <v>85</v>
      </c>
      <c r="C149" s="170"/>
      <c r="D149" s="135"/>
      <c r="E149" s="135"/>
      <c r="F149" s="136"/>
      <c r="G149" s="171"/>
      <c r="H149" s="170"/>
      <c r="I149" s="172"/>
      <c r="J149" s="135"/>
      <c r="K149" s="244" t="str">
        <f t="shared" si="2"/>
        <v/>
      </c>
    </row>
    <row r="150" spans="1:11" x14ac:dyDescent="0.25">
      <c r="A150" s="177" t="str">
        <f>IFERROR(INDEX(Tableau4[cat], MATCH('Encodage données'!C150,Tableau4[Catégories de parois], 0)),"")</f>
        <v/>
      </c>
      <c r="B150" s="42">
        <v>86</v>
      </c>
      <c r="C150" s="170"/>
      <c r="D150" s="135"/>
      <c r="E150" s="135"/>
      <c r="F150" s="136"/>
      <c r="G150" s="171"/>
      <c r="H150" s="170"/>
      <c r="I150" s="172"/>
      <c r="J150" s="135"/>
      <c r="K150" s="244" t="str">
        <f t="shared" si="2"/>
        <v/>
      </c>
    </row>
    <row r="151" spans="1:11" x14ac:dyDescent="0.25">
      <c r="A151" s="177" t="str">
        <f>IFERROR(INDEX(Tableau4[cat], MATCH('Encodage données'!C151,Tableau4[Catégories de parois], 0)),"")</f>
        <v/>
      </c>
      <c r="B151" s="42">
        <v>87</v>
      </c>
      <c r="C151" s="170"/>
      <c r="D151" s="135"/>
      <c r="E151" s="135"/>
      <c r="F151" s="136"/>
      <c r="G151" s="171"/>
      <c r="H151" s="170"/>
      <c r="I151" s="172"/>
      <c r="J151" s="135"/>
      <c r="K151" s="244" t="str">
        <f t="shared" si="2"/>
        <v/>
      </c>
    </row>
    <row r="152" spans="1:11" x14ac:dyDescent="0.25">
      <c r="A152" s="177" t="str">
        <f>IFERROR(INDEX(Tableau4[cat], MATCH('Encodage données'!C152,Tableau4[Catégories de parois], 0)),"")</f>
        <v/>
      </c>
      <c r="B152" s="42">
        <v>88</v>
      </c>
      <c r="C152" s="170"/>
      <c r="D152" s="135"/>
      <c r="E152" s="135"/>
      <c r="F152" s="136"/>
      <c r="G152" s="171"/>
      <c r="H152" s="170"/>
      <c r="I152" s="172"/>
      <c r="J152" s="135"/>
      <c r="K152" s="244" t="str">
        <f t="shared" si="2"/>
        <v/>
      </c>
    </row>
    <row r="153" spans="1:11" x14ac:dyDescent="0.25">
      <c r="A153" s="177" t="str">
        <f>IFERROR(INDEX(Tableau4[cat], MATCH('Encodage données'!C153,Tableau4[Catégories de parois], 0)),"")</f>
        <v/>
      </c>
      <c r="B153" s="42">
        <v>89</v>
      </c>
      <c r="C153" s="170"/>
      <c r="D153" s="135"/>
      <c r="E153" s="135"/>
      <c r="F153" s="136"/>
      <c r="G153" s="171"/>
      <c r="H153" s="170"/>
      <c r="I153" s="172"/>
      <c r="J153" s="135"/>
      <c r="K153" s="244" t="str">
        <f t="shared" si="2"/>
        <v/>
      </c>
    </row>
    <row r="154" spans="1:11" x14ac:dyDescent="0.25">
      <c r="A154" s="177" t="str">
        <f>IFERROR(INDEX(Tableau4[cat], MATCH('Encodage données'!C154,Tableau4[Catégories de parois], 0)),"")</f>
        <v/>
      </c>
      <c r="B154" s="42">
        <v>90</v>
      </c>
      <c r="C154" s="170"/>
      <c r="D154" s="135"/>
      <c r="E154" s="135"/>
      <c r="F154" s="136"/>
      <c r="G154" s="171"/>
      <c r="H154" s="170"/>
      <c r="I154" s="172"/>
      <c r="J154" s="135"/>
      <c r="K154" s="244" t="str">
        <f t="shared" si="2"/>
        <v/>
      </c>
    </row>
    <row r="155" spans="1:11" x14ac:dyDescent="0.25">
      <c r="A155" s="177" t="str">
        <f>IFERROR(INDEX(Tableau4[cat], MATCH('Encodage données'!C155,Tableau4[Catégories de parois], 0)),"")</f>
        <v/>
      </c>
      <c r="B155" s="42">
        <v>91</v>
      </c>
      <c r="C155" s="170"/>
      <c r="D155" s="135"/>
      <c r="E155" s="135"/>
      <c r="F155" s="136"/>
      <c r="G155" s="171"/>
      <c r="H155" s="170"/>
      <c r="I155" s="172"/>
      <c r="J155" s="135"/>
      <c r="K155" s="244" t="str">
        <f t="shared" si="2"/>
        <v/>
      </c>
    </row>
    <row r="156" spans="1:11" x14ac:dyDescent="0.25">
      <c r="A156" s="177" t="str">
        <f>IFERROR(INDEX(Tableau4[cat], MATCH('Encodage données'!C156,Tableau4[Catégories de parois], 0)),"")</f>
        <v/>
      </c>
      <c r="B156" s="42">
        <v>92</v>
      </c>
      <c r="C156" s="170"/>
      <c r="D156" s="135"/>
      <c r="E156" s="135"/>
      <c r="F156" s="136"/>
      <c r="G156" s="171"/>
      <c r="H156" s="170"/>
      <c r="I156" s="172"/>
      <c r="J156" s="135"/>
      <c r="K156" s="244" t="str">
        <f t="shared" si="2"/>
        <v/>
      </c>
    </row>
    <row r="157" spans="1:11" x14ac:dyDescent="0.25">
      <c r="A157" s="177" t="str">
        <f>IFERROR(INDEX(Tableau4[cat], MATCH('Encodage données'!C157,Tableau4[Catégories de parois], 0)),"")</f>
        <v/>
      </c>
      <c r="B157" s="42">
        <v>93</v>
      </c>
      <c r="C157" s="170"/>
      <c r="D157" s="135"/>
      <c r="E157" s="135"/>
      <c r="F157" s="136"/>
      <c r="G157" s="171"/>
      <c r="H157" s="170"/>
      <c r="I157" s="172"/>
      <c r="J157" s="135"/>
      <c r="K157" s="244" t="str">
        <f t="shared" si="2"/>
        <v/>
      </c>
    </row>
    <row r="158" spans="1:11" x14ac:dyDescent="0.25">
      <c r="A158" s="177" t="str">
        <f>IFERROR(INDEX(Tableau4[cat], MATCH('Encodage données'!C158,Tableau4[Catégories de parois], 0)),"")</f>
        <v/>
      </c>
      <c r="B158" s="42">
        <v>94</v>
      </c>
      <c r="C158" s="170"/>
      <c r="D158" s="135"/>
      <c r="E158" s="135"/>
      <c r="F158" s="136"/>
      <c r="G158" s="171"/>
      <c r="H158" s="170"/>
      <c r="I158" s="172"/>
      <c r="J158" s="135"/>
      <c r="K158" s="244" t="str">
        <f t="shared" si="2"/>
        <v/>
      </c>
    </row>
    <row r="159" spans="1:11" x14ac:dyDescent="0.25">
      <c r="A159" s="177" t="str">
        <f>IFERROR(INDEX(Tableau4[cat], MATCH('Encodage données'!C159,Tableau4[Catégories de parois], 0)),"")</f>
        <v/>
      </c>
      <c r="B159" s="42">
        <v>95</v>
      </c>
      <c r="C159" s="170"/>
      <c r="D159" s="135"/>
      <c r="E159" s="135"/>
      <c r="F159" s="136"/>
      <c r="G159" s="171"/>
      <c r="H159" s="170"/>
      <c r="I159" s="172"/>
      <c r="J159" s="135"/>
      <c r="K159" s="244" t="str">
        <f t="shared" si="2"/>
        <v/>
      </c>
    </row>
    <row r="160" spans="1:11" x14ac:dyDescent="0.25">
      <c r="A160" s="177" t="str">
        <f>IFERROR(INDEX(Tableau4[cat], MATCH('Encodage données'!C160,Tableau4[Catégories de parois], 0)),"")</f>
        <v/>
      </c>
      <c r="B160" s="42">
        <v>96</v>
      </c>
      <c r="C160" s="170"/>
      <c r="D160" s="135"/>
      <c r="E160" s="135"/>
      <c r="F160" s="136"/>
      <c r="G160" s="171"/>
      <c r="H160" s="170"/>
      <c r="I160" s="172"/>
      <c r="J160" s="135"/>
      <c r="K160" s="244" t="str">
        <f t="shared" si="2"/>
        <v/>
      </c>
    </row>
    <row r="161" spans="1:11" x14ac:dyDescent="0.25">
      <c r="A161" s="177" t="str">
        <f>IFERROR(INDEX(Tableau4[cat], MATCH('Encodage données'!C161,Tableau4[Catégories de parois], 0)),"")</f>
        <v/>
      </c>
      <c r="B161" s="42">
        <v>97</v>
      </c>
      <c r="C161" s="170"/>
      <c r="D161" s="135"/>
      <c r="E161" s="135"/>
      <c r="F161" s="136"/>
      <c r="G161" s="171"/>
      <c r="H161" s="170"/>
      <c r="I161" s="172"/>
      <c r="J161" s="135"/>
      <c r="K161" s="244" t="str">
        <f t="shared" si="2"/>
        <v/>
      </c>
    </row>
    <row r="162" spans="1:11" x14ac:dyDescent="0.25">
      <c r="A162" s="177" t="str">
        <f>IFERROR(INDEX(Tableau4[cat], MATCH('Encodage données'!C162,Tableau4[Catégories de parois], 0)),"")</f>
        <v/>
      </c>
      <c r="B162" s="42">
        <v>98</v>
      </c>
      <c r="C162" s="170"/>
      <c r="D162" s="135"/>
      <c r="E162" s="135"/>
      <c r="F162" s="136"/>
      <c r="G162" s="171"/>
      <c r="H162" s="170"/>
      <c r="I162" s="172"/>
      <c r="J162" s="135"/>
      <c r="K162" s="244" t="str">
        <f t="shared" si="2"/>
        <v/>
      </c>
    </row>
    <row r="163" spans="1:11" x14ac:dyDescent="0.25">
      <c r="A163" s="177" t="str">
        <f>IFERROR(INDEX(Tableau4[cat], MATCH('Encodage données'!C163,Tableau4[Catégories de parois], 0)),"")</f>
        <v/>
      </c>
      <c r="B163" s="42">
        <v>99</v>
      </c>
      <c r="C163" s="170"/>
      <c r="D163" s="135"/>
      <c r="E163" s="135"/>
      <c r="F163" s="136"/>
      <c r="G163" s="171"/>
      <c r="H163" s="170"/>
      <c r="I163" s="172"/>
      <c r="J163" s="135"/>
      <c r="K163" s="244" t="str">
        <f t="shared" si="2"/>
        <v/>
      </c>
    </row>
    <row r="164" spans="1:11" x14ac:dyDescent="0.25">
      <c r="A164" s="177" t="str">
        <f>IFERROR(INDEX(Tableau4[cat], MATCH('Encodage données'!C164,Tableau4[Catégories de parois], 0)),"")</f>
        <v/>
      </c>
      <c r="B164" s="42">
        <v>100</v>
      </c>
      <c r="C164" s="170"/>
      <c r="D164" s="135"/>
      <c r="E164" s="135"/>
      <c r="F164" s="136"/>
      <c r="G164" s="171"/>
      <c r="H164" s="170"/>
      <c r="I164" s="172"/>
      <c r="J164" s="135"/>
      <c r="K164" s="244" t="str">
        <f t="shared" si="2"/>
        <v/>
      </c>
    </row>
    <row r="165" spans="1:11" x14ac:dyDescent="0.25">
      <c r="A165" s="177" t="str">
        <f>IFERROR(INDEX(Tableau4[cat], MATCH('Encodage données'!C165,Tableau4[Catégories de parois], 0)),"")</f>
        <v/>
      </c>
      <c r="B165" s="42">
        <v>101</v>
      </c>
      <c r="C165" s="170"/>
      <c r="D165" s="135"/>
      <c r="E165" s="135"/>
      <c r="F165" s="136"/>
      <c r="G165" s="171"/>
      <c r="H165" s="170"/>
      <c r="I165" s="172"/>
      <c r="J165" s="135"/>
      <c r="K165" s="244" t="str">
        <f t="shared" si="2"/>
        <v/>
      </c>
    </row>
    <row r="166" spans="1:11" x14ac:dyDescent="0.25">
      <c r="A166" s="177" t="str">
        <f>IFERROR(INDEX(Tableau4[cat], MATCH('Encodage données'!C166,Tableau4[Catégories de parois], 0)),"")</f>
        <v/>
      </c>
      <c r="B166" s="42">
        <v>102</v>
      </c>
      <c r="C166" s="170"/>
      <c r="D166" s="135"/>
      <c r="E166" s="135"/>
      <c r="F166" s="136"/>
      <c r="G166" s="171"/>
      <c r="H166" s="170"/>
      <c r="I166" s="172"/>
      <c r="J166" s="135"/>
      <c r="K166" s="244" t="str">
        <f t="shared" si="2"/>
        <v/>
      </c>
    </row>
    <row r="167" spans="1:11" x14ac:dyDescent="0.25">
      <c r="A167" s="177" t="str">
        <f>IFERROR(INDEX(Tableau4[cat], MATCH('Encodage données'!C167,Tableau4[Catégories de parois], 0)),"")</f>
        <v/>
      </c>
      <c r="B167" s="42">
        <v>103</v>
      </c>
      <c r="C167" s="170"/>
      <c r="D167" s="135"/>
      <c r="E167" s="135"/>
      <c r="F167" s="136"/>
      <c r="G167" s="171"/>
      <c r="H167" s="170"/>
      <c r="I167" s="172"/>
      <c r="J167" s="135"/>
      <c r="K167" s="244" t="str">
        <f t="shared" si="2"/>
        <v/>
      </c>
    </row>
    <row r="168" spans="1:11" x14ac:dyDescent="0.25">
      <c r="A168" s="177" t="str">
        <f>IFERROR(INDEX(Tableau4[cat], MATCH('Encodage données'!C168,Tableau4[Catégories de parois], 0)),"")</f>
        <v/>
      </c>
      <c r="B168" s="42">
        <v>104</v>
      </c>
      <c r="C168" s="170"/>
      <c r="D168" s="135"/>
      <c r="E168" s="135"/>
      <c r="F168" s="136"/>
      <c r="G168" s="171"/>
      <c r="H168" s="170"/>
      <c r="I168" s="172"/>
      <c r="J168" s="135"/>
      <c r="K168" s="244" t="str">
        <f t="shared" si="2"/>
        <v/>
      </c>
    </row>
    <row r="169" spans="1:11" x14ac:dyDescent="0.25">
      <c r="A169" s="177" t="str">
        <f>IFERROR(INDEX(Tableau4[cat], MATCH('Encodage données'!C169,Tableau4[Catégories de parois], 0)),"")</f>
        <v/>
      </c>
      <c r="B169" s="42">
        <v>105</v>
      </c>
      <c r="C169" s="170"/>
      <c r="D169" s="135"/>
      <c r="E169" s="135"/>
      <c r="F169" s="136"/>
      <c r="G169" s="171"/>
      <c r="H169" s="170"/>
      <c r="I169" s="172"/>
      <c r="J169" s="135"/>
      <c r="K169" s="244" t="str">
        <f t="shared" si="2"/>
        <v/>
      </c>
    </row>
    <row r="170" spans="1:11" x14ac:dyDescent="0.25">
      <c r="A170" s="177" t="str">
        <f>IFERROR(INDEX(Tableau4[cat], MATCH('Encodage données'!C170,Tableau4[Catégories de parois], 0)),"")</f>
        <v/>
      </c>
      <c r="B170" s="42">
        <v>106</v>
      </c>
      <c r="C170" s="170"/>
      <c r="D170" s="135"/>
      <c r="E170" s="135"/>
      <c r="F170" s="136"/>
      <c r="G170" s="171"/>
      <c r="H170" s="170"/>
      <c r="I170" s="172"/>
      <c r="J170" s="135"/>
      <c r="K170" s="244" t="str">
        <f t="shared" si="2"/>
        <v/>
      </c>
    </row>
    <row r="171" spans="1:11" x14ac:dyDescent="0.25">
      <c r="A171" s="177" t="str">
        <f>IFERROR(INDEX(Tableau4[cat], MATCH('Encodage données'!C171,Tableau4[Catégories de parois], 0)),"")</f>
        <v/>
      </c>
      <c r="B171" s="42">
        <v>107</v>
      </c>
      <c r="C171" s="170"/>
      <c r="D171" s="135"/>
      <c r="E171" s="135"/>
      <c r="F171" s="136"/>
      <c r="G171" s="171"/>
      <c r="H171" s="170"/>
      <c r="I171" s="172"/>
      <c r="J171" s="135"/>
      <c r="K171" s="244" t="str">
        <f t="shared" si="2"/>
        <v/>
      </c>
    </row>
    <row r="172" spans="1:11" x14ac:dyDescent="0.25">
      <c r="A172" s="177" t="str">
        <f>IFERROR(INDEX(Tableau4[cat], MATCH('Encodage données'!C172,Tableau4[Catégories de parois], 0)),"")</f>
        <v/>
      </c>
      <c r="B172" s="42">
        <v>108</v>
      </c>
      <c r="C172" s="170"/>
      <c r="D172" s="135"/>
      <c r="E172" s="135"/>
      <c r="F172" s="136"/>
      <c r="G172" s="171"/>
      <c r="H172" s="170"/>
      <c r="I172" s="172"/>
      <c r="J172" s="135"/>
      <c r="K172" s="244" t="str">
        <f t="shared" si="2"/>
        <v/>
      </c>
    </row>
    <row r="173" spans="1:11" x14ac:dyDescent="0.25">
      <c r="A173" s="177" t="str">
        <f>IFERROR(INDEX(Tableau4[cat], MATCH('Encodage données'!C173,Tableau4[Catégories de parois], 0)),"")</f>
        <v/>
      </c>
      <c r="B173" s="42">
        <v>109</v>
      </c>
      <c r="C173" s="170"/>
      <c r="D173" s="135"/>
      <c r="E173" s="135"/>
      <c r="F173" s="136"/>
      <c r="G173" s="171"/>
      <c r="H173" s="170"/>
      <c r="I173" s="172"/>
      <c r="J173" s="135"/>
      <c r="K173" s="244" t="str">
        <f t="shared" si="2"/>
        <v/>
      </c>
    </row>
    <row r="174" spans="1:11" x14ac:dyDescent="0.25">
      <c r="A174" s="177" t="str">
        <f>IFERROR(INDEX(Tableau4[cat], MATCH('Encodage données'!C174,Tableau4[Catégories de parois], 0)),"")</f>
        <v/>
      </c>
      <c r="B174" s="42">
        <v>110</v>
      </c>
      <c r="C174" s="170"/>
      <c r="D174" s="135"/>
      <c r="E174" s="135"/>
      <c r="F174" s="136"/>
      <c r="G174" s="171"/>
      <c r="H174" s="170"/>
      <c r="I174" s="172"/>
      <c r="J174" s="135"/>
      <c r="K174" s="244" t="str">
        <f t="shared" si="2"/>
        <v/>
      </c>
    </row>
    <row r="175" spans="1:11" x14ac:dyDescent="0.25">
      <c r="A175" s="177" t="str">
        <f>IFERROR(INDEX(Tableau4[cat], MATCH('Encodage données'!C175,Tableau4[Catégories de parois], 0)),"")</f>
        <v/>
      </c>
      <c r="B175" s="42">
        <v>111</v>
      </c>
      <c r="C175" s="170"/>
      <c r="D175" s="135"/>
      <c r="E175" s="135"/>
      <c r="F175" s="136"/>
      <c r="G175" s="171"/>
      <c r="H175" s="170"/>
      <c r="I175" s="172"/>
      <c r="J175" s="135"/>
      <c r="K175" s="244" t="str">
        <f t="shared" si="2"/>
        <v/>
      </c>
    </row>
    <row r="176" spans="1:11" x14ac:dyDescent="0.25">
      <c r="A176" s="177" t="str">
        <f>IFERROR(INDEX(Tableau4[cat], MATCH('Encodage données'!C176,Tableau4[Catégories de parois], 0)),"")</f>
        <v/>
      </c>
      <c r="B176" s="42">
        <v>112</v>
      </c>
      <c r="C176" s="170"/>
      <c r="D176" s="135"/>
      <c r="E176" s="135"/>
      <c r="F176" s="136"/>
      <c r="G176" s="171"/>
      <c r="H176" s="170"/>
      <c r="I176" s="172"/>
      <c r="J176" s="135"/>
      <c r="K176" s="244" t="str">
        <f t="shared" si="2"/>
        <v/>
      </c>
    </row>
    <row r="177" spans="1:11" x14ac:dyDescent="0.25">
      <c r="A177" s="177" t="str">
        <f>IFERROR(INDEX(Tableau4[cat], MATCH('Encodage données'!C177,Tableau4[Catégories de parois], 0)),"")</f>
        <v/>
      </c>
      <c r="B177" s="42">
        <v>113</v>
      </c>
      <c r="C177" s="170"/>
      <c r="D177" s="135"/>
      <c r="E177" s="135"/>
      <c r="F177" s="136"/>
      <c r="G177" s="171"/>
      <c r="H177" s="170"/>
      <c r="I177" s="172"/>
      <c r="J177" s="135"/>
      <c r="K177" s="244" t="str">
        <f t="shared" si="2"/>
        <v/>
      </c>
    </row>
    <row r="178" spans="1:11" x14ac:dyDescent="0.25">
      <c r="A178" s="177" t="str">
        <f>IFERROR(INDEX(Tableau4[cat], MATCH('Encodage données'!C178,Tableau4[Catégories de parois], 0)),"")</f>
        <v/>
      </c>
      <c r="B178" s="42">
        <v>114</v>
      </c>
      <c r="C178" s="170"/>
      <c r="D178" s="135"/>
      <c r="E178" s="135"/>
      <c r="F178" s="136"/>
      <c r="G178" s="171"/>
      <c r="H178" s="170"/>
      <c r="I178" s="172"/>
      <c r="J178" s="135"/>
      <c r="K178" s="244" t="str">
        <f t="shared" si="2"/>
        <v/>
      </c>
    </row>
    <row r="179" spans="1:11" x14ac:dyDescent="0.25">
      <c r="A179" s="177" t="str">
        <f>IFERROR(INDEX(Tableau4[cat], MATCH('Encodage données'!C179,Tableau4[Catégories de parois], 0)),"")</f>
        <v/>
      </c>
      <c r="B179" s="42">
        <v>115</v>
      </c>
      <c r="C179" s="170"/>
      <c r="D179" s="135"/>
      <c r="E179" s="135"/>
      <c r="F179" s="136"/>
      <c r="G179" s="171"/>
      <c r="H179" s="170"/>
      <c r="I179" s="172"/>
      <c r="J179" s="135"/>
      <c r="K179" s="244" t="str">
        <f t="shared" si="2"/>
        <v/>
      </c>
    </row>
    <row r="180" spans="1:11" x14ac:dyDescent="0.25">
      <c r="A180" s="177" t="str">
        <f>IFERROR(INDEX(Tableau4[cat], MATCH('Encodage données'!C180,Tableau4[Catégories de parois], 0)),"")</f>
        <v/>
      </c>
      <c r="B180" s="42">
        <v>116</v>
      </c>
      <c r="C180" s="170"/>
      <c r="D180" s="135"/>
      <c r="E180" s="135"/>
      <c r="F180" s="136"/>
      <c r="G180" s="171"/>
      <c r="H180" s="170"/>
      <c r="I180" s="172"/>
      <c r="J180" s="135"/>
      <c r="K180" s="244" t="str">
        <f t="shared" si="2"/>
        <v/>
      </c>
    </row>
    <row r="181" spans="1:11" x14ac:dyDescent="0.25">
      <c r="A181" s="177" t="str">
        <f>IFERROR(INDEX(Tableau4[cat], MATCH('Encodage données'!C181,Tableau4[Catégories de parois], 0)),"")</f>
        <v/>
      </c>
      <c r="B181" s="42">
        <v>117</v>
      </c>
      <c r="C181" s="170"/>
      <c r="D181" s="135"/>
      <c r="E181" s="135"/>
      <c r="F181" s="136"/>
      <c r="G181" s="171"/>
      <c r="H181" s="170"/>
      <c r="I181" s="172"/>
      <c r="J181" s="135"/>
      <c r="K181" s="244" t="str">
        <f t="shared" si="2"/>
        <v/>
      </c>
    </row>
    <row r="182" spans="1:11" x14ac:dyDescent="0.25">
      <c r="A182" s="177" t="str">
        <f>IFERROR(INDEX(Tableau4[cat], MATCH('Encodage données'!C182,Tableau4[Catégories de parois], 0)),"")</f>
        <v/>
      </c>
      <c r="B182" s="42">
        <v>118</v>
      </c>
      <c r="C182" s="170"/>
      <c r="D182" s="135"/>
      <c r="E182" s="135"/>
      <c r="F182" s="136"/>
      <c r="G182" s="171"/>
      <c r="H182" s="170"/>
      <c r="I182" s="172"/>
      <c r="J182" s="135"/>
      <c r="K182" s="244" t="str">
        <f t="shared" si="2"/>
        <v/>
      </c>
    </row>
    <row r="183" spans="1:11" x14ac:dyDescent="0.25">
      <c r="A183" s="175"/>
      <c r="B183" s="205"/>
      <c r="C183" s="175"/>
      <c r="D183" s="176"/>
      <c r="E183" s="175"/>
      <c r="F183" s="175"/>
      <c r="G183" s="175"/>
      <c r="H183" s="175"/>
      <c r="I183" s="175"/>
      <c r="J183" s="175"/>
    </row>
    <row r="184" spans="1:11" x14ac:dyDescent="0.25"/>
  </sheetData>
  <sheetProtection algorithmName="SHA-512" hashValue="k95zSeaQH91T3RfrTicgJbogWjHtqzQqQ6pRinNdI9UioP7yDdBwc19Vk0V3beOHaahUpgaVd03GT7Sd/Fs2NQ==" saltValue="D/g+b1CPbawoQRms6u3Kkg==" spinCount="100000" sheet="1" selectLockedCells="1"/>
  <mergeCells count="13">
    <mergeCell ref="C56:F56"/>
    <mergeCell ref="C59:F59"/>
    <mergeCell ref="C61:F61"/>
    <mergeCell ref="C23:F23"/>
    <mergeCell ref="C57:F57"/>
    <mergeCell ref="C58:F58"/>
    <mergeCell ref="B2:E2"/>
    <mergeCell ref="B21:E21"/>
    <mergeCell ref="C52:F52"/>
    <mergeCell ref="C53:F53"/>
    <mergeCell ref="C55:F55"/>
    <mergeCell ref="B40:E40"/>
    <mergeCell ref="C54:F54"/>
  </mergeCells>
  <phoneticPr fontId="4" type="noConversion"/>
  <conditionalFormatting sqref="E11">
    <cfRule type="expression" dxfId="55" priority="21">
      <formula>$D$11="Autre (… h/semaine)"</formula>
    </cfRule>
  </conditionalFormatting>
  <conditionalFormatting sqref="J69:J182">
    <cfRule type="expression" dxfId="54" priority="15">
      <formula>$H69="Pas de modification"</formula>
    </cfRule>
  </conditionalFormatting>
  <conditionalFormatting sqref="D33">
    <cfRule type="expression" dxfId="53" priority="13">
      <formula>$D$32="Oui"</formula>
    </cfRule>
  </conditionalFormatting>
  <conditionalFormatting sqref="E33">
    <cfRule type="expression" dxfId="52" priority="12">
      <formula>$E$32="Oui"</formula>
    </cfRule>
  </conditionalFormatting>
  <conditionalFormatting sqref="H65:H182">
    <cfRule type="expression" dxfId="51" priority="9">
      <formula>$H65="Pas de modification"</formula>
    </cfRule>
  </conditionalFormatting>
  <conditionalFormatting sqref="I65:I182">
    <cfRule type="expression" dxfId="50" priority="11">
      <formula>$H65="Pas de modification"</formula>
    </cfRule>
  </conditionalFormatting>
  <conditionalFormatting sqref="G65:G182">
    <cfRule type="expression" dxfId="49" priority="5">
      <formula>IF(AND($G65&lt;&gt;"",OR($G65&lt;=0.06,$G65&gt;7)),"VRAI","FAUX")</formula>
    </cfRule>
    <cfRule type="expression" dxfId="48" priority="10">
      <formula>IF(OR($F65="U connu",$F65="U connu (porte et fenêtres)"),TRUE,FALSE)</formula>
    </cfRule>
  </conditionalFormatting>
  <conditionalFormatting sqref="E29:E37">
    <cfRule type="expression" dxfId="47" priority="4">
      <formula>$D$25="Non"</formula>
    </cfRule>
  </conditionalFormatting>
  <dataValidations count="1">
    <dataValidation type="whole" allowBlank="1" showInputMessage="1" showErrorMessage="1" errorTitle="Donnée non valide" error="Vous devez encoder un nombre à quatres chiffres" sqref="D31:E31" xr:uid="{1B136E2D-72D3-46E0-B6F2-4E08E24425FD}">
      <formula1>1970</formula1>
      <formula2>2026</formula2>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6" id="{642C6E28-B925-4762-89BC-CB0B0B0C6CD4}">
            <xm:f>IF($I$65="",FALSE,IF(OR($I65&lt;_xlfn.XLOOKUP($H65,'Données Giant'!$A$8:$A$20,'Données Giant'!$J$8:$J$20),$I$65&gt;_xlfn.XLOOKUP($H65,'Données Giant'!$A$8:$A$20,'Données Giant'!$K$8:$K$20)),TRUE,FALSE))</xm:f>
            <x14:dxf>
              <fill>
                <patternFill>
                  <bgColor rgb="FFFFC000"/>
                </patternFill>
              </fill>
            </x14:dxf>
          </x14:cfRule>
          <xm:sqref>I65:I182</xm:sqref>
        </x14:conditionalFormatting>
        <x14:conditionalFormatting xmlns:xm="http://schemas.microsoft.com/office/excel/2006/main">
          <x14:cfRule type="expression" priority="3" id="{3062ADC6-4750-4ECA-9909-0788C9F29092}">
            <xm:f>IF(OR($H65='Données Giant'!$A$9,$H65='Données Giant'!$A$11,$H65='Données Giant'!$A$12),TRUE,FALSE)</xm:f>
            <x14:dxf>
              <fill>
                <patternFill patternType="darkGray">
                  <bgColor theme="3" tint="0.59996337778862885"/>
                </patternFill>
              </fill>
            </x14:dxf>
          </x14:cfRule>
          <x14:cfRule type="expression" priority="8" id="{00000000-000E-0000-0100-000005000000}">
            <xm:f>IF(OR($H65="Pas de modification",$H65='Données Giant'!$A$22),"VRAI","FAUX")</xm:f>
            <x14:dxf>
              <fill>
                <patternFill patternType="darkGray">
                  <bgColor theme="3" tint="0.59996337778862885"/>
                </patternFill>
              </fill>
            </x14:dxf>
          </x14:cfRule>
          <xm:sqref>J65:J182</xm:sqref>
        </x14:conditionalFormatting>
        <x14:conditionalFormatting xmlns:xm="http://schemas.microsoft.com/office/excel/2006/main">
          <x14:cfRule type="expression" priority="14" id="{75084DA4-5A87-458B-AF3B-73A4287604CC}">
            <xm:f>IF(OR($H69='Données Giant'!$A$9,$H69='Données Giant'!$A$11,$H69='Données Giant'!$A$12),TRUE,FALSE)</xm:f>
            <x14:dxf>
              <fill>
                <patternFill patternType="darkGray"/>
              </fill>
            </x14:dxf>
          </x14:cfRule>
          <xm:sqref>J69:J182</xm:sqref>
        </x14:conditionalFormatting>
        <x14:conditionalFormatting xmlns:xm="http://schemas.microsoft.com/office/excel/2006/main">
          <x14:cfRule type="expression" priority="1" id="{CBF7862E-76A0-4696-883B-C6D8E2501568}">
            <xm:f>IF(AND($I65&gt;_xlfn.XLOOKUP($H65,'Données Giant'!$A$8:$A$20,'Données Giant'!$C$8:$C$20,0),$H65&lt;&gt;'Données Giant'!$A$21,$H65&lt;&gt;'Données Giant'!$A$22),TRUE,FALSE)</xm:f>
            <x14:dxf>
              <fill>
                <patternFill>
                  <bgColor rgb="FFFF0000"/>
                </patternFill>
              </fill>
            </x14:dxf>
          </x14:cfRule>
          <xm:sqref>I65:I182</xm:sqref>
        </x14:conditionalFormatting>
      </x14:conditionalFormattings>
    </ext>
    <ext xmlns:x14="http://schemas.microsoft.com/office/spreadsheetml/2009/9/main" uri="{CCE6A557-97BC-4b89-ADB6-D9C93CAAB3DF}">
      <x14:dataValidations xmlns:xm="http://schemas.microsoft.com/office/excel/2006/main" count="17">
        <x14:dataValidation type="list" allowBlank="1" showInputMessage="1" showErrorMessage="1" xr:uid="{85A03D32-C0FB-4D1B-A50E-94648A5092B0}">
          <x14:formula1>
            <xm:f>'Données Giant'!$H$3:$H$4</xm:f>
          </x14:formula1>
          <xm:sqref>J65:J182</xm:sqref>
        </x14:dataValidation>
        <x14:dataValidation type="list" allowBlank="1" showInputMessage="1" showErrorMessage="1" xr:uid="{D1E2B847-8C89-4D27-9FCB-E652E045AF2E}">
          <x14:formula1>
            <xm:f>DonnéesAutres!$A$2:$A$8</xm:f>
          </x14:formula1>
          <xm:sqref>D8</xm:sqref>
        </x14:dataValidation>
        <x14:dataValidation type="list" allowBlank="1" showInputMessage="1" showErrorMessage="1" xr:uid="{75CAF319-4928-447D-BB71-0C039F99A0C0}">
          <x14:formula1>
            <xm:f>'Liste des communes'!$A$2:$A$2791</xm:f>
          </x14:formula1>
          <xm:sqref>D7</xm:sqref>
        </x14:dataValidation>
        <x14:dataValidation type="list" allowBlank="1" showInputMessage="1" showErrorMessage="1" xr:uid="{B934A450-A9CF-4E84-A249-4FAD7CAE3BC6}">
          <x14:formula1>
            <xm:f>DonnéesAutres!$A$18:$A$22</xm:f>
          </x14:formula1>
          <xm:sqref>D11</xm:sqref>
        </x14:dataValidation>
        <x14:dataValidation type="list" allowBlank="1" showInputMessage="1" showErrorMessage="1" xr:uid="{2864BB8A-FE24-45F7-BF3C-7B6943A6E1F9}">
          <x14:formula1>
            <xm:f>DonnéesAutres!$A$90:$A$100</xm:f>
          </x14:formula1>
          <xm:sqref>C65:C182</xm:sqref>
        </x14:dataValidation>
        <x14:dataValidation type="list" allowBlank="1" showInputMessage="1" showErrorMessage="1" xr:uid="{0134A628-FB9E-451D-9B2C-EBCFEDAEC60C}">
          <x14:formula1>
            <xm:f>DonnéesAutres!$A$29:$A$30</xm:f>
          </x14:formula1>
          <xm:sqref>D13 D32:E32 D35:E35</xm:sqref>
        </x14:dataValidation>
        <x14:dataValidation type="list" allowBlank="1" showInputMessage="1" showErrorMessage="1" xr:uid="{CC2C0897-1FE9-4199-8213-5BB07DA7840E}">
          <x14:formula1>
            <xm:f>DonnéesAutres!$A$67:$A$70</xm:f>
          </x14:formula1>
          <xm:sqref>D34:E34</xm:sqref>
        </x14:dataValidation>
        <x14:dataValidation type="list" allowBlank="1" showInputMessage="1" showErrorMessage="1" xr:uid="{8DBA0737-1F0C-486E-9A8C-622B81B0F929}">
          <x14:formula1>
            <xm:f>DonnéesAutres!$A$73:$A$75</xm:f>
          </x14:formula1>
          <xm:sqref>D36:E36</xm:sqref>
        </x14:dataValidation>
        <x14:dataValidation type="list" allowBlank="1" showInputMessage="1" showErrorMessage="1" xr:uid="{AEAC3D73-93C0-4D42-96C6-B3F806026FDE}">
          <x14:formula1>
            <xm:f>DonnéesAutres!$A$78:$A$80</xm:f>
          </x14:formula1>
          <xm:sqref>D37:E37</xm:sqref>
        </x14:dataValidation>
        <x14:dataValidation type="list" allowBlank="1" showInputMessage="1" showErrorMessage="1" xr:uid="{6099231C-9FA1-46EC-A894-FE2F79F871D9}">
          <x14:formula1>
            <xm:f>DonnéesAutres!$A$37:$A$48</xm:f>
          </x14:formula1>
          <xm:sqref>D29:E29</xm:sqref>
        </x14:dataValidation>
        <x14:dataValidation type="list" allowBlank="1" showInputMessage="1" showErrorMessage="1" xr:uid="{343AA2B4-CA60-4845-B932-6CB3C2531F09}">
          <x14:formula1>
            <xm:f>DonnéesAutres!$A$127:$A$136</xm:f>
          </x14:formula1>
          <xm:sqref>F44:F46</xm:sqref>
        </x14:dataValidation>
        <x14:dataValidation type="list" allowBlank="1" showInputMessage="1" showErrorMessage="1" xr:uid="{65E5917D-4C15-4C62-BF3F-AB3420FF68C1}">
          <x14:formula1>
            <xm:f>DonnéesAutres!$A$137:$A$141</xm:f>
          </x14:formula1>
          <xm:sqref>E44:E46</xm:sqref>
        </x14:dataValidation>
        <x14:dataValidation type="list" allowBlank="1" showInputMessage="1" showErrorMessage="1" xr:uid="{E246D789-5328-4080-8C03-E81119B45C7D}">
          <x14:formula1>
            <xm:f>DonnéesAutres!$C$127:$C$132</xm:f>
          </x14:formula1>
          <xm:sqref>D30:E30</xm:sqref>
        </x14:dataValidation>
        <x14:dataValidation type="list" allowBlank="1" showInputMessage="1" showErrorMessage="1" xr:uid="{4A05005B-3B62-48DF-8275-06792FF5346B}">
          <x14:formula1>
            <xm:f>DonnéesAutres!$A$33:$A$34</xm:f>
          </x14:formula1>
          <xm:sqref>D25</xm:sqref>
        </x14:dataValidation>
        <x14:dataValidation type="list" allowBlank="1" showInputMessage="1" showErrorMessage="1" xr:uid="{53881A4B-AC69-422C-BF10-B63C41603A8A}">
          <x14:formula1>
            <xm:f>'Données Giant'!$A$8:$A$22</xm:f>
          </x14:formula1>
          <xm:sqref>H65:H182</xm:sqref>
        </x14:dataValidation>
        <x14:dataValidation type="list" allowBlank="1" showInputMessage="1" showErrorMessage="1" xr:uid="{9C3828CF-64F0-43F3-8FAB-FAA8FABBDB45}">
          <x14:formula1>
            <xm:f>DonnéesAutres!$A$25:$A$26</xm:f>
          </x14:formula1>
          <xm:sqref>D18</xm:sqref>
        </x14:dataValidation>
        <x14:dataValidation type="list" allowBlank="1" showInputMessage="1" showErrorMessage="1" xr:uid="{EA7F32EC-6A5E-4FC2-88CB-75D8974D9A0A}">
          <x14:formula1>
            <xm:f>_xlfn.IFS(A65="top",'Parois types'!$B$39:$B$43,A65="toi",'Parois types'!$B$46:$B$54,A65= "toc",'Parois types'!$B$57:$B$62, A65="mur",'Parois types'!$B$21:$B$36,A65="sol",'Parois types'!$B$64:$B$71, A65="fen",'Parois types'!$B$9:$B$18)</xm:f>
          </x14:formula1>
          <xm:sqref>F65:F182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4CE6-6E9C-47D3-AA60-817B3D031D08}">
  <sheetPr codeName="Feuil5">
    <tabColor theme="8"/>
  </sheetPr>
  <dimension ref="A1:K69"/>
  <sheetViews>
    <sheetView zoomScaleNormal="100" workbookViewId="0">
      <selection activeCell="D14" sqref="D14"/>
    </sheetView>
  </sheetViews>
  <sheetFormatPr baseColWidth="10" defaultColWidth="0" defaultRowHeight="13.2" zeroHeight="1" x14ac:dyDescent="0.25"/>
  <cols>
    <col min="1" max="1" width="11.44140625" customWidth="1"/>
    <col min="2" max="2" width="6.33203125" customWidth="1"/>
    <col min="3" max="3" width="43.6640625" customWidth="1"/>
    <col min="4" max="4" width="30.6640625" style="222" customWidth="1"/>
    <col min="5" max="5" width="45.6640625" style="222" customWidth="1"/>
    <col min="6" max="6" width="18.6640625" style="222" customWidth="1"/>
    <col min="7" max="11" width="11.44140625" customWidth="1"/>
    <col min="12" max="16384" width="11.44140625" hidden="1"/>
  </cols>
  <sheetData>
    <row r="1" spans="1:11" x14ac:dyDescent="0.25">
      <c r="A1" s="116"/>
      <c r="B1" s="116"/>
      <c r="C1" s="116"/>
      <c r="D1" s="116"/>
      <c r="E1" s="116"/>
      <c r="F1" s="116"/>
      <c r="G1" s="116"/>
      <c r="H1" s="116"/>
      <c r="I1" s="116"/>
      <c r="J1" s="116"/>
      <c r="K1" s="116"/>
    </row>
    <row r="2" spans="1:11" x14ac:dyDescent="0.25">
      <c r="A2" s="115"/>
      <c r="B2" s="116"/>
      <c r="C2" s="116"/>
      <c r="D2" s="116"/>
      <c r="E2" s="116"/>
      <c r="F2" s="116"/>
      <c r="G2" s="116"/>
      <c r="H2" s="116"/>
      <c r="I2" s="116"/>
      <c r="J2" s="116"/>
      <c r="K2" s="117"/>
    </row>
    <row r="3" spans="1:11" ht="13.8" thickBot="1" x14ac:dyDescent="0.3">
      <c r="A3" s="115"/>
      <c r="B3" s="116"/>
      <c r="C3" s="116"/>
      <c r="D3" s="116"/>
      <c r="E3" s="116"/>
      <c r="F3" s="116"/>
      <c r="G3" s="116"/>
      <c r="H3" s="116"/>
      <c r="I3" s="116"/>
      <c r="J3" s="116"/>
      <c r="K3" s="117"/>
    </row>
    <row r="4" spans="1:11" ht="16.2" thickBot="1" x14ac:dyDescent="0.35">
      <c r="A4" s="115"/>
      <c r="B4" s="263" t="s">
        <v>49</v>
      </c>
      <c r="C4" s="264"/>
      <c r="D4" s="264"/>
      <c r="E4" s="264"/>
      <c r="F4" s="265"/>
      <c r="G4" s="116"/>
      <c r="H4" s="116"/>
      <c r="I4" s="116"/>
      <c r="J4" s="116"/>
      <c r="K4" s="117"/>
    </row>
    <row r="5" spans="1:11" ht="16.2" thickBot="1" x14ac:dyDescent="0.35">
      <c r="A5" s="115"/>
      <c r="B5" s="124"/>
      <c r="C5" s="124"/>
      <c r="D5" s="124"/>
      <c r="E5" s="124"/>
      <c r="F5" s="124"/>
      <c r="G5" s="116"/>
      <c r="H5" s="116"/>
      <c r="I5" s="116"/>
      <c r="J5" s="116"/>
      <c r="K5" s="117"/>
    </row>
    <row r="6" spans="1:11" ht="27.6" customHeight="1" x14ac:dyDescent="0.3">
      <c r="A6" s="115"/>
      <c r="B6" s="124"/>
      <c r="C6" s="289" t="s">
        <v>50</v>
      </c>
      <c r="D6" s="290"/>
      <c r="E6" s="290"/>
      <c r="F6" s="291"/>
      <c r="G6" s="116"/>
      <c r="H6" s="116"/>
      <c r="I6" s="116"/>
      <c r="J6" s="116"/>
      <c r="K6" s="117"/>
    </row>
    <row r="7" spans="1:11" ht="15.6" x14ac:dyDescent="0.3">
      <c r="A7" s="115"/>
      <c r="B7" s="124"/>
      <c r="C7" s="125"/>
      <c r="D7" s="126"/>
      <c r="E7" s="126"/>
      <c r="F7" s="127"/>
      <c r="G7" s="116"/>
      <c r="H7" s="116"/>
      <c r="I7" s="116"/>
      <c r="J7" s="116"/>
      <c r="K7" s="117"/>
    </row>
    <row r="8" spans="1:11" ht="26.4" customHeight="1" x14ac:dyDescent="0.3">
      <c r="A8" s="115"/>
      <c r="B8" s="124"/>
      <c r="C8" s="286" t="s">
        <v>51</v>
      </c>
      <c r="D8" s="287"/>
      <c r="E8" s="287"/>
      <c r="F8" s="288"/>
      <c r="G8" s="116"/>
      <c r="H8" s="116"/>
      <c r="I8" s="116"/>
      <c r="J8" s="116"/>
      <c r="K8" s="117"/>
    </row>
    <row r="9" spans="1:11" ht="15" customHeight="1" x14ac:dyDescent="0.3">
      <c r="A9" s="115"/>
      <c r="B9" s="124"/>
      <c r="C9" s="125"/>
      <c r="D9" s="126"/>
      <c r="E9" s="126"/>
      <c r="F9" s="127"/>
      <c r="G9" s="116"/>
      <c r="H9" s="116"/>
      <c r="I9" s="116"/>
      <c r="J9" s="116"/>
      <c r="K9" s="117"/>
    </row>
    <row r="10" spans="1:11" ht="25.95" customHeight="1" thickBot="1" x14ac:dyDescent="0.35">
      <c r="A10" s="115"/>
      <c r="B10" s="124"/>
      <c r="C10" s="292" t="s">
        <v>52</v>
      </c>
      <c r="D10" s="293"/>
      <c r="E10" s="293"/>
      <c r="F10" s="294"/>
      <c r="G10" s="116"/>
      <c r="H10" s="116"/>
      <c r="I10" s="116"/>
      <c r="J10" s="116"/>
      <c r="K10" s="117"/>
    </row>
    <row r="11" spans="1:11" ht="16.2" thickBot="1" x14ac:dyDescent="0.35">
      <c r="A11" s="115"/>
      <c r="B11" s="124"/>
      <c r="C11" s="124"/>
      <c r="D11" s="124"/>
      <c r="E11" s="124"/>
      <c r="F11" s="124"/>
      <c r="G11" s="116"/>
      <c r="H11" s="116"/>
      <c r="I11" s="116"/>
      <c r="J11" s="116"/>
      <c r="K11" s="117"/>
    </row>
    <row r="12" spans="1:11" ht="13.8" thickBot="1" x14ac:dyDescent="0.3">
      <c r="A12" s="115"/>
      <c r="B12" s="116"/>
      <c r="C12" s="197"/>
      <c r="D12" s="111" t="s">
        <v>18</v>
      </c>
      <c r="E12" s="112" t="s">
        <v>19</v>
      </c>
      <c r="F12" s="116"/>
      <c r="G12" s="116"/>
      <c r="H12" s="116"/>
      <c r="I12" s="116"/>
      <c r="J12" s="116"/>
      <c r="K12" s="117"/>
    </row>
    <row r="13" spans="1:11" ht="13.8" thickBot="1" x14ac:dyDescent="0.3">
      <c r="A13" s="115"/>
      <c r="B13" s="122"/>
      <c r="C13" s="197"/>
      <c r="D13" s="123"/>
      <c r="E13" s="123"/>
      <c r="F13" s="116"/>
      <c r="G13" s="116"/>
      <c r="H13" s="116"/>
      <c r="I13" s="116"/>
      <c r="J13" s="116"/>
      <c r="K13" s="117"/>
    </row>
    <row r="14" spans="1:11" ht="44.25" customHeight="1" thickBot="1" x14ac:dyDescent="0.3">
      <c r="A14" s="115"/>
      <c r="B14" s="116"/>
      <c r="C14" s="110" t="s">
        <v>53</v>
      </c>
      <c r="D14" s="218"/>
      <c r="E14" s="217"/>
      <c r="F14" s="197" t="s">
        <v>56</v>
      </c>
      <c r="G14" s="116"/>
      <c r="H14" s="116"/>
      <c r="I14" s="116"/>
      <c r="J14" s="116"/>
      <c r="K14" s="117"/>
    </row>
    <row r="15" spans="1:11" x14ac:dyDescent="0.25">
      <c r="A15" s="115"/>
      <c r="B15" s="116"/>
      <c r="C15" s="197" t="str">
        <f>IF(OR(D14=DonnéesAutres!A106,E14=DonnéesAutres!A106),"Rendement de récupération de chaleur","")</f>
        <v/>
      </c>
      <c r="D15" s="139"/>
      <c r="E15" s="139"/>
      <c r="F15" s="131" t="str">
        <f>IF(OR(AND(ISBLANK(E15)=TRUE,E14=DonnéesAutres!A110),AND(ISBLANK(D15)=TRUE,D14=DonnéesAutres!A110)),"Encodez un rendement de récupération de chaleur","")</f>
        <v/>
      </c>
      <c r="G15" s="116"/>
      <c r="H15" s="116"/>
      <c r="I15" s="116"/>
      <c r="J15" s="116"/>
      <c r="K15" s="117"/>
    </row>
    <row r="16" spans="1:11" ht="13.8" thickBot="1" x14ac:dyDescent="0.3">
      <c r="A16" s="115"/>
      <c r="B16" s="116"/>
      <c r="C16" s="197"/>
      <c r="D16" s="116"/>
      <c r="E16" s="116"/>
      <c r="F16" s="116"/>
      <c r="G16" s="116"/>
      <c r="H16" s="116"/>
      <c r="I16" s="116"/>
      <c r="J16" s="116"/>
      <c r="K16" s="117"/>
    </row>
    <row r="17" spans="1:11" ht="13.8" thickBot="1" x14ac:dyDescent="0.3">
      <c r="A17" s="115"/>
      <c r="B17" s="116"/>
      <c r="C17" s="121"/>
      <c r="D17" s="111" t="s">
        <v>3158</v>
      </c>
      <c r="E17" s="114" t="s">
        <v>3159</v>
      </c>
      <c r="F17" s="112" t="s">
        <v>58</v>
      </c>
      <c r="G17" s="116"/>
      <c r="H17" s="116"/>
      <c r="I17" s="116"/>
      <c r="J17" s="116"/>
      <c r="K17" s="117"/>
    </row>
    <row r="18" spans="1:11" ht="15" thickBot="1" x14ac:dyDescent="0.3">
      <c r="A18" s="115"/>
      <c r="B18" s="116"/>
      <c r="C18" s="116"/>
      <c r="D18" s="18" t="s">
        <v>288</v>
      </c>
      <c r="E18" s="137"/>
      <c r="F18" s="113">
        <f>IF(OR(E18=0,E18=""),0,IF($E$14=DonnéesAutres!$A$110,'Données Giant'!C55*'Encodage ventilation'!E18,IF($E$14=DonnéesAutres!$A$105,'Données Giant'!C44*'Encodage ventilation'!E18,0)))</f>
        <v>0</v>
      </c>
      <c r="G18" s="116"/>
      <c r="H18" s="116"/>
      <c r="I18" s="116"/>
      <c r="J18" s="116"/>
      <c r="K18" s="117"/>
    </row>
    <row r="19" spans="1:11" ht="15" thickBot="1" x14ac:dyDescent="0.3">
      <c r="A19" s="115"/>
      <c r="B19" s="116"/>
      <c r="C19" s="116"/>
      <c r="D19" s="18" t="s">
        <v>289</v>
      </c>
      <c r="E19" s="138"/>
      <c r="F19" s="113">
        <f>IF(OR(E19=0,E19=""),0,IF($E$14=DonnéesAutres!$A$110,'Données Giant'!C56*'Encodage ventilation'!E19,IF($E$14=DonnéesAutres!$A$105,'Données Giant'!C45*'Encodage ventilation'!E19,0)))</f>
        <v>0</v>
      </c>
      <c r="G19" s="116"/>
      <c r="H19" s="116"/>
      <c r="I19" s="116"/>
      <c r="J19" s="116"/>
      <c r="K19" s="117"/>
    </row>
    <row r="20" spans="1:11" ht="15" thickBot="1" x14ac:dyDescent="0.3">
      <c r="A20" s="115"/>
      <c r="B20" s="116"/>
      <c r="C20" s="116"/>
      <c r="D20" s="18" t="s">
        <v>290</v>
      </c>
      <c r="E20" s="138"/>
      <c r="F20" s="113">
        <f>IF(OR(E20=0,E20=""),0,IF($E$14=DonnéesAutres!$A$110,'Données Giant'!C57*'Encodage ventilation'!E20,IF($E$14=DonnéesAutres!$A$105,'Données Giant'!C46*'Encodage ventilation'!E20,0)))</f>
        <v>0</v>
      </c>
      <c r="G20" s="116"/>
      <c r="H20" s="116"/>
      <c r="I20" s="116"/>
      <c r="J20" s="116"/>
      <c r="K20" s="117"/>
    </row>
    <row r="21" spans="1:11" ht="15" thickBot="1" x14ac:dyDescent="0.3">
      <c r="A21" s="115"/>
      <c r="B21" s="116"/>
      <c r="C21" s="116"/>
      <c r="D21" s="18" t="s">
        <v>291</v>
      </c>
      <c r="E21" s="138"/>
      <c r="F21" s="113">
        <f>IF(OR(E21=0,E21=""),0,IF($E$14=DonnéesAutres!$A$110,'Données Giant'!C58*'Encodage ventilation'!E21,IF($E$14=DonnéesAutres!$A$105,'Données Giant'!C47*'Encodage ventilation'!E21,0)))</f>
        <v>0</v>
      </c>
      <c r="G21" s="116"/>
      <c r="H21" s="116"/>
      <c r="I21" s="116"/>
      <c r="J21" s="116"/>
      <c r="K21" s="117"/>
    </row>
    <row r="22" spans="1:11" ht="15" thickBot="1" x14ac:dyDescent="0.3">
      <c r="A22" s="115"/>
      <c r="B22" s="116"/>
      <c r="C22" s="116"/>
      <c r="D22" s="18" t="s">
        <v>292</v>
      </c>
      <c r="E22" s="138"/>
      <c r="F22" s="113">
        <f>IF(OR(E22=0,E22=""),0,IF($E$14=DonnéesAutres!$A$110,'Données Giant'!C59*'Encodage ventilation'!E22,IF($E$14=DonnéesAutres!$A$105,'Données Giant'!C48*'Encodage ventilation'!E22,0)))</f>
        <v>0</v>
      </c>
      <c r="G22" s="116"/>
      <c r="H22" s="116"/>
      <c r="I22" s="116"/>
      <c r="J22" s="116"/>
      <c r="K22" s="117"/>
    </row>
    <row r="23" spans="1:11" ht="15" thickBot="1" x14ac:dyDescent="0.3">
      <c r="A23" s="115"/>
      <c r="B23" s="116"/>
      <c r="C23" s="116"/>
      <c r="D23" s="18" t="s">
        <v>293</v>
      </c>
      <c r="E23" s="138"/>
      <c r="F23" s="113">
        <f>IF(OR(E23=0,E23=""),0,IF($E$14=DonnéesAutres!$A$110,'Données Giant'!C60*'Encodage ventilation'!E23,IF($E$14=DonnéesAutres!$A$105,'Données Giant'!C49*'Encodage ventilation'!E23,0)))</f>
        <v>0</v>
      </c>
      <c r="G23" s="116"/>
      <c r="H23" s="116"/>
      <c r="I23" s="116"/>
      <c r="J23" s="116"/>
      <c r="K23" s="117"/>
    </row>
    <row r="24" spans="1:11" ht="15" thickBot="1" x14ac:dyDescent="0.3">
      <c r="A24" s="115"/>
      <c r="B24" s="116"/>
      <c r="C24" s="116"/>
      <c r="D24" s="18" t="s">
        <v>294</v>
      </c>
      <c r="E24" s="138"/>
      <c r="F24" s="113">
        <f>IF(OR(E24=0,E24=""),0,IF($E$14=DonnéesAutres!$A$110,'Données Giant'!C61*'Encodage ventilation'!E24,IF($E$14=DonnéesAutres!$A$105,'Données Giant'!C50*'Encodage ventilation'!E24,0)))</f>
        <v>0</v>
      </c>
      <c r="G24" s="116"/>
      <c r="H24" s="116"/>
      <c r="I24" s="116"/>
      <c r="J24" s="116"/>
      <c r="K24" s="117"/>
    </row>
    <row r="25" spans="1:11" x14ac:dyDescent="0.25">
      <c r="A25" s="115"/>
      <c r="B25" s="116"/>
      <c r="C25" s="116"/>
      <c r="D25" s="223"/>
      <c r="E25" s="224"/>
      <c r="F25" s="225"/>
      <c r="G25" s="116"/>
      <c r="H25" s="116"/>
      <c r="I25" s="116"/>
      <c r="J25" s="116"/>
      <c r="K25" s="117"/>
    </row>
    <row r="26" spans="1:11" x14ac:dyDescent="0.25">
      <c r="A26" s="115"/>
      <c r="B26" s="116"/>
      <c r="C26" s="116"/>
      <c r="D26" s="223"/>
      <c r="E26" s="224"/>
      <c r="F26" s="225"/>
      <c r="G26" s="116"/>
      <c r="H26" s="116"/>
      <c r="I26" s="116"/>
      <c r="J26" s="116"/>
      <c r="K26" s="117"/>
    </row>
    <row r="27" spans="1:11" x14ac:dyDescent="0.25">
      <c r="A27" s="115"/>
      <c r="B27" s="116"/>
      <c r="C27" s="116"/>
      <c r="D27" s="223"/>
      <c r="E27" s="224"/>
      <c r="F27" s="225"/>
      <c r="G27" s="116"/>
      <c r="H27" s="116"/>
      <c r="I27" s="116"/>
      <c r="J27" s="116"/>
      <c r="K27" s="117"/>
    </row>
    <row r="28" spans="1:11" x14ac:dyDescent="0.25">
      <c r="A28" s="115"/>
      <c r="B28" s="116"/>
      <c r="C28" s="116"/>
      <c r="D28" s="223"/>
      <c r="E28" s="224"/>
      <c r="F28" s="225"/>
      <c r="G28" s="116"/>
      <c r="H28" s="116"/>
      <c r="I28" s="116"/>
      <c r="J28" s="116"/>
      <c r="K28" s="117"/>
    </row>
    <row r="29" spans="1:11" x14ac:dyDescent="0.25">
      <c r="A29" s="115"/>
      <c r="B29" s="116"/>
      <c r="C29" s="116"/>
      <c r="D29" s="223"/>
      <c r="E29" s="224"/>
      <c r="F29" s="225"/>
      <c r="G29" s="116"/>
      <c r="H29" s="116"/>
      <c r="I29" s="116"/>
      <c r="J29" s="116"/>
      <c r="K29" s="117"/>
    </row>
    <row r="30" spans="1:11" x14ac:dyDescent="0.25">
      <c r="A30" s="115"/>
      <c r="B30" s="116"/>
      <c r="C30" s="116"/>
      <c r="D30" s="223"/>
      <c r="E30" s="224"/>
      <c r="F30" s="225"/>
      <c r="G30" s="116"/>
      <c r="H30" s="116"/>
      <c r="I30" s="116"/>
      <c r="J30" s="116"/>
      <c r="K30" s="117"/>
    </row>
    <row r="31" spans="1:11" x14ac:dyDescent="0.25">
      <c r="A31" s="115"/>
      <c r="B31" s="116"/>
      <c r="C31" s="116"/>
      <c r="D31" s="223"/>
      <c r="E31" s="224"/>
      <c r="F31" s="225"/>
      <c r="G31" s="116"/>
      <c r="H31" s="116"/>
      <c r="I31" s="116"/>
      <c r="J31" s="116"/>
      <c r="K31" s="117"/>
    </row>
    <row r="32" spans="1:11" x14ac:dyDescent="0.25">
      <c r="A32" s="115"/>
      <c r="B32" s="116"/>
      <c r="C32" s="116"/>
      <c r="D32" s="223"/>
      <c r="E32" s="224"/>
      <c r="F32" s="225"/>
      <c r="G32" s="116"/>
      <c r="H32" s="116"/>
      <c r="I32" s="116"/>
      <c r="J32" s="116"/>
      <c r="K32" s="117"/>
    </row>
    <row r="33" spans="1:11" x14ac:dyDescent="0.25">
      <c r="A33" s="115"/>
      <c r="B33" s="116"/>
      <c r="C33" s="116"/>
      <c r="D33" s="223"/>
      <c r="E33" s="224"/>
      <c r="F33" s="225"/>
      <c r="G33" s="116"/>
      <c r="H33" s="116"/>
      <c r="I33" s="116"/>
      <c r="J33" s="116"/>
      <c r="K33" s="117"/>
    </row>
    <row r="34" spans="1:11" x14ac:dyDescent="0.25">
      <c r="A34" s="115"/>
      <c r="B34" s="116"/>
      <c r="C34" s="116"/>
      <c r="D34" s="223"/>
      <c r="E34" s="224"/>
      <c r="F34" s="225"/>
      <c r="G34" s="116"/>
      <c r="H34" s="116"/>
      <c r="I34" s="116"/>
      <c r="J34" s="116"/>
      <c r="K34" s="117"/>
    </row>
    <row r="35" spans="1:11" x14ac:dyDescent="0.25">
      <c r="A35" s="115"/>
      <c r="B35" s="116"/>
      <c r="C35" s="116"/>
      <c r="D35" s="223"/>
      <c r="E35" s="224"/>
      <c r="F35" s="225"/>
      <c r="G35" s="116"/>
      <c r="H35" s="116"/>
      <c r="I35" s="116"/>
      <c r="J35" s="116"/>
      <c r="K35" s="117"/>
    </row>
    <row r="36" spans="1:11" x14ac:dyDescent="0.25">
      <c r="A36" s="115"/>
      <c r="B36" s="116"/>
      <c r="C36" s="116"/>
      <c r="D36" s="223"/>
      <c r="E36" s="224"/>
      <c r="F36" s="225"/>
      <c r="G36" s="116"/>
      <c r="H36" s="116"/>
      <c r="I36" s="116"/>
      <c r="J36" s="116"/>
      <c r="K36" s="117"/>
    </row>
    <row r="37" spans="1:11" x14ac:dyDescent="0.25">
      <c r="A37" s="115"/>
      <c r="B37" s="116"/>
      <c r="C37" s="116"/>
      <c r="D37" s="223"/>
      <c r="E37" s="224"/>
      <c r="F37" s="225"/>
      <c r="G37" s="116"/>
      <c r="H37" s="116"/>
      <c r="I37" s="116"/>
      <c r="J37" s="116"/>
      <c r="K37" s="117"/>
    </row>
    <row r="38" spans="1:11" x14ac:dyDescent="0.25">
      <c r="A38" s="115"/>
      <c r="B38" s="116"/>
      <c r="C38" s="116"/>
      <c r="D38" s="223"/>
      <c r="E38" s="224"/>
      <c r="F38" s="225"/>
      <c r="G38" s="116"/>
      <c r="H38" s="116"/>
      <c r="I38" s="116"/>
      <c r="J38" s="116"/>
      <c r="K38" s="117"/>
    </row>
    <row r="39" spans="1:11" x14ac:dyDescent="0.25">
      <c r="A39" s="115"/>
      <c r="B39" s="116"/>
      <c r="C39" s="116"/>
      <c r="D39" s="223"/>
      <c r="E39" s="224"/>
      <c r="F39" s="225"/>
      <c r="G39" s="116"/>
      <c r="H39" s="116"/>
      <c r="I39" s="116"/>
      <c r="J39" s="116"/>
      <c r="K39" s="117"/>
    </row>
    <row r="40" spans="1:11" x14ac:dyDescent="0.25">
      <c r="A40" s="115"/>
      <c r="B40" s="116"/>
      <c r="C40" s="116"/>
      <c r="D40" s="223"/>
      <c r="E40" s="224"/>
      <c r="F40" s="225"/>
      <c r="G40" s="116"/>
      <c r="H40" s="116"/>
      <c r="I40" s="116"/>
      <c r="J40" s="116"/>
      <c r="K40" s="117"/>
    </row>
    <row r="41" spans="1:11" x14ac:dyDescent="0.25">
      <c r="A41" s="115"/>
      <c r="B41" s="116"/>
      <c r="C41" s="116"/>
      <c r="D41" s="223"/>
      <c r="E41" s="224"/>
      <c r="F41" s="225"/>
      <c r="G41" s="116"/>
      <c r="H41" s="116"/>
      <c r="I41" s="116"/>
      <c r="J41" s="116"/>
      <c r="K41" s="117"/>
    </row>
    <row r="42" spans="1:11" x14ac:dyDescent="0.25">
      <c r="A42" s="115"/>
      <c r="B42" s="116"/>
      <c r="C42" s="116"/>
      <c r="D42" s="223"/>
      <c r="E42" s="224"/>
      <c r="F42" s="225"/>
      <c r="G42" s="116"/>
      <c r="H42" s="116"/>
      <c r="I42" s="116"/>
      <c r="J42" s="116"/>
      <c r="K42" s="117"/>
    </row>
    <row r="43" spans="1:11" x14ac:dyDescent="0.25">
      <c r="A43" s="115"/>
      <c r="B43" s="116"/>
      <c r="C43" s="116"/>
      <c r="D43" s="223"/>
      <c r="E43" s="224"/>
      <c r="F43" s="225"/>
      <c r="G43" s="116"/>
      <c r="H43" s="116"/>
      <c r="I43" s="116"/>
      <c r="J43" s="116"/>
      <c r="K43" s="117"/>
    </row>
    <row r="44" spans="1:11" x14ac:dyDescent="0.25">
      <c r="A44" s="115"/>
      <c r="B44" s="116"/>
      <c r="C44" s="116"/>
      <c r="D44" s="223"/>
      <c r="E44" s="224"/>
      <c r="F44" s="225"/>
      <c r="G44" s="116"/>
      <c r="H44" s="116"/>
      <c r="I44" s="116"/>
      <c r="J44" s="116"/>
      <c r="K44" s="117"/>
    </row>
    <row r="45" spans="1:11" x14ac:dyDescent="0.25">
      <c r="A45" s="115"/>
      <c r="B45" s="116"/>
      <c r="C45" s="116"/>
      <c r="D45" s="223"/>
      <c r="E45" s="224"/>
      <c r="F45" s="225"/>
      <c r="G45" s="116"/>
      <c r="H45" s="116"/>
      <c r="I45" s="116"/>
      <c r="J45" s="116"/>
      <c r="K45" s="117"/>
    </row>
    <row r="46" spans="1:11" x14ac:dyDescent="0.25">
      <c r="A46" s="115"/>
      <c r="B46" s="116"/>
      <c r="C46" s="116"/>
      <c r="D46" s="223"/>
      <c r="E46" s="224"/>
      <c r="F46" s="225"/>
      <c r="G46" s="116"/>
      <c r="H46" s="116"/>
      <c r="I46" s="116"/>
      <c r="J46" s="116"/>
      <c r="K46" s="117"/>
    </row>
    <row r="47" spans="1:11" x14ac:dyDescent="0.25">
      <c r="A47" s="115"/>
      <c r="B47" s="116"/>
      <c r="C47" s="116"/>
      <c r="D47" s="223"/>
      <c r="E47" s="224"/>
      <c r="F47" s="225"/>
      <c r="G47" s="116"/>
      <c r="H47" s="116"/>
      <c r="I47" s="116"/>
      <c r="J47" s="116"/>
      <c r="K47" s="117"/>
    </row>
    <row r="48" spans="1:11" x14ac:dyDescent="0.25">
      <c r="A48" s="115"/>
      <c r="B48" s="116"/>
      <c r="C48" s="116"/>
      <c r="D48" s="223"/>
      <c r="E48" s="224"/>
      <c r="F48" s="225"/>
      <c r="G48" s="116"/>
      <c r="H48" s="116"/>
      <c r="I48" s="116"/>
      <c r="J48" s="116"/>
      <c r="K48" s="117"/>
    </row>
    <row r="49" spans="1:11" x14ac:dyDescent="0.25">
      <c r="A49" s="115"/>
      <c r="B49" s="116"/>
      <c r="C49" s="116"/>
      <c r="D49" s="223"/>
      <c r="E49" s="224"/>
      <c r="F49" s="225"/>
      <c r="G49" s="116"/>
      <c r="H49" s="116"/>
      <c r="I49" s="116"/>
      <c r="J49" s="116"/>
      <c r="K49" s="117"/>
    </row>
    <row r="50" spans="1:11" x14ac:dyDescent="0.25">
      <c r="A50" s="115"/>
      <c r="B50" s="116"/>
      <c r="C50" s="116"/>
      <c r="D50" s="223"/>
      <c r="E50" s="224"/>
      <c r="F50" s="225"/>
      <c r="G50" s="116"/>
      <c r="H50" s="116"/>
      <c r="I50" s="116"/>
      <c r="J50" s="116"/>
      <c r="K50" s="117"/>
    </row>
    <row r="51" spans="1:11" x14ac:dyDescent="0.25">
      <c r="A51" s="115"/>
      <c r="B51" s="116"/>
      <c r="C51" s="116"/>
      <c r="D51" s="223"/>
      <c r="E51" s="224"/>
      <c r="F51" s="225"/>
      <c r="G51" s="116"/>
      <c r="H51" s="116"/>
      <c r="I51" s="116"/>
      <c r="J51" s="116"/>
      <c r="K51" s="117"/>
    </row>
    <row r="52" spans="1:11" x14ac:dyDescent="0.25">
      <c r="A52" s="115"/>
      <c r="B52" s="116"/>
      <c r="C52" s="116"/>
      <c r="D52" s="223"/>
      <c r="E52" s="224"/>
      <c r="F52" s="225"/>
      <c r="G52" s="116"/>
      <c r="H52" s="116"/>
      <c r="I52" s="116"/>
      <c r="J52" s="116"/>
      <c r="K52" s="117"/>
    </row>
    <row r="53" spans="1:11" x14ac:dyDescent="0.25">
      <c r="A53" s="115"/>
      <c r="B53" s="116"/>
      <c r="C53" s="116"/>
      <c r="D53" s="223"/>
      <c r="E53" s="224"/>
      <c r="F53" s="225"/>
      <c r="G53" s="116"/>
      <c r="H53" s="116"/>
      <c r="I53" s="116"/>
      <c r="J53" s="116"/>
      <c r="K53" s="117"/>
    </row>
    <row r="54" spans="1:11" x14ac:dyDescent="0.25">
      <c r="A54" s="115"/>
      <c r="B54" s="116"/>
      <c r="C54" s="116"/>
      <c r="D54" s="223"/>
      <c r="E54" s="224"/>
      <c r="F54" s="225"/>
      <c r="G54" s="116"/>
      <c r="H54" s="116"/>
      <c r="I54" s="116"/>
      <c r="J54" s="116"/>
      <c r="K54" s="117"/>
    </row>
    <row r="55" spans="1:11" x14ac:dyDescent="0.25">
      <c r="A55" s="115"/>
      <c r="B55" s="116"/>
      <c r="C55" s="116"/>
      <c r="D55" s="223"/>
      <c r="E55" s="224"/>
      <c r="F55" s="225"/>
      <c r="G55" s="116"/>
      <c r="H55" s="116"/>
      <c r="I55" s="116"/>
      <c r="J55" s="116"/>
      <c r="K55" s="117"/>
    </row>
    <row r="56" spans="1:11" x14ac:dyDescent="0.25">
      <c r="A56" s="115"/>
      <c r="B56" s="116"/>
      <c r="C56" s="116"/>
      <c r="D56" s="223"/>
      <c r="E56" s="224"/>
      <c r="F56" s="225"/>
      <c r="G56" s="116"/>
      <c r="H56" s="116"/>
      <c r="I56" s="116"/>
      <c r="J56" s="116"/>
      <c r="K56" s="117"/>
    </row>
    <row r="57" spans="1:11" x14ac:dyDescent="0.25">
      <c r="A57" s="115"/>
      <c r="B57" s="116"/>
      <c r="C57" s="116"/>
      <c r="D57" s="223"/>
      <c r="E57" s="224"/>
      <c r="F57" s="225"/>
      <c r="G57" s="116"/>
      <c r="H57" s="116"/>
      <c r="I57" s="116"/>
      <c r="J57" s="116"/>
      <c r="K57" s="117"/>
    </row>
    <row r="58" spans="1:11" x14ac:dyDescent="0.25">
      <c r="A58" s="115"/>
      <c r="B58" s="116"/>
      <c r="C58" s="116"/>
      <c r="D58" s="223"/>
      <c r="E58" s="224"/>
      <c r="F58" s="225"/>
      <c r="G58" s="116"/>
      <c r="H58" s="116"/>
      <c r="I58" s="116"/>
      <c r="J58" s="116"/>
      <c r="K58" s="117"/>
    </row>
    <row r="59" spans="1:11" x14ac:dyDescent="0.25">
      <c r="A59" s="115"/>
      <c r="B59" s="116"/>
      <c r="C59" s="116"/>
      <c r="D59" s="223"/>
      <c r="E59" s="224"/>
      <c r="F59" s="225"/>
      <c r="G59" s="116"/>
      <c r="H59" s="116"/>
      <c r="I59" s="116"/>
      <c r="J59" s="116"/>
      <c r="K59" s="117"/>
    </row>
    <row r="60" spans="1:11" x14ac:dyDescent="0.25">
      <c r="A60" s="115"/>
      <c r="B60" s="116"/>
      <c r="C60" s="116"/>
      <c r="D60" s="223"/>
      <c r="E60" s="224"/>
      <c r="F60" s="225"/>
      <c r="G60" s="116"/>
      <c r="H60" s="116"/>
      <c r="I60" s="116"/>
      <c r="J60" s="116"/>
      <c r="K60" s="117"/>
    </row>
    <row r="61" spans="1:11" x14ac:dyDescent="0.25">
      <c r="A61" s="115"/>
      <c r="B61" s="116"/>
      <c r="C61" s="116"/>
      <c r="D61" s="223"/>
      <c r="E61" s="224"/>
      <c r="F61" s="225"/>
      <c r="G61" s="116"/>
      <c r="H61" s="116"/>
      <c r="I61" s="116"/>
      <c r="J61" s="116"/>
      <c r="K61" s="117"/>
    </row>
    <row r="62" spans="1:11" x14ac:dyDescent="0.25">
      <c r="A62" s="115"/>
      <c r="B62" s="116"/>
      <c r="C62" s="116"/>
      <c r="D62" s="223"/>
      <c r="E62" s="224"/>
      <c r="F62" s="225"/>
      <c r="G62" s="116"/>
      <c r="H62" s="116"/>
      <c r="I62" s="116"/>
      <c r="J62" s="116"/>
      <c r="K62" s="117"/>
    </row>
    <row r="63" spans="1:11" x14ac:dyDescent="0.25">
      <c r="A63" s="115"/>
      <c r="B63" s="116"/>
      <c r="C63" s="116"/>
      <c r="D63" s="223"/>
      <c r="E63" s="224"/>
      <c r="F63" s="225"/>
      <c r="G63" s="116"/>
      <c r="H63" s="116"/>
      <c r="I63" s="116"/>
      <c r="J63" s="116"/>
      <c r="K63" s="117"/>
    </row>
    <row r="64" spans="1:11" x14ac:dyDescent="0.25">
      <c r="A64" s="115"/>
      <c r="B64" s="116"/>
      <c r="C64" s="116"/>
      <c r="D64" s="223"/>
      <c r="E64" s="224"/>
      <c r="F64" s="225"/>
      <c r="G64" s="116"/>
      <c r="H64" s="116"/>
      <c r="I64" s="116"/>
      <c r="J64" s="116"/>
      <c r="K64" s="117"/>
    </row>
    <row r="65" spans="1:11" x14ac:dyDescent="0.25">
      <c r="A65" s="115"/>
      <c r="B65" s="116"/>
      <c r="C65" s="116"/>
      <c r="D65" s="223"/>
      <c r="E65" s="224"/>
      <c r="F65" s="225"/>
      <c r="G65" s="116"/>
      <c r="H65" s="116"/>
      <c r="I65" s="116"/>
      <c r="J65" s="116"/>
      <c r="K65" s="117"/>
    </row>
    <row r="66" spans="1:11" x14ac:dyDescent="0.25">
      <c r="A66" s="115"/>
      <c r="B66" s="116"/>
      <c r="C66" s="116"/>
      <c r="D66" s="223"/>
      <c r="E66" s="224"/>
      <c r="F66" s="225"/>
      <c r="G66" s="116"/>
      <c r="H66" s="116"/>
      <c r="I66" s="116"/>
      <c r="J66" s="116"/>
      <c r="K66" s="117"/>
    </row>
    <row r="67" spans="1:11" x14ac:dyDescent="0.25">
      <c r="A67" s="115"/>
      <c r="B67" s="116"/>
      <c r="C67" s="116"/>
      <c r="D67" s="223"/>
      <c r="E67" s="224"/>
      <c r="F67" s="225"/>
      <c r="G67" s="116"/>
      <c r="H67" s="116"/>
      <c r="I67" s="116"/>
      <c r="J67" s="116"/>
      <c r="K67" s="117"/>
    </row>
    <row r="68" spans="1:11" x14ac:dyDescent="0.25">
      <c r="A68" s="115"/>
      <c r="B68" s="116"/>
      <c r="C68" s="116"/>
      <c r="G68" s="116"/>
      <c r="H68" s="116"/>
      <c r="I68" s="116"/>
      <c r="J68" s="116"/>
      <c r="K68" s="117"/>
    </row>
    <row r="69" spans="1:11" ht="13.8" thickBot="1" x14ac:dyDescent="0.3">
      <c r="A69" s="118"/>
      <c r="B69" s="119"/>
      <c r="C69" s="119"/>
      <c r="G69" s="119"/>
      <c r="H69" s="119"/>
      <c r="I69" s="119"/>
      <c r="J69" s="119"/>
      <c r="K69" s="120"/>
    </row>
  </sheetData>
  <sheetProtection algorithmName="SHA-512" hashValue="1QYijd9DOzCrcbDYAkG1osyZ9oIWa1OosEUmpTzJGbcnAhTpohStom5xkg4KkRGc0gYkJOsHcg7Kw9xTKQr4gQ==" saltValue="eB6zb5WWPE7+LnBxQvIeqQ==" spinCount="100000" sheet="1" selectLockedCells="1"/>
  <mergeCells count="4">
    <mergeCell ref="B4:F4"/>
    <mergeCell ref="C6:F6"/>
    <mergeCell ref="C8:F8"/>
    <mergeCell ref="C10:F10"/>
  </mergeCells>
  <phoneticPr fontId="4" type="noConversion"/>
  <conditionalFormatting sqref="E15">
    <cfRule type="expression" dxfId="41" priority="1">
      <formula>$E$14="Système D : pulsion et extraction mécanique avec récupération de chaleur"</formula>
    </cfRule>
  </conditionalFormatting>
  <conditionalFormatting sqref="D15">
    <cfRule type="expression" dxfId="40" priority="2">
      <formula>$D$14="Système D : pulsion et extraction mécanique avec récupération de chaleur"</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7E5BB9B-57F9-4359-B35A-20A37A40A8B1}">
          <x14:formula1>
            <xm:f>DonnéesAutres!$A$104:$A$106</xm:f>
          </x14:formula1>
          <xm:sqref>D14</xm:sqref>
        </x14:dataValidation>
        <x14:dataValidation type="list" allowBlank="1" showInputMessage="1" showErrorMessage="1" xr:uid="{7F9A1BBA-96F0-4AE7-AC24-732526152589}">
          <x14:formula1>
            <xm:f>DonnéesAutres!$A$108:$A$110</xm:f>
          </x14:formula1>
          <xm:sqref>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4AB96-5080-4CE6-9C64-155DC2BDA7AA}">
  <sheetPr codeName="Feuil8">
    <tabColor theme="5"/>
  </sheetPr>
  <dimension ref="A1:K89"/>
  <sheetViews>
    <sheetView workbookViewId="0">
      <selection activeCell="C82" sqref="C82"/>
    </sheetView>
  </sheetViews>
  <sheetFormatPr baseColWidth="10" defaultColWidth="0" defaultRowHeight="13.2" zeroHeight="1" x14ac:dyDescent="0.25"/>
  <cols>
    <col min="1" max="1" width="8.6640625" customWidth="1"/>
    <col min="2" max="2" width="56.88671875" customWidth="1"/>
    <col min="3" max="4" width="18.6640625" customWidth="1"/>
    <col min="5" max="5" width="11.44140625" customWidth="1"/>
    <col min="6" max="6" width="29.5546875" customWidth="1"/>
    <col min="7" max="7" width="11.5546875" style="77" customWidth="1"/>
    <col min="8" max="10" width="11.44140625" customWidth="1"/>
    <col min="11" max="11" width="22.5546875" customWidth="1"/>
    <col min="12" max="16384" width="11.44140625" hidden="1"/>
  </cols>
  <sheetData>
    <row r="1" spans="1:11" ht="13.8" thickBot="1" x14ac:dyDescent="0.3">
      <c r="A1" s="116"/>
      <c r="B1" s="116"/>
      <c r="C1" s="116"/>
      <c r="D1" s="116"/>
      <c r="E1" s="116"/>
      <c r="F1" s="116"/>
      <c r="G1" s="177"/>
      <c r="H1" s="116"/>
      <c r="I1" s="116"/>
      <c r="J1" s="116"/>
      <c r="K1" s="116"/>
    </row>
    <row r="2" spans="1:11" ht="39" customHeight="1" x14ac:dyDescent="0.25">
      <c r="A2" s="116"/>
      <c r="B2" s="289" t="s">
        <v>59</v>
      </c>
      <c r="C2" s="295"/>
      <c r="D2" s="295"/>
      <c r="E2" s="296"/>
      <c r="F2" s="116"/>
      <c r="G2" s="177"/>
      <c r="H2" s="116"/>
      <c r="I2" s="116"/>
      <c r="J2" s="116"/>
      <c r="K2" s="116"/>
    </row>
    <row r="3" spans="1:11" ht="13.8" thickBot="1" x14ac:dyDescent="0.3">
      <c r="A3" s="116"/>
      <c r="B3" s="297"/>
      <c r="C3" s="298"/>
      <c r="D3" s="298"/>
      <c r="E3" s="299"/>
      <c r="F3" s="116"/>
      <c r="G3" s="177"/>
      <c r="H3" s="116"/>
      <c r="I3" s="116"/>
      <c r="J3" s="116"/>
      <c r="K3" s="116"/>
    </row>
    <row r="4" spans="1:11" ht="13.8" thickBot="1" x14ac:dyDescent="0.3">
      <c r="A4" s="116"/>
      <c r="B4" s="116"/>
      <c r="C4" s="116"/>
      <c r="D4" s="116"/>
      <c r="E4" s="116"/>
      <c r="F4" s="116"/>
      <c r="G4" s="177"/>
      <c r="H4" s="116"/>
      <c r="I4" s="116"/>
      <c r="J4" s="116"/>
      <c r="K4" s="116"/>
    </row>
    <row r="5" spans="1:11" ht="13.8" thickBot="1" x14ac:dyDescent="0.3">
      <c r="A5" s="116"/>
      <c r="B5" s="116"/>
      <c r="C5" s="48" t="s">
        <v>18</v>
      </c>
      <c r="D5" s="49" t="s">
        <v>60</v>
      </c>
      <c r="E5" s="116"/>
      <c r="F5" s="116"/>
      <c r="G5" s="177"/>
      <c r="H5" s="116"/>
      <c r="I5" s="116"/>
      <c r="J5" s="116"/>
      <c r="K5" s="116"/>
    </row>
    <row r="6" spans="1:11" ht="15.6" x14ac:dyDescent="0.3">
      <c r="A6" s="116"/>
      <c r="B6" s="116"/>
      <c r="C6" s="186"/>
      <c r="D6" s="186"/>
      <c r="E6" s="116"/>
      <c r="F6" s="116"/>
      <c r="G6" s="177"/>
      <c r="H6" s="116"/>
      <c r="I6" s="116"/>
      <c r="J6" s="116"/>
      <c r="K6" s="116"/>
    </row>
    <row r="7" spans="1:11" x14ac:dyDescent="0.25">
      <c r="A7" s="116"/>
      <c r="B7" s="102" t="s">
        <v>61</v>
      </c>
      <c r="C7" s="199"/>
      <c r="D7" s="199"/>
      <c r="E7" s="87" t="s">
        <v>62</v>
      </c>
      <c r="F7" s="116"/>
      <c r="G7" s="177"/>
      <c r="H7" s="116"/>
      <c r="I7" s="116"/>
      <c r="J7" s="116"/>
      <c r="K7" s="116"/>
    </row>
    <row r="8" spans="1:11" x14ac:dyDescent="0.25">
      <c r="A8" s="116"/>
      <c r="B8" s="86" t="s">
        <v>63</v>
      </c>
      <c r="C8" s="43">
        <f>'Encodage données'!D16</f>
        <v>0</v>
      </c>
      <c r="D8" s="50">
        <f>C8</f>
        <v>0</v>
      </c>
      <c r="E8" s="87" t="s">
        <v>16</v>
      </c>
      <c r="F8" s="116"/>
      <c r="G8" s="177"/>
      <c r="H8" s="116"/>
      <c r="I8" s="116"/>
      <c r="J8" s="116"/>
      <c r="K8" s="116"/>
    </row>
    <row r="9" spans="1:11" x14ac:dyDescent="0.25">
      <c r="A9" s="116"/>
      <c r="B9" s="86" t="s">
        <v>13</v>
      </c>
      <c r="C9" s="43">
        <f>'Encodage données'!D14</f>
        <v>0</v>
      </c>
      <c r="D9" s="43">
        <f>'Encodage données'!D14</f>
        <v>0</v>
      </c>
      <c r="E9" s="87" t="s">
        <v>14</v>
      </c>
      <c r="F9" s="116"/>
      <c r="G9" s="177"/>
      <c r="H9" s="116"/>
      <c r="I9" s="116"/>
      <c r="J9" s="116"/>
      <c r="K9" s="116"/>
    </row>
    <row r="10" spans="1:11" x14ac:dyDescent="0.25">
      <c r="A10" s="116"/>
      <c r="B10" s="86" t="s">
        <v>64</v>
      </c>
      <c r="C10" s="44" t="e">
        <f>SUM(Tableau1[aj . Uj .Aj  actuel       '[W/K']])/SUM(Tableau1[Surface (m²)])</f>
        <v>#DIV/0!</v>
      </c>
      <c r="D10" s="51" t="e">
        <f>SUM(Tableau1[aj . Uj .Aj réno       '[W/K']])/SUM(Tableau1[Surface (m²)])</f>
        <v>#DIV/0!</v>
      </c>
      <c r="E10" s="87" t="s">
        <v>65</v>
      </c>
      <c r="F10" s="116"/>
      <c r="G10" s="177"/>
      <c r="H10" s="116"/>
      <c r="I10" s="116"/>
      <c r="J10" s="116"/>
      <c r="K10" s="116"/>
    </row>
    <row r="11" spans="1:11" x14ac:dyDescent="0.25">
      <c r="A11" s="116"/>
      <c r="B11" s="86" t="s">
        <v>66</v>
      </c>
      <c r="C11" s="44" t="e">
        <f>C8/SUM(Tableau1[Surface (m²)])</f>
        <v>#DIV/0!</v>
      </c>
      <c r="D11" s="51" t="e">
        <f>C11</f>
        <v>#DIV/0!</v>
      </c>
      <c r="E11" s="47" t="s">
        <v>67</v>
      </c>
      <c r="F11" s="116"/>
      <c r="G11" s="177"/>
      <c r="H11" s="116"/>
      <c r="I11" s="116"/>
      <c r="J11" s="116"/>
      <c r="K11" s="116"/>
    </row>
    <row r="12" spans="1:11" x14ac:dyDescent="0.25">
      <c r="A12" s="116"/>
      <c r="B12" s="86" t="s">
        <v>68</v>
      </c>
      <c r="C12" s="43" t="e">
        <f>+IF(C11&lt;1.0001,C10*100,IF(AND(C11&gt;1,C11&lt;4),C10*(300/(C11+2)),IF(C11&gt;3.9999,C10*50,"ERREUR")))</f>
        <v>#DIV/0!</v>
      </c>
      <c r="D12" s="50" t="e">
        <f>+IF(D11&lt;1.0001,D10*100,IF(AND(D11&gt;1,D11&lt;4),D10*(300/(D11+2)),IF(D11&gt;3.9999,D10*50,"ERREUR")))</f>
        <v>#DIV/0!</v>
      </c>
      <c r="E12" s="47" t="s">
        <v>69</v>
      </c>
      <c r="F12" s="116"/>
      <c r="G12" s="177"/>
      <c r="H12" s="116"/>
      <c r="I12" s="116"/>
      <c r="J12" s="116"/>
      <c r="K12" s="116"/>
    </row>
    <row r="13" spans="1:11" x14ac:dyDescent="0.25">
      <c r="A13" s="116"/>
      <c r="B13" s="86" t="s">
        <v>70</v>
      </c>
      <c r="C13" s="43" t="str">
        <f>_xlfn.XLOOKUP('Encodage données'!D7,'Liste des communes'!A2:A2791,'Liste des communes'!B2:B2791,"ERREUR")</f>
        <v>ERREUR</v>
      </c>
      <c r="D13" s="50" t="str">
        <f>_xlfn.XLOOKUP('Encodage données'!D7,'Liste des communes'!A2:A2791,'Liste des communes'!B2:B2791,"ERREUR")</f>
        <v>ERREUR</v>
      </c>
      <c r="E13" s="47" t="s">
        <v>69</v>
      </c>
      <c r="F13" s="116"/>
      <c r="G13" s="177"/>
      <c r="H13" s="116"/>
      <c r="I13" s="116"/>
      <c r="J13" s="116"/>
      <c r="K13" s="116"/>
    </row>
    <row r="14" spans="1:11" x14ac:dyDescent="0.25">
      <c r="A14" s="116"/>
      <c r="B14" s="86" t="s">
        <v>71</v>
      </c>
      <c r="C14" s="44" t="e">
        <f>15-C13/C15</f>
        <v>#VALUE!</v>
      </c>
      <c r="D14" s="51" t="e">
        <f>15-D13/D15</f>
        <v>#VALUE!</v>
      </c>
      <c r="E14" s="87" t="s">
        <v>11</v>
      </c>
      <c r="F14" s="116"/>
      <c r="G14" s="177"/>
      <c r="H14" s="116"/>
      <c r="I14" s="116"/>
      <c r="J14" s="116"/>
      <c r="K14" s="116"/>
    </row>
    <row r="15" spans="1:11" x14ac:dyDescent="0.25">
      <c r="A15" s="116"/>
      <c r="B15" s="86" t="s">
        <v>72</v>
      </c>
      <c r="C15" s="45">
        <v>242</v>
      </c>
      <c r="D15" s="52">
        <v>242</v>
      </c>
      <c r="E15" s="87" t="s">
        <v>73</v>
      </c>
      <c r="F15" s="116"/>
      <c r="G15" s="177"/>
      <c r="H15" s="116"/>
      <c r="I15" s="116"/>
      <c r="J15" s="116"/>
      <c r="K15" s="116"/>
    </row>
    <row r="16" spans="1:11" x14ac:dyDescent="0.25">
      <c r="A16" s="116"/>
      <c r="B16" s="86" t="s">
        <v>74</v>
      </c>
      <c r="C16" s="45">
        <f>'Encodage données'!D12</f>
        <v>0</v>
      </c>
      <c r="D16" s="52">
        <f>C16</f>
        <v>0</v>
      </c>
      <c r="E16" s="87" t="s">
        <v>11</v>
      </c>
      <c r="F16" s="116"/>
      <c r="G16" s="177"/>
      <c r="H16" s="116"/>
      <c r="I16" s="116"/>
      <c r="J16" s="116"/>
      <c r="K16" s="116"/>
    </row>
    <row r="17" spans="1:11" x14ac:dyDescent="0.25">
      <c r="A17" s="116"/>
      <c r="B17" s="86" t="s">
        <v>75</v>
      </c>
      <c r="C17" s="45">
        <f>IF('Encodage données'!D13="Oui",'Bilan énergétique'!C16-_xlfn.XLOOKUP('Encodage données'!D8,DonnéesAutres!A2:A8,DonnéesAutres!C2:C8),C16)</f>
        <v>0</v>
      </c>
      <c r="D17" s="52">
        <f>C17</f>
        <v>0</v>
      </c>
      <c r="E17" s="87" t="s">
        <v>11</v>
      </c>
      <c r="F17" s="116"/>
      <c r="G17" s="177"/>
      <c r="H17" s="116"/>
      <c r="I17" s="116"/>
      <c r="J17" s="116"/>
      <c r="K17" s="116"/>
    </row>
    <row r="18" spans="1:11" x14ac:dyDescent="0.25">
      <c r="A18" s="116"/>
      <c r="B18" s="86" t="s">
        <v>76</v>
      </c>
      <c r="C18" s="43">
        <f>('Encodage données'!D10*'Bilan énergétique'!C26)/168</f>
        <v>0</v>
      </c>
      <c r="D18" s="50">
        <f>('Encodage données'!D10*'Bilan énergétique'!D26)/168</f>
        <v>0</v>
      </c>
      <c r="E18" s="87" t="s">
        <v>77</v>
      </c>
      <c r="F18" s="116"/>
      <c r="G18" s="177"/>
      <c r="H18" s="116"/>
      <c r="I18" s="116"/>
      <c r="J18" s="116"/>
      <c r="K18" s="116"/>
    </row>
    <row r="19" spans="1:11" x14ac:dyDescent="0.25">
      <c r="A19" s="116"/>
      <c r="B19" s="197"/>
      <c r="C19" s="206"/>
      <c r="D19" s="206"/>
      <c r="E19" s="116"/>
      <c r="F19" s="116"/>
      <c r="G19" s="177"/>
      <c r="H19" s="116"/>
      <c r="I19" s="116"/>
      <c r="J19" s="116"/>
      <c r="K19" s="116"/>
    </row>
    <row r="20" spans="1:11" x14ac:dyDescent="0.25">
      <c r="A20" s="116"/>
      <c r="B20" s="102" t="s">
        <v>78</v>
      </c>
      <c r="C20" s="185"/>
      <c r="D20" s="199"/>
      <c r="E20" s="116"/>
      <c r="F20" s="116"/>
      <c r="G20" s="177"/>
      <c r="H20" s="116"/>
      <c r="I20" s="116"/>
      <c r="J20" s="116"/>
      <c r="K20" s="116"/>
    </row>
    <row r="21" spans="1:11" x14ac:dyDescent="0.25">
      <c r="A21" s="116"/>
      <c r="B21" s="86" t="s">
        <v>79</v>
      </c>
      <c r="C21" s="44">
        <v>8</v>
      </c>
      <c r="D21" s="44">
        <f>IF(G22=0,C21,8-(8-3)*G23/100)</f>
        <v>8</v>
      </c>
      <c r="E21" s="87" t="s">
        <v>80</v>
      </c>
      <c r="F21" s="177" t="s">
        <v>81</v>
      </c>
      <c r="G21" s="177">
        <f>SUMIFS('Encodage données'!E65:E182,'Encodage données'!C65:C182,"Fenêtre, porte ou paroi translucide",'Encodage données'!H65:H182,"&lt;&gt;Pas de modification")</f>
        <v>0</v>
      </c>
      <c r="H21" s="116"/>
      <c r="I21" s="116"/>
      <c r="J21" s="116"/>
      <c r="K21" s="116"/>
    </row>
    <row r="22" spans="1:11" x14ac:dyDescent="0.25">
      <c r="A22" s="116"/>
      <c r="B22" s="86" t="s">
        <v>82</v>
      </c>
      <c r="C22" s="45">
        <f>0.75*C8</f>
        <v>0</v>
      </c>
      <c r="D22" s="45">
        <f>0.75*D8</f>
        <v>0</v>
      </c>
      <c r="E22" s="47" t="s">
        <v>16</v>
      </c>
      <c r="F22" s="177" t="s">
        <v>83</v>
      </c>
      <c r="G22" s="177">
        <f>SUMIFS('Encodage données'!E65:E182,'Encodage données'!C65:C182,"Fenêtre, porte ou paroi translucide")</f>
        <v>0</v>
      </c>
      <c r="H22" s="116"/>
      <c r="I22" s="116"/>
      <c r="J22" s="116"/>
      <c r="K22" s="116"/>
    </row>
    <row r="23" spans="1:11" x14ac:dyDescent="0.25">
      <c r="A23" s="116"/>
      <c r="B23" s="86" t="s">
        <v>84</v>
      </c>
      <c r="C23" s="44" t="e">
        <f>(C21/C11)*(C8/C22)</f>
        <v>#DIV/0!</v>
      </c>
      <c r="D23" s="44" t="e">
        <f>(D21/D11)*(D8/D22)</f>
        <v>#DIV/0!</v>
      </c>
      <c r="E23" s="47" t="s">
        <v>85</v>
      </c>
      <c r="F23" s="177" t="s">
        <v>86</v>
      </c>
      <c r="G23" s="178" t="e">
        <f>(G21/G22)*100</f>
        <v>#DIV/0!</v>
      </c>
      <c r="H23" s="116"/>
      <c r="I23" s="116"/>
      <c r="J23" s="116"/>
      <c r="K23" s="116"/>
    </row>
    <row r="24" spans="1:11" x14ac:dyDescent="0.25">
      <c r="A24" s="116"/>
      <c r="B24" s="86" t="s">
        <v>87</v>
      </c>
      <c r="C24" s="46" t="e">
        <f>C23*0.04</f>
        <v>#DIV/0!</v>
      </c>
      <c r="D24" s="46" t="e">
        <f>D23*0.04</f>
        <v>#DIV/0!</v>
      </c>
      <c r="E24" s="47" t="s">
        <v>85</v>
      </c>
      <c r="F24" s="116"/>
      <c r="G24" s="177"/>
      <c r="H24" s="116"/>
      <c r="I24" s="116"/>
      <c r="J24" s="116"/>
      <c r="K24" s="116"/>
    </row>
    <row r="25" spans="1:11" x14ac:dyDescent="0.25">
      <c r="A25" s="116"/>
      <c r="B25" s="86" t="s">
        <v>88</v>
      </c>
      <c r="C25" s="46">
        <f>'Encodage données'!D9*30</f>
        <v>0</v>
      </c>
      <c r="D25" s="46">
        <f>C25</f>
        <v>0</v>
      </c>
      <c r="E25" s="47" t="s">
        <v>89</v>
      </c>
      <c r="F25" s="116"/>
      <c r="G25" s="177"/>
      <c r="H25" s="116"/>
      <c r="I25" s="116"/>
      <c r="J25" s="116"/>
      <c r="K25" s="116"/>
    </row>
    <row r="26" spans="1:11" x14ac:dyDescent="0.25">
      <c r="A26" s="116"/>
      <c r="B26" s="86" t="s">
        <v>90</v>
      </c>
      <c r="C26" s="43">
        <f>IF('Encodage données'!$D$11="Autre (… h/semaine)",'Encodage données'!E11,_xlfn.XLOOKUP('Encodage données'!$D$11,DonnéesAutres!A18:A21,DonnéesAutres!B18:B21,0))</f>
        <v>0</v>
      </c>
      <c r="D26" s="43">
        <f>C26</f>
        <v>0</v>
      </c>
      <c r="E26" s="47" t="s">
        <v>91</v>
      </c>
      <c r="F26" s="116"/>
      <c r="G26" s="177"/>
      <c r="H26" s="116"/>
      <c r="I26" s="116"/>
      <c r="J26" s="116"/>
      <c r="K26" s="116"/>
    </row>
    <row r="27" spans="1:11" x14ac:dyDescent="0.25">
      <c r="A27" s="116"/>
      <c r="B27" s="86" t="s">
        <v>92</v>
      </c>
      <c r="C27" s="43">
        <f>C18*30</f>
        <v>0</v>
      </c>
      <c r="D27" s="43">
        <f>D18*30</f>
        <v>0</v>
      </c>
      <c r="E27" s="87" t="s">
        <v>89</v>
      </c>
      <c r="F27" s="116"/>
      <c r="G27" s="177"/>
      <c r="H27" s="116"/>
      <c r="I27" s="116"/>
      <c r="J27" s="116"/>
      <c r="K27" s="116"/>
    </row>
    <row r="28" spans="1:11" x14ac:dyDescent="0.25">
      <c r="A28" s="116"/>
      <c r="B28" s="86" t="s">
        <v>93</v>
      </c>
      <c r="C28" s="73">
        <f>IF('Encodage ventilation'!D14=DonnéesAutres!A106,'Encodage ventilation'!D15,0)</f>
        <v>0</v>
      </c>
      <c r="D28" s="73">
        <f>IF('Encodage ventilation'!E14=DonnéesAutres!A106,'Encodage ventilation'!E15,0)</f>
        <v>0</v>
      </c>
      <c r="E28" s="87"/>
      <c r="F28" s="116"/>
      <c r="G28" s="177"/>
      <c r="H28" s="116"/>
      <c r="I28" s="116"/>
      <c r="J28" s="116"/>
      <c r="K28" s="116"/>
    </row>
    <row r="29" spans="1:11" x14ac:dyDescent="0.25">
      <c r="A29" s="116"/>
      <c r="B29" s="86" t="s">
        <v>94</v>
      </c>
      <c r="C29" s="46" t="e">
        <f>(1-C28)*'Bilan énergétique'!C27/'Bilan énergétique'!C22+'Bilan énergétique'!C24</f>
        <v>#DIV/0!</v>
      </c>
      <c r="D29" s="46" t="e">
        <f>(1-D28)*'Bilan énergétique'!D27/'Bilan énergétique'!D22+'Bilan énergétique'!D24</f>
        <v>#DIV/0!</v>
      </c>
      <c r="E29" s="47" t="s">
        <v>85</v>
      </c>
      <c r="F29" s="116"/>
      <c r="G29" s="177"/>
      <c r="H29" s="116"/>
      <c r="I29" s="116"/>
      <c r="J29" s="116"/>
      <c r="K29" s="116"/>
    </row>
    <row r="30" spans="1:11" x14ac:dyDescent="0.25">
      <c r="A30" s="116"/>
      <c r="B30" s="86" t="s">
        <v>95</v>
      </c>
      <c r="C30" s="43" t="e">
        <f>0.34*(C17-C14)*C22*C29*C15*24/1000</f>
        <v>#VALUE!</v>
      </c>
      <c r="D30" s="43" t="e">
        <f>0.34*(D17-D14)*D22*D29*D15*24/1000</f>
        <v>#VALUE!</v>
      </c>
      <c r="E30" s="87" t="s">
        <v>96</v>
      </c>
      <c r="F30" s="116"/>
      <c r="G30" s="177"/>
      <c r="H30" s="116"/>
      <c r="I30" s="116"/>
      <c r="J30" s="116"/>
      <c r="K30" s="116"/>
    </row>
    <row r="31" spans="1:11" x14ac:dyDescent="0.25">
      <c r="A31" s="116"/>
      <c r="B31" s="197"/>
      <c r="C31" s="140"/>
      <c r="D31" s="199"/>
      <c r="E31" s="116"/>
      <c r="F31" s="116"/>
      <c r="G31" s="177"/>
      <c r="H31" s="116"/>
      <c r="I31" s="116"/>
      <c r="J31" s="116"/>
      <c r="K31" s="116"/>
    </row>
    <row r="32" spans="1:11" x14ac:dyDescent="0.25">
      <c r="A32" s="116"/>
      <c r="B32" s="102" t="s">
        <v>97</v>
      </c>
      <c r="C32" s="140"/>
      <c r="D32" s="199"/>
      <c r="E32" s="116"/>
      <c r="F32" s="116"/>
      <c r="G32" s="177"/>
      <c r="H32" s="116"/>
      <c r="I32" s="116"/>
      <c r="J32" s="116"/>
      <c r="K32" s="116"/>
    </row>
    <row r="33" spans="1:11" x14ac:dyDescent="0.25">
      <c r="A33" s="116"/>
      <c r="B33" s="86" t="s">
        <v>98</v>
      </c>
      <c r="C33" s="45">
        <f>_xlfn.XLOOKUP('Encodage données'!D8,DonnéesAutres!A2:A8,DonnéesAutres!E2:E8,0)*'Encodage données'!D14*C15*24/1000</f>
        <v>0</v>
      </c>
      <c r="D33" s="52">
        <f>C33</f>
        <v>0</v>
      </c>
      <c r="E33" s="87" t="s">
        <v>96</v>
      </c>
      <c r="F33" s="116"/>
      <c r="G33" s="177"/>
      <c r="H33" s="116"/>
      <c r="I33" s="116"/>
      <c r="J33" s="116"/>
      <c r="K33" s="116"/>
    </row>
    <row r="34" spans="1:11" x14ac:dyDescent="0.25">
      <c r="A34" s="116"/>
      <c r="B34" s="86" t="s">
        <v>99</v>
      </c>
      <c r="C34" s="43">
        <f>_xlfn.XLOOKUP('Encodage données'!D8,DonnéesAutres!A2:A8,DonnéesAutres!D2:D8,0)*'Bilan énergétique'!C18*'Bilan énergétique'!C15*24/1000</f>
        <v>0</v>
      </c>
      <c r="D34" s="50">
        <f>C34</f>
        <v>0</v>
      </c>
      <c r="E34" s="87" t="s">
        <v>96</v>
      </c>
      <c r="F34" s="116"/>
      <c r="G34" s="177"/>
      <c r="H34" s="116"/>
      <c r="I34" s="116"/>
      <c r="J34" s="116"/>
      <c r="K34" s="116"/>
    </row>
    <row r="35" spans="1:11" x14ac:dyDescent="0.25">
      <c r="A35" s="116"/>
      <c r="B35" s="86" t="s">
        <v>100</v>
      </c>
      <c r="C35" s="43">
        <f>C34+C33</f>
        <v>0</v>
      </c>
      <c r="D35" s="50">
        <f>C35</f>
        <v>0</v>
      </c>
      <c r="E35" s="87" t="s">
        <v>96</v>
      </c>
      <c r="F35" s="116"/>
      <c r="G35" s="177"/>
      <c r="H35" s="116"/>
      <c r="I35" s="116"/>
      <c r="J35" s="116"/>
      <c r="K35" s="116"/>
    </row>
    <row r="36" spans="1:11" x14ac:dyDescent="0.25">
      <c r="A36" s="116"/>
      <c r="B36" s="86" t="s">
        <v>101</v>
      </c>
      <c r="C36" s="43">
        <f>SUM(Calculs!O3:O120)</f>
        <v>0</v>
      </c>
      <c r="D36" s="50">
        <f>SUM(Calculs!P3:P120)</f>
        <v>0</v>
      </c>
      <c r="E36" s="207" t="s">
        <v>96</v>
      </c>
      <c r="F36" s="116"/>
      <c r="G36" s="177"/>
      <c r="H36" s="116"/>
      <c r="I36" s="116"/>
      <c r="J36" s="116"/>
      <c r="K36" s="116"/>
    </row>
    <row r="37" spans="1:11" x14ac:dyDescent="0.25">
      <c r="A37" s="116"/>
      <c r="B37" s="116"/>
      <c r="C37" s="140"/>
      <c r="D37" s="140"/>
      <c r="E37" s="183"/>
      <c r="F37" s="116"/>
      <c r="G37" s="177"/>
      <c r="H37" s="116"/>
      <c r="I37" s="116"/>
      <c r="J37" s="116"/>
      <c r="K37" s="116"/>
    </row>
    <row r="38" spans="1:11" x14ac:dyDescent="0.25">
      <c r="A38" s="116"/>
      <c r="B38" s="102" t="s">
        <v>102</v>
      </c>
      <c r="C38" s="140"/>
      <c r="D38" s="140"/>
      <c r="E38" s="184"/>
      <c r="F38" s="116"/>
      <c r="G38" s="177"/>
      <c r="H38" s="116"/>
      <c r="I38" s="116"/>
      <c r="J38" s="116"/>
      <c r="K38" s="116"/>
    </row>
    <row r="39" spans="1:11" x14ac:dyDescent="0.25">
      <c r="A39" s="116"/>
      <c r="B39" s="86" t="s">
        <v>103</v>
      </c>
      <c r="C39" s="63" t="e" cm="1">
        <f t="array" ref="C39">SUMPRODUCT((('Encodage données'!$C$65:$C$182=DonnéesAutres!$A$90)+('Encodage données'!$C$65:$C$182=DonnéesAutres!$A$91)+('Encodage données'!$C$65:$C$182=DonnéesAutres!$A$92))*Calculs!K3:K120*C15*24/1000*(C17-C14))</f>
        <v>#VALUE!</v>
      </c>
      <c r="D39" s="50" t="e" cm="1">
        <f t="array" ref="D39">SUMPRODUCT((('Encodage données'!$C$65:$C$182=DonnéesAutres!$A$90)+('Encodage données'!$C$65:$C$182=DonnéesAutres!$A$91)+('Encodage données'!$C$65:$C$182=DonnéesAutres!$A$92))*(Calculs!L3:L120))*D15*24/1000*(C17-C14)</f>
        <v>#VALUE!</v>
      </c>
      <c r="E39" s="208" t="s">
        <v>96</v>
      </c>
      <c r="F39" s="116"/>
      <c r="G39" s="177"/>
      <c r="H39" s="116"/>
      <c r="I39" s="116"/>
      <c r="J39" s="116"/>
      <c r="K39" s="116"/>
    </row>
    <row r="40" spans="1:11" x14ac:dyDescent="0.25">
      <c r="A40" s="116"/>
      <c r="B40" s="86" t="s">
        <v>104</v>
      </c>
      <c r="C40" s="63" t="e" cm="1">
        <f t="array" ref="C40">SUMPRODUCT((('Encodage données'!$C$65:$C$182=DonnéesAutres!$A$93)+('Encodage données'!$C$65:$C$182=DonnéesAutres!$A$94)+('Encodage données'!$C$65:$C$182=DonnéesAutres!$A$95))*(Calculs!K3:K120)*$C$15*24/1000*(C17-C14))</f>
        <v>#VALUE!</v>
      </c>
      <c r="D40" s="50" t="e" cm="1">
        <f t="array" ref="D40">SUMPRODUCT((('Encodage données'!$C$65:$C$182=DonnéesAutres!$A$93)+('Encodage données'!$C$65:$C$182=DonnéesAutres!$A$94)+('Encodage données'!$C$65:$C$182=DonnéesAutres!$A$95))*(Calculs!L3:L120))*$C$15*24/1000*(C17-C14)</f>
        <v>#VALUE!</v>
      </c>
      <c r="E40" s="87" t="s">
        <v>96</v>
      </c>
      <c r="F40" s="116"/>
      <c r="G40" s="177"/>
      <c r="H40" s="116"/>
      <c r="I40" s="116"/>
      <c r="J40" s="116"/>
      <c r="K40" s="116"/>
    </row>
    <row r="41" spans="1:11" x14ac:dyDescent="0.25">
      <c r="A41" s="116"/>
      <c r="B41" s="86" t="s">
        <v>105</v>
      </c>
      <c r="C41" s="63" t="e" cm="1">
        <f t="array" ref="C41">SUMPRODUCT((('Encodage données'!$C$65:$C$182=DonnéesAutres!$A$96)+('Encodage données'!$C$65:$C$182=DonnéesAutres!$A$97)+('Encodage données'!$C$65:$C$182=DonnéesAutres!$A$98)+('Encodage données'!$C$65:$C$182=DonnéesAutres!$A$99))*(Calculs!K3:K120))*$C$15*24/1000*(C17-C14)</f>
        <v>#VALUE!</v>
      </c>
      <c r="D41" s="50" t="e" cm="1">
        <f t="array" ref="D41">SUMPRODUCT((('Encodage données'!$C$65:$C$182=DonnéesAutres!$A$96)+('Encodage données'!$C$65:$C$182=DonnéesAutres!$A$97)+('Encodage données'!$C$65:$C$182=DonnéesAutres!$A$98)+('Encodage données'!$C$65:$C$182=DonnéesAutres!$A$99))*(Calculs!L3:L120))*$C$15*24/1000*(C17-C14)</f>
        <v>#VALUE!</v>
      </c>
      <c r="E41" s="87" t="s">
        <v>96</v>
      </c>
      <c r="F41" s="116"/>
      <c r="G41" s="177"/>
      <c r="H41" s="116"/>
      <c r="I41" s="116"/>
      <c r="J41" s="116"/>
      <c r="K41" s="116"/>
    </row>
    <row r="42" spans="1:11" x14ac:dyDescent="0.25">
      <c r="A42" s="116"/>
      <c r="B42" s="92" t="s">
        <v>106</v>
      </c>
      <c r="C42" s="64" t="e" cm="1">
        <f t="array" ref="C42">SUMPRODUCT(('Encodage données'!$C$65:$C$182=DonnéesAutres!$A$100)*(Calculs!K3:K120))*$C$15*24/1000*(C17-C14)</f>
        <v>#VALUE!</v>
      </c>
      <c r="D42" s="65" t="e" cm="1">
        <f t="array" ref="D42">SUMPRODUCT(('Encodage données'!$C$65:$C$182=DonnéesAutres!$A$100)*(Calculs!L3:L120))*$C$15*24/1000*(C17-C14)</f>
        <v>#VALUE!</v>
      </c>
      <c r="E42" s="207" t="s">
        <v>96</v>
      </c>
      <c r="F42" s="116"/>
      <c r="G42" s="177"/>
      <c r="H42" s="116"/>
      <c r="I42" s="116"/>
      <c r="J42" s="116"/>
      <c r="K42" s="116"/>
    </row>
    <row r="43" spans="1:11" x14ac:dyDescent="0.25">
      <c r="A43" s="116"/>
      <c r="B43" s="92" t="s">
        <v>107</v>
      </c>
      <c r="C43" s="64" t="e">
        <f>C30</f>
        <v>#VALUE!</v>
      </c>
      <c r="D43" s="64" t="e">
        <f>D30</f>
        <v>#VALUE!</v>
      </c>
      <c r="E43" s="207" t="s">
        <v>96</v>
      </c>
      <c r="F43" s="116"/>
      <c r="G43" s="177"/>
      <c r="H43" s="116"/>
      <c r="I43" s="116"/>
      <c r="J43" s="116"/>
      <c r="K43" s="116"/>
    </row>
    <row r="44" spans="1:11" x14ac:dyDescent="0.25">
      <c r="A44" s="116"/>
      <c r="B44" s="86" t="s">
        <v>108</v>
      </c>
      <c r="C44" s="43" t="e">
        <f>SUM(C39:C43)</f>
        <v>#VALUE!</v>
      </c>
      <c r="D44" s="43" t="e">
        <f>SUM(D39:D43)</f>
        <v>#VALUE!</v>
      </c>
      <c r="E44" s="87" t="s">
        <v>96</v>
      </c>
      <c r="F44" s="116"/>
      <c r="G44" s="177"/>
      <c r="H44" s="116"/>
      <c r="I44" s="116"/>
      <c r="J44" s="116"/>
      <c r="K44" s="116"/>
    </row>
    <row r="45" spans="1:11" x14ac:dyDescent="0.25">
      <c r="A45" s="116"/>
      <c r="B45" s="116"/>
      <c r="C45" s="116"/>
      <c r="D45" s="116"/>
      <c r="E45" s="116"/>
      <c r="F45" s="116"/>
      <c r="G45" s="177"/>
      <c r="H45" s="116"/>
      <c r="I45" s="116"/>
      <c r="J45" s="116"/>
      <c r="K45" s="116"/>
    </row>
    <row r="46" spans="1:11" x14ac:dyDescent="0.25">
      <c r="A46" s="116"/>
      <c r="B46" s="102" t="s">
        <v>109</v>
      </c>
      <c r="C46" s="116"/>
      <c r="D46" s="116"/>
      <c r="E46" s="116"/>
      <c r="F46" s="116"/>
      <c r="G46" s="177"/>
      <c r="H46" s="116"/>
      <c r="I46" s="116"/>
      <c r="J46" s="116"/>
      <c r="K46" s="116"/>
    </row>
    <row r="47" spans="1:11" x14ac:dyDescent="0.25">
      <c r="A47" s="116"/>
      <c r="B47" s="86" t="s">
        <v>110</v>
      </c>
      <c r="C47" s="73">
        <f>IF('Encodage données'!D32="Oui",'Encodage données'!D33,0)</f>
        <v>0</v>
      </c>
      <c r="D47" s="103">
        <f>IF('Encodage données'!D25="Non",C47,IF('Encodage données'!E32="Oui",'Encodage données'!E33,0))</f>
        <v>0</v>
      </c>
      <c r="E47" s="209"/>
      <c r="F47" s="177" t="s">
        <v>111</v>
      </c>
      <c r="G47" s="177"/>
      <c r="H47" s="116"/>
      <c r="I47" s="116"/>
      <c r="J47" s="116"/>
      <c r="K47" s="116"/>
    </row>
    <row r="48" spans="1:11" x14ac:dyDescent="0.25">
      <c r="A48" s="116"/>
      <c r="B48" s="86" t="s">
        <v>112</v>
      </c>
      <c r="C48" s="73" cm="1">
        <f t="array" ref="C48">_xlfn.IFS(AND('Encodage données'!D29=DonnéesAutres!A37,'Encodage données'!D31&lt;=1985),DonnéesAutres!B51+DonnéesAutres!B55,AND('Encodage données'!D29=DonnéesAutres!A37,'Encodage données'!D31&gt;1985),DonnéesAutres!B52+DonnéesAutres!C55,AND('Encodage données'!D29&lt;&gt;DonnéesAutres!A37,'Encodage données'!D31&lt;=1985),DonnéesAutres!B51+DonnéesAutres!B56,AND('Encodage données'!D29&lt;&gt;DonnéesAutres!A37,'Encodage données'!D31&gt;1985),DonnéesAutres!B52+DonnéesAutres!C56)</f>
        <v>1.7500000000000002E-2</v>
      </c>
      <c r="D48" s="103" cm="1">
        <f t="array" ref="D48">IF('Encodage données'!D25="Non",C48,_xlfn.IFS(AND('Encodage données'!E29=DonnéesAutres!A37,'Encodage données'!E31&lt;=1985),DonnéesAutres!B51+DonnéesAutres!B55,AND('Encodage données'!E29=DonnéesAutres!A37,'Encodage données'!E31&gt;1985),DonnéesAutres!B52+DonnéesAutres!C55,AND('Encodage données'!E29&lt;&gt;DonnéesAutres!A37,'Encodage données'!E31&lt;=1985),DonnéesAutres!B51+DonnéesAutres!B56,AND('Encodage données'!E29&lt;&gt;DonnéesAutres!A37,'Encodage données'!E31&gt;1985),DonnéesAutres!B52+DonnéesAutres!C56))</f>
        <v>1.7500000000000002E-2</v>
      </c>
      <c r="E48" s="209"/>
      <c r="F48" s="177" t="s">
        <v>113</v>
      </c>
      <c r="G48" s="177"/>
      <c r="H48" s="116"/>
      <c r="I48" s="116"/>
      <c r="J48" s="116"/>
      <c r="K48" s="116"/>
    </row>
    <row r="49" spans="1:11" ht="13.95" customHeight="1" x14ac:dyDescent="0.25">
      <c r="A49" s="116"/>
      <c r="B49" s="86" t="s">
        <v>114</v>
      </c>
      <c r="C49" s="73" t="str">
        <f>_xlfn.XLOOKUP('Encodage données'!D34,DonnéesAutres!A67:A70,DonnéesAutres!B67:B70,"ERREUR")</f>
        <v>ERREUR</v>
      </c>
      <c r="D49" s="103" t="str">
        <f>IF('Encodage données'!D25="Non",C49,_xlfn.XLOOKUP('Encodage données'!E34,DonnéesAutres!A67:A70,DonnéesAutres!B67:B70,"ERREUR"))</f>
        <v>ERREUR</v>
      </c>
      <c r="E49" s="209"/>
      <c r="F49" s="177" t="s">
        <v>115</v>
      </c>
      <c r="G49" s="177"/>
      <c r="H49" s="116"/>
      <c r="I49" s="116"/>
      <c r="J49" s="116"/>
      <c r="K49" s="116"/>
    </row>
    <row r="50" spans="1:11" x14ac:dyDescent="0.25">
      <c r="A50" s="116"/>
      <c r="B50" s="86" t="s">
        <v>116</v>
      </c>
      <c r="C50" s="73" t="str">
        <f>IF('Encodage données'!D35="Oui",_xlfn.XLOOKUP('Encodage données'!D36,DonnéesAutres!A73:A75,DonnéesAutres!B73:B75,"ERREUR"),_xlfn.XLOOKUP('Encodage données'!D36,DonnéesAutres!A73:A75,DonnéesAutres!C73:C75,"ERREUR"))</f>
        <v>ERREUR</v>
      </c>
      <c r="D50" s="103" t="str">
        <f>IF('Encodage données'!D25="Non",C50,IF('Encodage données'!E35="Oui",_xlfn.XLOOKUP('Encodage données'!E36,DonnéesAutres!A73:A75,DonnéesAutres!B73:B75,"ERREUR"),_xlfn.XLOOKUP('Encodage données'!E36,DonnéesAutres!A73:A75,DonnéesAutres!C73:C75,"ERREUR")))</f>
        <v>ERREUR</v>
      </c>
      <c r="E50" s="209"/>
      <c r="F50" s="177" t="s">
        <v>115</v>
      </c>
      <c r="G50" s="177"/>
      <c r="H50" s="116"/>
      <c r="I50" s="116"/>
      <c r="J50" s="116"/>
      <c r="K50" s="116"/>
    </row>
    <row r="51" spans="1:11" x14ac:dyDescent="0.25">
      <c r="A51" s="116"/>
      <c r="B51" s="86" t="s">
        <v>117</v>
      </c>
      <c r="C51" s="73" t="str">
        <f>_xlfn.XLOOKUP('Encodage données'!D37,DonnéesAutres!A78:A80,DonnéesAutres!B78:B80,"ERREUR")</f>
        <v>ERREUR</v>
      </c>
      <c r="D51" s="103" t="str">
        <f>IF('Encodage données'!D25="Non",C51,_xlfn.XLOOKUP('Encodage données'!E37,DonnéesAutres!A78:A80,DonnéesAutres!B78:B80,"ERREUR"))</f>
        <v>ERREUR</v>
      </c>
      <c r="E51" s="209"/>
      <c r="F51" s="177" t="s">
        <v>115</v>
      </c>
      <c r="G51" s="177"/>
      <c r="H51" s="116"/>
      <c r="I51" s="116"/>
      <c r="J51" s="116"/>
      <c r="K51" s="116"/>
    </row>
    <row r="52" spans="1:11" x14ac:dyDescent="0.25">
      <c r="A52" s="116"/>
      <c r="B52" s="86" t="s">
        <v>118</v>
      </c>
      <c r="C52" s="73">
        <f>IF('Encodage données'!D32="Non",IF('Encodage données'!D31&lt;=1985,_xlfn.XLOOKUP('Encodage données'!D29,DonnéesAutres!A37:A48,DonnéesAutres!B37:B48),_xlfn.XLOOKUP('Encodage données'!D29,DonnéesAutres!A37:A48,DonnéesAutres!C37:C48)),'Bilan énergétique'!C47/(1+C48))</f>
        <v>0</v>
      </c>
      <c r="D52" s="103">
        <f>IF('Encodage données'!D25="Non",C52,IF('Encodage données'!E32="Non",IF('Encodage données'!E31&lt;=1985,_xlfn.XLOOKUP('Encodage données'!E29,DonnéesAutres!A37:A48,DonnéesAutres!B37:B48),_xlfn.XLOOKUP('Encodage données'!E29,DonnéesAutres!A37:A48,DonnéesAutres!C37:C48)),'Bilan énergétique'!D47/(1+D48)))</f>
        <v>0</v>
      </c>
      <c r="E52" s="209"/>
      <c r="F52" s="177" t="s">
        <v>119</v>
      </c>
      <c r="G52" s="177"/>
      <c r="H52" s="116"/>
      <c r="I52" s="116"/>
      <c r="J52" s="116"/>
      <c r="K52" s="116"/>
    </row>
    <row r="53" spans="1:11" x14ac:dyDescent="0.25">
      <c r="A53" s="116"/>
      <c r="B53" s="86" t="s">
        <v>120</v>
      </c>
      <c r="C53" s="73" t="e">
        <f>C49*C50*C51*C52</f>
        <v>#VALUE!</v>
      </c>
      <c r="D53" s="103" t="e">
        <f>IF('Encodage données'!D25="Non",C53,D49*D50*D51*D52)</f>
        <v>#VALUE!</v>
      </c>
      <c r="E53" s="209"/>
      <c r="F53" s="177" t="s">
        <v>121</v>
      </c>
      <c r="G53" s="177"/>
      <c r="H53" s="116"/>
      <c r="I53" s="116"/>
      <c r="J53" s="116"/>
      <c r="K53" s="116"/>
    </row>
    <row r="54" spans="1:11" x14ac:dyDescent="0.25">
      <c r="A54" s="116"/>
      <c r="B54" s="197"/>
      <c r="C54" s="182"/>
      <c r="D54" s="182"/>
      <c r="E54" s="199"/>
      <c r="F54" s="116"/>
      <c r="G54" s="177"/>
      <c r="H54" s="116"/>
      <c r="I54" s="116"/>
      <c r="J54" s="116"/>
      <c r="K54" s="116"/>
    </row>
    <row r="55" spans="1:11" ht="13.8" thickBot="1" x14ac:dyDescent="0.3">
      <c r="A55" s="116"/>
      <c r="B55" s="116"/>
      <c r="C55" s="116"/>
      <c r="D55" s="116"/>
      <c r="E55" s="116"/>
      <c r="F55" s="116"/>
      <c r="G55" s="177"/>
      <c r="H55" s="116"/>
      <c r="I55" s="116"/>
      <c r="J55" s="116"/>
      <c r="K55" s="116"/>
    </row>
    <row r="56" spans="1:11" x14ac:dyDescent="0.25">
      <c r="A56" s="116"/>
      <c r="B56" s="210" t="s">
        <v>122</v>
      </c>
      <c r="C56" s="66" t="e">
        <f>C44-C35-C36</f>
        <v>#VALUE!</v>
      </c>
      <c r="D56" s="66" t="e">
        <f>IF((D44-D35-D36)&gt;0,D44-D35-D36,0)</f>
        <v>#VALUE!</v>
      </c>
      <c r="E56" s="200" t="s">
        <v>96</v>
      </c>
      <c r="F56" s="131" t="e">
        <f>IF(D56=0,"Plus besoin de système de chauffage !","")</f>
        <v>#VALUE!</v>
      </c>
      <c r="G56" s="177"/>
      <c r="H56" s="116"/>
      <c r="I56" s="116"/>
      <c r="J56" s="116"/>
      <c r="K56" s="116"/>
    </row>
    <row r="57" spans="1:11" ht="13.8" thickBot="1" x14ac:dyDescent="0.3">
      <c r="A57" s="116"/>
      <c r="B57" s="88" t="s">
        <v>123</v>
      </c>
      <c r="C57" s="67" t="e">
        <f>C56*(1/C53-1)</f>
        <v>#VALUE!</v>
      </c>
      <c r="D57" s="67" t="e">
        <f>D56*(1/D53-1)</f>
        <v>#VALUE!</v>
      </c>
      <c r="E57" s="89" t="s">
        <v>96</v>
      </c>
      <c r="F57" s="116"/>
      <c r="G57" s="177"/>
      <c r="H57" s="116"/>
      <c r="I57" s="116"/>
      <c r="J57" s="116"/>
      <c r="K57" s="116"/>
    </row>
    <row r="58" spans="1:11" x14ac:dyDescent="0.25">
      <c r="A58" s="116"/>
      <c r="B58" s="71"/>
      <c r="C58" s="179"/>
      <c r="D58" s="179"/>
      <c r="E58" s="199"/>
      <c r="F58" s="116"/>
      <c r="G58" s="177"/>
      <c r="H58" s="116"/>
      <c r="I58" s="116"/>
      <c r="J58" s="116"/>
      <c r="K58" s="116"/>
    </row>
    <row r="59" spans="1:11" x14ac:dyDescent="0.25">
      <c r="A59" s="116"/>
      <c r="B59" s="102" t="s">
        <v>124</v>
      </c>
      <c r="C59" s="179"/>
      <c r="D59" s="179"/>
      <c r="E59" s="199"/>
      <c r="F59" s="116"/>
      <c r="G59" s="177"/>
      <c r="H59" s="116"/>
      <c r="I59" s="116"/>
      <c r="J59" s="116"/>
      <c r="K59" s="116"/>
    </row>
    <row r="60" spans="1:11" ht="13.8" thickBot="1" x14ac:dyDescent="0.3">
      <c r="A60" s="116"/>
      <c r="B60" s="71"/>
      <c r="C60" s="179"/>
      <c r="D60" s="179"/>
      <c r="E60" s="199"/>
      <c r="F60" s="116"/>
      <c r="G60" s="177"/>
      <c r="H60" s="116"/>
      <c r="I60" s="116"/>
      <c r="J60" s="116"/>
      <c r="K60" s="116"/>
    </row>
    <row r="61" spans="1:11" ht="13.8" thickBot="1" x14ac:dyDescent="0.3">
      <c r="A61" s="116"/>
      <c r="B61" s="90" t="s">
        <v>125</v>
      </c>
      <c r="C61" s="85">
        <f>SUMIFS('Encodage données'!E65:E182,'Encodage données'!H65:H182,"&lt;&gt;Pas de modification")</f>
        <v>0</v>
      </c>
      <c r="D61" s="84" t="s">
        <v>14</v>
      </c>
      <c r="E61" s="116"/>
      <c r="F61" s="116"/>
      <c r="G61" s="177"/>
      <c r="H61" s="116"/>
      <c r="I61" s="116"/>
      <c r="J61" s="116"/>
      <c r="K61" s="116"/>
    </row>
    <row r="62" spans="1:11" ht="13.8" thickBot="1" x14ac:dyDescent="0.3">
      <c r="A62" s="116"/>
      <c r="B62" s="211" t="s">
        <v>126</v>
      </c>
      <c r="C62" s="70" t="e">
        <f>SUMIFS('Encodage données'!E65:E182,'Encodage données'!H65:H182,"&lt;&gt;Pas de modification",Checks!J45:J162,"=1")/SUM('Encodage données'!E65:E182)</f>
        <v>#DIV/0!</v>
      </c>
      <c r="D62" s="116"/>
      <c r="E62" s="116"/>
      <c r="F62" s="197"/>
      <c r="G62" s="177"/>
      <c r="H62" s="116"/>
      <c r="I62" s="116"/>
      <c r="J62" s="116"/>
      <c r="K62" s="116"/>
    </row>
    <row r="63" spans="1:11" x14ac:dyDescent="0.25">
      <c r="A63" s="116"/>
      <c r="B63" s="71"/>
      <c r="C63" s="91"/>
      <c r="D63" s="179"/>
      <c r="E63" s="199"/>
      <c r="F63" s="116"/>
      <c r="G63" s="177"/>
      <c r="H63" s="116"/>
      <c r="I63" s="116"/>
      <c r="J63" s="116"/>
      <c r="K63" s="116"/>
    </row>
    <row r="64" spans="1:11" x14ac:dyDescent="0.25">
      <c r="A64" s="116"/>
      <c r="B64" s="86" t="s">
        <v>127</v>
      </c>
      <c r="C64" s="43">
        <f>SUMIFS(Tableau1[Surface (m²)],Tableau1[Catégorie],"&lt;&gt;Fenêtre, porte ou paroi translucide")</f>
        <v>0</v>
      </c>
      <c r="D64" s="43">
        <f>SUMIFS(Tableau1[Surface (m²)],Tableau1[Catégorie],"&lt;&gt;Fenêtre, porte ou paroi translucide")</f>
        <v>0</v>
      </c>
      <c r="E64" s="87" t="s">
        <v>14</v>
      </c>
      <c r="F64" s="116"/>
      <c r="G64" s="177"/>
      <c r="H64" s="116"/>
      <c r="I64" s="116"/>
      <c r="J64" s="116"/>
      <c r="K64" s="116"/>
    </row>
    <row r="65" spans="1:11" ht="13.8" thickBot="1" x14ac:dyDescent="0.3">
      <c r="A65" s="116"/>
      <c r="B65" s="92" t="s">
        <v>128</v>
      </c>
      <c r="C65" s="94">
        <f>SUMIFS(Tableau1[Surface (m²)],Tableau1[Catégorie],"&lt;&gt;Fenêtre, porte ou paroi translucide",Tableau1[Uactuel (W/m²K)],"&lt;=0,24",Tableau1[Uactuel (W/m²K)],"&gt;0,05")</f>
        <v>0</v>
      </c>
      <c r="D65" s="98">
        <f>SUMIFS(Tableau1[Surface (m²)],Tableau1[Catégorie],"&lt;&gt;Fenêtre, porte ou paroi translucide",Tableau1[Urénové (W/m²K)],"&lt;=0,24",Tableau1[Urénové (W/m²K)],"&gt;0,05")</f>
        <v>0</v>
      </c>
      <c r="E65" s="87" t="s">
        <v>14</v>
      </c>
      <c r="F65" s="116"/>
      <c r="G65" s="177"/>
      <c r="H65" s="116"/>
      <c r="I65" s="116"/>
      <c r="J65" s="116"/>
      <c r="K65" s="116"/>
    </row>
    <row r="66" spans="1:11" ht="13.8" thickBot="1" x14ac:dyDescent="0.3">
      <c r="A66" s="116"/>
      <c r="B66" s="97" t="s">
        <v>129</v>
      </c>
      <c r="C66" s="100" t="e">
        <f>C65/C64</f>
        <v>#DIV/0!</v>
      </c>
      <c r="D66" s="96" t="e">
        <f>D65/D64</f>
        <v>#DIV/0!</v>
      </c>
      <c r="E66" s="204"/>
      <c r="F66" s="116"/>
      <c r="G66" s="177"/>
      <c r="H66" s="116"/>
      <c r="I66" s="116"/>
      <c r="J66" s="116"/>
      <c r="K66" s="116"/>
    </row>
    <row r="67" spans="1:11" x14ac:dyDescent="0.25">
      <c r="A67" s="116"/>
      <c r="B67" s="93" t="s">
        <v>130</v>
      </c>
      <c r="C67" s="95">
        <f>SUMIFS(Tableau1[Surface (m²)],Tableau1[Catégorie],"Fenêtre, porte ou paroi translucide")</f>
        <v>0</v>
      </c>
      <c r="D67" s="99">
        <f>SUMIFS(Tableau1[Surface (m²)],Tableau1[Catégorie],"Fenêtre, porte ou paroi translucide")</f>
        <v>0</v>
      </c>
      <c r="E67" s="87" t="s">
        <v>14</v>
      </c>
      <c r="F67" s="116"/>
      <c r="G67" s="177"/>
      <c r="H67" s="116"/>
      <c r="I67" s="116"/>
      <c r="J67" s="116"/>
      <c r="K67" s="116"/>
    </row>
    <row r="68" spans="1:11" ht="13.8" thickBot="1" x14ac:dyDescent="0.3">
      <c r="A68" s="116"/>
      <c r="B68" s="92" t="s">
        <v>131</v>
      </c>
      <c r="C68" s="94">
        <f>SUMIFS(Tableau1[Surface (m²)],Tableau1[Catégorie],"Fenêtre, porte ou paroi translucide",Tableau1[Uactuel (W/m²K)],"&lt;=1",Tableau1[Uactuel (W/m²K)],"&gt;0,05")</f>
        <v>0</v>
      </c>
      <c r="D68" s="98">
        <f>SUMIFS(Tableau1[Surface (m²)],Tableau1[Catégorie],"Fenêtre, porte ou paroi translucide",Tableau1[Urénové (W/m²K)],"&lt;=1",Tableau1[Urénové (W/m²K)],"&gt;0,05")</f>
        <v>0</v>
      </c>
      <c r="E68" s="87" t="s">
        <v>14</v>
      </c>
      <c r="F68" s="116"/>
      <c r="G68" s="177"/>
      <c r="H68" s="116"/>
      <c r="I68" s="116"/>
      <c r="J68" s="116"/>
      <c r="K68" s="116"/>
    </row>
    <row r="69" spans="1:11" ht="13.8" thickBot="1" x14ac:dyDescent="0.3">
      <c r="A69" s="116"/>
      <c r="B69" s="97" t="s">
        <v>132</v>
      </c>
      <c r="C69" s="100" t="e">
        <f>C68/C67</f>
        <v>#DIV/0!</v>
      </c>
      <c r="D69" s="96" t="e">
        <f>D68/D67</f>
        <v>#DIV/0!</v>
      </c>
      <c r="E69" s="199"/>
      <c r="F69" s="116"/>
      <c r="G69" s="177"/>
      <c r="H69" s="116"/>
      <c r="I69" s="116"/>
      <c r="J69" s="116"/>
      <c r="K69" s="116"/>
    </row>
    <row r="70" spans="1:11" ht="13.8" thickBot="1" x14ac:dyDescent="0.3">
      <c r="A70" s="116"/>
      <c r="B70" s="180"/>
      <c r="C70" s="181"/>
      <c r="D70" s="181"/>
      <c r="E70" s="199"/>
      <c r="F70" s="116"/>
      <c r="G70" s="177"/>
      <c r="H70" s="116"/>
      <c r="I70" s="116"/>
      <c r="J70" s="116"/>
      <c r="K70" s="116"/>
    </row>
    <row r="71" spans="1:11" ht="13.8" thickBot="1" x14ac:dyDescent="0.3">
      <c r="A71" s="116"/>
      <c r="B71" s="105" t="s">
        <v>133</v>
      </c>
      <c r="C71" s="106">
        <f>C67+C64</f>
        <v>0</v>
      </c>
      <c r="D71" s="107">
        <f>D67+D64</f>
        <v>0</v>
      </c>
      <c r="E71" s="87" t="s">
        <v>14</v>
      </c>
      <c r="F71" s="116"/>
      <c r="G71" s="177"/>
      <c r="H71" s="116"/>
      <c r="I71" s="116"/>
      <c r="J71" s="116"/>
      <c r="K71" s="116"/>
    </row>
    <row r="72" spans="1:11" ht="13.8" thickBot="1" x14ac:dyDescent="0.3">
      <c r="A72" s="116"/>
      <c r="B72" s="101" t="s">
        <v>134</v>
      </c>
      <c r="C72" s="104">
        <f>C68+C65</f>
        <v>0</v>
      </c>
      <c r="D72" s="108">
        <f>D68+D65</f>
        <v>0</v>
      </c>
      <c r="E72" s="87" t="s">
        <v>14</v>
      </c>
      <c r="F72" s="116"/>
      <c r="G72" s="177"/>
      <c r="H72" s="116"/>
      <c r="I72" s="116"/>
      <c r="J72" s="116"/>
      <c r="K72" s="116"/>
    </row>
    <row r="73" spans="1:11" ht="13.8" thickBot="1" x14ac:dyDescent="0.3">
      <c r="A73" s="116"/>
      <c r="B73" s="97" t="s">
        <v>135</v>
      </c>
      <c r="C73" s="100" t="e">
        <f>C72/C71</f>
        <v>#DIV/0!</v>
      </c>
      <c r="D73" s="96" t="e">
        <f>D72/D71</f>
        <v>#DIV/0!</v>
      </c>
      <c r="E73" s="199"/>
      <c r="F73" s="116"/>
      <c r="G73" s="177"/>
      <c r="H73" s="116"/>
      <c r="I73" s="116"/>
      <c r="J73" s="116"/>
      <c r="K73" s="116"/>
    </row>
    <row r="74" spans="1:11" ht="13.8" thickBot="1" x14ac:dyDescent="0.3">
      <c r="A74" s="116"/>
      <c r="B74" s="116"/>
      <c r="C74" s="116"/>
      <c r="D74" s="116"/>
      <c r="E74" s="116"/>
      <c r="F74" s="116"/>
      <c r="G74" s="177"/>
      <c r="H74" s="116"/>
      <c r="I74" s="116"/>
      <c r="J74" s="116"/>
      <c r="K74" s="116"/>
    </row>
    <row r="75" spans="1:11" x14ac:dyDescent="0.25">
      <c r="A75" s="116"/>
      <c r="B75" s="210" t="s">
        <v>136</v>
      </c>
      <c r="C75" s="66" t="e">
        <f>C57+C56</f>
        <v>#VALUE!</v>
      </c>
      <c r="D75" s="66" t="e">
        <f>D57+D56</f>
        <v>#VALUE!</v>
      </c>
      <c r="E75" s="200" t="s">
        <v>96</v>
      </c>
      <c r="F75" s="116"/>
      <c r="G75" s="177"/>
      <c r="H75" s="116"/>
      <c r="I75" s="116"/>
      <c r="J75" s="116"/>
      <c r="K75" s="116"/>
    </row>
    <row r="76" spans="1:11" x14ac:dyDescent="0.25">
      <c r="A76" s="116"/>
      <c r="B76" s="249" t="s">
        <v>137</v>
      </c>
      <c r="C76" s="98" t="e">
        <f>C75/C9</f>
        <v>#VALUE!</v>
      </c>
      <c r="D76" s="98" t="e">
        <f>D75/D9</f>
        <v>#VALUE!</v>
      </c>
      <c r="E76" s="245" t="s">
        <v>138</v>
      </c>
      <c r="F76" s="116"/>
      <c r="G76" s="177"/>
      <c r="H76" s="116"/>
      <c r="I76" s="116"/>
      <c r="J76" s="116"/>
      <c r="K76" s="116"/>
    </row>
    <row r="77" spans="1:11" x14ac:dyDescent="0.25">
      <c r="A77" s="116"/>
      <c r="B77" s="86" t="s">
        <v>3183</v>
      </c>
      <c r="C77" s="43" t="e">
        <f>-C75*-(INDEX(DonnéesAutres!D128:D132, MATCH('Encodage données'!D30,DonnéesAutres!C128:C132,0), MATCH("CO2 (kg/kWh)",DonnéesAutres!D127:D132,0)))</f>
        <v>#VALUE!</v>
      </c>
      <c r="D77" s="43" t="e">
        <f>-D75*-(INDEX(DonnéesAutres!D128:D132, MATCH(IF('Encodage données'!D25="Non",'Encodage données'!D30,'Encodage données'!E30),DonnéesAutres!C128:C132,0), MATCH("CO2 (kg/kWh)",DonnéesAutres!D127:D132,0)))</f>
        <v>#VALUE!</v>
      </c>
      <c r="E77" s="87" t="s">
        <v>142</v>
      </c>
      <c r="F77" s="116"/>
      <c r="G77" s="177"/>
      <c r="H77" s="116"/>
      <c r="I77" s="116"/>
      <c r="J77" s="116"/>
      <c r="K77" s="116"/>
    </row>
    <row r="78" spans="1:11" x14ac:dyDescent="0.25">
      <c r="A78" s="116"/>
      <c r="B78" s="86" t="s">
        <v>139</v>
      </c>
      <c r="C78" s="99" t="e">
        <f>C75-D75</f>
        <v>#VALUE!</v>
      </c>
      <c r="D78" s="246" t="s">
        <v>96</v>
      </c>
      <c r="E78" s="116"/>
      <c r="F78" s="116"/>
      <c r="G78" s="177"/>
      <c r="H78" s="116"/>
      <c r="I78" s="116"/>
      <c r="J78" s="116"/>
      <c r="K78" s="116"/>
    </row>
    <row r="79" spans="1:11" x14ac:dyDescent="0.25">
      <c r="A79" s="116"/>
      <c r="B79" s="201" t="s">
        <v>140</v>
      </c>
      <c r="C79" s="202" t="e">
        <f>(C75-D75)/C75</f>
        <v>#VALUE!</v>
      </c>
      <c r="D79" s="116"/>
      <c r="E79" s="116"/>
      <c r="F79" s="116"/>
      <c r="G79" s="177"/>
      <c r="H79" s="116"/>
      <c r="I79" s="116"/>
      <c r="J79" s="116"/>
      <c r="K79" s="116"/>
    </row>
    <row r="80" spans="1:11" x14ac:dyDescent="0.25">
      <c r="A80" s="116"/>
      <c r="B80" s="86" t="s">
        <v>141</v>
      </c>
      <c r="C80" s="43" t="e">
        <f>C75*-(INDEX(DonnéesAutres!D128:D132, MATCH('Encodage données'!D30,DonnéesAutres!C128:C132,0), MATCH("CO2 (kg/kWh)",DonnéesAutres!D127:D132,0)))-D75*-(INDEX(DonnéesAutres!D128:D132, MATCH(IF('Encodage données'!D25="Non",'Encodage données'!D30,'Encodage données'!E30),DonnéesAutres!C128:C132,0), MATCH("CO2 (kg/kWh)",DonnéesAutres!D127:D132,0)))</f>
        <v>#VALUE!</v>
      </c>
      <c r="D80" s="87" t="s">
        <v>142</v>
      </c>
      <c r="E80" s="116"/>
      <c r="F80" s="116"/>
      <c r="G80" s="177"/>
      <c r="H80" s="116"/>
      <c r="I80" s="116"/>
      <c r="J80" s="116"/>
      <c r="K80" s="116"/>
    </row>
    <row r="81" spans="1:11" x14ac:dyDescent="0.25">
      <c r="A81" s="116"/>
      <c r="B81" s="86" t="s">
        <v>3184</v>
      </c>
      <c r="C81" s="73" t="e">
        <f>IF( C77=0,0,(C77-D77)/C77)</f>
        <v>#VALUE!</v>
      </c>
      <c r="D81" s="116"/>
      <c r="E81" s="116"/>
      <c r="F81" s="116"/>
      <c r="G81" s="177"/>
      <c r="H81" s="116"/>
      <c r="I81" s="116"/>
      <c r="J81" s="116"/>
      <c r="K81" s="116"/>
    </row>
    <row r="82" spans="1:11" ht="13.8" thickBot="1" x14ac:dyDescent="0.3">
      <c r="A82" s="116"/>
      <c r="B82" s="248" t="s">
        <v>143</v>
      </c>
      <c r="C82" s="247" t="e">
        <f>Subside!D4</f>
        <v>#VALUE!</v>
      </c>
      <c r="D82" s="116"/>
      <c r="E82" s="116"/>
      <c r="F82" s="116"/>
      <c r="G82" s="177"/>
      <c r="H82" s="116"/>
      <c r="I82" s="116"/>
      <c r="J82" s="116"/>
      <c r="K82" s="116"/>
    </row>
    <row r="83" spans="1:11" x14ac:dyDescent="0.25">
      <c r="A83" s="116"/>
      <c r="B83" s="116"/>
      <c r="C83" s="116"/>
      <c r="D83" s="116"/>
      <c r="E83" s="116"/>
      <c r="F83" s="116"/>
      <c r="G83" s="177"/>
      <c r="H83" s="116"/>
      <c r="I83" s="116"/>
      <c r="J83" s="116"/>
      <c r="K83" s="116"/>
    </row>
    <row r="84" spans="1:11" x14ac:dyDescent="0.25">
      <c r="A84" s="116"/>
      <c r="B84" s="116"/>
      <c r="C84" s="116"/>
      <c r="D84" s="116"/>
      <c r="E84" s="116"/>
      <c r="F84" s="116"/>
      <c r="G84" s="177"/>
      <c r="H84" s="116"/>
      <c r="I84" s="116"/>
      <c r="J84" s="116"/>
      <c r="K84" s="116"/>
    </row>
    <row r="85" spans="1:11" x14ac:dyDescent="0.25">
      <c r="A85" s="116"/>
      <c r="B85" s="116"/>
      <c r="C85" s="116"/>
      <c r="D85" s="116"/>
      <c r="E85" s="116"/>
      <c r="F85" s="116"/>
      <c r="G85" s="177"/>
      <c r="H85" s="116"/>
      <c r="I85" s="116"/>
      <c r="J85" s="116"/>
      <c r="K85" s="116"/>
    </row>
    <row r="86" spans="1:11" x14ac:dyDescent="0.25">
      <c r="A86" s="116"/>
      <c r="B86" s="116"/>
      <c r="C86" s="116"/>
      <c r="D86" s="116"/>
      <c r="E86" s="116"/>
      <c r="F86" s="116"/>
      <c r="G86" s="177"/>
      <c r="H86" s="116"/>
      <c r="I86" s="116"/>
      <c r="J86" s="116"/>
      <c r="K86" s="116"/>
    </row>
    <row r="87" spans="1:11" x14ac:dyDescent="0.25">
      <c r="A87" s="116"/>
      <c r="B87" s="116"/>
      <c r="C87" s="116"/>
      <c r="D87" s="116"/>
      <c r="E87" s="116"/>
      <c r="F87" s="116"/>
      <c r="G87" s="177"/>
      <c r="H87" s="116"/>
      <c r="I87" s="116"/>
      <c r="J87" s="116"/>
      <c r="K87" s="116"/>
    </row>
    <row r="88" spans="1:11" x14ac:dyDescent="0.25">
      <c r="A88" s="116"/>
      <c r="B88" s="116"/>
      <c r="C88" s="116"/>
      <c r="D88" s="116"/>
      <c r="E88" s="116"/>
      <c r="F88" s="116"/>
      <c r="G88" s="177"/>
      <c r="H88" s="116"/>
      <c r="I88" s="116"/>
      <c r="J88" s="116"/>
      <c r="K88" s="116"/>
    </row>
    <row r="89" spans="1:11" x14ac:dyDescent="0.25"/>
  </sheetData>
  <sheetProtection algorithmName="SHA-512" hashValue="9kWtGb7xW/xFrZOQTW7i7T4j9rX+R6uLI7WoqKb1knoywDcDy+/BzggjErxrUY9xsKP+RBjdVmg8KD+kDYXNxQ==" saltValue="tbH+ZO3IRj6FcTmLa2mEAg==" spinCount="100000" sheet="1" selectLockedCells="1" selectUnlockedCells="1"/>
  <mergeCells count="2">
    <mergeCell ref="B2:E2"/>
    <mergeCell ref="B3:E3"/>
  </mergeCells>
  <conditionalFormatting sqref="C62">
    <cfRule type="cellIs" dxfId="39" priority="1" operator="greaterThanOrEqual">
      <formula>0.2</formula>
    </cfRule>
    <cfRule type="cellIs" dxfId="38" priority="3" operator="lessThan">
      <formula>0.2</formula>
    </cfRule>
  </conditionalFormatting>
  <conditionalFormatting sqref="C79">
    <cfRule type="cellIs" dxfId="37" priority="2" operator="greaterThanOrEqual">
      <formula>0.3</formula>
    </cfRule>
    <cfRule type="cellIs" dxfId="36" priority="4" operator="lessThan">
      <formula>0.3</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3ACC2-6A31-4107-8366-C732B5B612B0}">
  <sheetPr codeName="Feuil7">
    <tabColor rgb="FFFFC000"/>
  </sheetPr>
  <dimension ref="A1:K217"/>
  <sheetViews>
    <sheetView zoomScaleNormal="100" workbookViewId="0">
      <selection activeCell="C4" sqref="C4"/>
    </sheetView>
  </sheetViews>
  <sheetFormatPr baseColWidth="10" defaultColWidth="0" defaultRowHeight="13.2" zeroHeight="1" x14ac:dyDescent="0.25"/>
  <cols>
    <col min="1" max="1" width="5.6640625" customWidth="1"/>
    <col min="2" max="2" width="9.44140625" customWidth="1"/>
    <col min="3" max="3" width="36.33203125" customWidth="1"/>
    <col min="4" max="4" width="31" customWidth="1"/>
    <col min="5" max="5" width="42" customWidth="1"/>
    <col min="6" max="6" width="17.5546875" customWidth="1"/>
    <col min="7" max="7" width="26.5546875" customWidth="1"/>
    <col min="8" max="8" width="22.33203125" customWidth="1"/>
    <col min="9" max="9" width="18.109375" customWidth="1"/>
    <col min="10" max="11" width="11.5546875" customWidth="1"/>
    <col min="12" max="16384" width="11.44140625" hidden="1"/>
  </cols>
  <sheetData>
    <row r="1" spans="1:11" ht="13.8" thickBot="1" x14ac:dyDescent="0.3">
      <c r="A1" s="116"/>
      <c r="B1" s="116"/>
      <c r="C1" s="116"/>
      <c r="D1" s="116"/>
      <c r="E1" s="116"/>
      <c r="F1" s="116"/>
      <c r="G1" s="116"/>
      <c r="H1" s="116"/>
      <c r="I1" s="116"/>
      <c r="J1" s="116"/>
      <c r="K1" s="116"/>
    </row>
    <row r="2" spans="1:11" x14ac:dyDescent="0.25">
      <c r="A2" s="116"/>
      <c r="B2" s="232"/>
      <c r="C2" s="233"/>
      <c r="D2" s="233"/>
      <c r="E2" s="233"/>
      <c r="F2" s="233"/>
      <c r="G2" s="233"/>
      <c r="H2" s="233"/>
      <c r="I2" s="234"/>
      <c r="J2" s="116"/>
      <c r="K2" s="116"/>
    </row>
    <row r="3" spans="1:11" ht="13.8" thickBot="1" x14ac:dyDescent="0.3">
      <c r="A3" s="116"/>
      <c r="B3" s="235"/>
      <c r="C3" s="236"/>
      <c r="D3" s="236"/>
      <c r="E3" s="236"/>
      <c r="F3" s="236"/>
      <c r="G3" s="236"/>
      <c r="H3" s="236"/>
      <c r="I3" s="237"/>
      <c r="J3" s="116"/>
      <c r="K3" s="116"/>
    </row>
    <row r="4" spans="1:11" ht="13.8" thickBot="1" x14ac:dyDescent="0.3">
      <c r="A4" s="116"/>
      <c r="B4" s="235"/>
      <c r="C4" s="61" t="s">
        <v>144</v>
      </c>
      <c r="D4" s="62" t="e">
        <f>IF(OR(D14&lt;0.3,D15&lt;0.2),0,D6+D12)</f>
        <v>#VALUE!</v>
      </c>
      <c r="E4" s="236"/>
      <c r="F4" s="236"/>
      <c r="G4" s="236"/>
      <c r="H4" s="236"/>
      <c r="I4" s="237"/>
      <c r="J4" s="116"/>
      <c r="K4" s="116"/>
    </row>
    <row r="5" spans="1:11" ht="13.8" thickBot="1" x14ac:dyDescent="0.3">
      <c r="A5" s="116"/>
      <c r="B5" s="235"/>
      <c r="C5" s="236"/>
      <c r="D5" s="236"/>
      <c r="E5" s="236"/>
      <c r="F5" s="236"/>
      <c r="G5" s="236"/>
      <c r="H5" s="236"/>
      <c r="I5" s="237"/>
      <c r="J5" s="116"/>
      <c r="K5" s="116"/>
    </row>
    <row r="6" spans="1:11" ht="13.8" thickBot="1" x14ac:dyDescent="0.3">
      <c r="A6" s="116"/>
      <c r="B6" s="235"/>
      <c r="C6" s="78" t="s">
        <v>145</v>
      </c>
      <c r="D6" s="79" t="e">
        <f>IF(D15&gt;=0.2,SUM(I24:I141),0)</f>
        <v>#DIV/0!</v>
      </c>
      <c r="E6" s="239"/>
      <c r="F6" s="236"/>
      <c r="G6" s="236"/>
      <c r="H6" s="236"/>
      <c r="I6" s="237"/>
      <c r="J6" s="116"/>
      <c r="K6" s="116"/>
    </row>
    <row r="7" spans="1:11" ht="13.8" thickBot="1" x14ac:dyDescent="0.3">
      <c r="A7" s="116"/>
      <c r="B7" s="235"/>
      <c r="C7" s="59" t="s">
        <v>146</v>
      </c>
      <c r="D7" s="60">
        <f>SUMIF(_xlfn.ANCHORARRAY(E24),'Données Giant'!A17,Subside!I24:I141)+SUMIF(_xlfn.ANCHORARRAY(E24),'Données Giant'!A18,Subside!I24:I141)+SUMIF(_xlfn.ANCHORARRAY(E24),'Données Giant'!A19,Subside!I24:I141)+SUMIF(_xlfn.ANCHORARRAY(E24),'Données Giant'!A20,Subside!I24:I141)</f>
        <v>0</v>
      </c>
      <c r="E7" s="236"/>
      <c r="F7" s="236"/>
      <c r="G7" s="236"/>
      <c r="H7" s="236"/>
      <c r="I7" s="237"/>
      <c r="J7" s="116"/>
      <c r="K7" s="116"/>
    </row>
    <row r="8" spans="1:11" ht="13.8" thickBot="1" x14ac:dyDescent="0.3">
      <c r="A8" s="116"/>
      <c r="B8" s="235"/>
      <c r="C8" s="59" t="s">
        <v>147</v>
      </c>
      <c r="D8" s="60">
        <f>SUMIF(_xlfn.ANCHORARRAY(E24),'Données Giant'!A15,Subside!I24:I141)</f>
        <v>0</v>
      </c>
      <c r="E8" s="236"/>
      <c r="F8" s="236"/>
      <c r="G8" s="236"/>
      <c r="H8" s="236"/>
      <c r="I8" s="237"/>
      <c r="J8" s="116"/>
      <c r="K8" s="116"/>
    </row>
    <row r="9" spans="1:11" ht="13.8" thickBot="1" x14ac:dyDescent="0.3">
      <c r="A9" s="116"/>
      <c r="B9" s="235"/>
      <c r="C9" s="59" t="s">
        <v>148</v>
      </c>
      <c r="D9" s="60">
        <f>SUMIF(_xlfn.ANCHORARRAY(E24),'Données Giant'!A16,Subside!I24:I141)</f>
        <v>0</v>
      </c>
      <c r="E9" s="236"/>
      <c r="F9" s="236"/>
      <c r="G9" s="236"/>
      <c r="H9" s="236"/>
      <c r="I9" s="237"/>
      <c r="J9" s="116"/>
      <c r="K9" s="116"/>
    </row>
    <row r="10" spans="1:11" ht="13.8" thickBot="1" x14ac:dyDescent="0.3">
      <c r="A10" s="116"/>
      <c r="B10" s="235"/>
      <c r="C10" s="59" t="s">
        <v>149</v>
      </c>
      <c r="D10" s="60">
        <f>SUMIF(_xlfn.ANCHORARRAY(E24),'Données Giant'!A8,Subside!I24:I141)+SUMIF(_xlfn.ANCHORARRAY(E24),'Données Giant'!A9,Subside!I24:I141)+SUMIF(_xlfn.ANCHORARRAY(E24),'Données Giant'!A10,Subside!I24:I141)+SUMIF(_xlfn.ANCHORARRAY(E24),'Données Giant'!A11,Subside!I24:I141)+SUMIF(_xlfn.ANCHORARRAY(E24),'Données Giant'!A12,Subside!I24:I141)+SUMIF(_xlfn.ANCHORARRAY(E24),'Données Giant'!A13,Subside!I24:I141)+SUMIF(_xlfn.ANCHORARRAY(E24),'Données Giant'!A14,Subside!I24:I141)</f>
        <v>0</v>
      </c>
      <c r="E10" s="236"/>
      <c r="F10" s="236"/>
      <c r="G10" s="236"/>
      <c r="H10" s="236"/>
      <c r="I10" s="237"/>
      <c r="J10" s="116"/>
      <c r="K10" s="116"/>
    </row>
    <row r="11" spans="1:11" ht="13.8" thickBot="1" x14ac:dyDescent="0.3">
      <c r="A11" s="116"/>
      <c r="B11" s="235"/>
      <c r="C11" s="236"/>
      <c r="D11" s="236"/>
      <c r="E11" s="236"/>
      <c r="F11" s="236"/>
      <c r="G11" s="236"/>
      <c r="H11" s="236"/>
      <c r="I11" s="237"/>
      <c r="J11" s="116"/>
      <c r="K11" s="116"/>
    </row>
    <row r="12" spans="1:11" ht="15.6" thickBot="1" x14ac:dyDescent="0.3">
      <c r="A12" s="116"/>
      <c r="B12" s="235"/>
      <c r="C12" s="78" t="s">
        <v>150</v>
      </c>
      <c r="D12" s="79" t="e">
        <f>IF(D15&gt;=0.2,SUM('Encodage ventilation'!F18:F24),0)</f>
        <v>#DIV/0!</v>
      </c>
      <c r="E12" s="240" t="e">
        <f>IF(D15&lt;0.2,"Les subsides pour la ventilation ne sont éligibles qui si au moins 20% de l'enveloppe n'est rénovée !","")</f>
        <v>#DIV/0!</v>
      </c>
      <c r="F12" s="236"/>
      <c r="G12" s="236"/>
      <c r="H12" s="236"/>
      <c r="I12" s="237"/>
      <c r="J12" s="116"/>
      <c r="K12" s="116"/>
    </row>
    <row r="13" spans="1:11" ht="15.6" thickBot="1" x14ac:dyDescent="0.3">
      <c r="A13" s="116"/>
      <c r="B13" s="235"/>
      <c r="C13" s="236"/>
      <c r="D13" s="236"/>
      <c r="E13" s="241"/>
      <c r="F13" s="236"/>
      <c r="G13" s="236"/>
      <c r="H13" s="236"/>
      <c r="I13" s="237"/>
      <c r="J13" s="116"/>
      <c r="K13" s="116"/>
    </row>
    <row r="14" spans="1:11" ht="15.6" thickBot="1" x14ac:dyDescent="0.3">
      <c r="A14" s="116"/>
      <c r="B14" s="235"/>
      <c r="C14" s="80" t="s">
        <v>151</v>
      </c>
      <c r="D14" s="82" t="e">
        <f>'Bilan énergétique'!C79</f>
        <v>#VALUE!</v>
      </c>
      <c r="E14" s="240" t="e">
        <f>IF(D14&lt;0.3,"Il faut réaliser minimum 30% d'économie d'énergie pour obtenir les primes !","")</f>
        <v>#VALUE!</v>
      </c>
      <c r="F14" s="236"/>
      <c r="G14" s="236"/>
      <c r="H14" s="236"/>
      <c r="I14" s="237"/>
      <c r="J14" s="116"/>
      <c r="K14" s="116"/>
    </row>
    <row r="15" spans="1:11" ht="15.6" thickBot="1" x14ac:dyDescent="0.3">
      <c r="A15" s="116"/>
      <c r="B15" s="235"/>
      <c r="C15" s="81" t="s">
        <v>152</v>
      </c>
      <c r="D15" s="83" t="e">
        <f>'Bilan énergétique'!C62</f>
        <v>#DIV/0!</v>
      </c>
      <c r="E15" s="240" t="e">
        <f>IF(D15&lt;0.2,"Il faut rénover minimum 20% de l'enveloppe pour obtenir les primes !","")</f>
        <v>#DIV/0!</v>
      </c>
      <c r="F15" s="236"/>
      <c r="G15" s="236"/>
      <c r="H15" s="236"/>
      <c r="I15" s="237"/>
      <c r="J15" s="116"/>
      <c r="K15" s="116"/>
    </row>
    <row r="16" spans="1:11" x14ac:dyDescent="0.25">
      <c r="A16" s="116"/>
      <c r="B16" s="235"/>
      <c r="C16" s="236"/>
      <c r="D16" s="236"/>
      <c r="E16" s="236"/>
      <c r="F16" s="236"/>
      <c r="G16" s="236"/>
      <c r="H16" s="236"/>
      <c r="I16" s="237"/>
      <c r="J16" s="116"/>
      <c r="K16" s="116"/>
    </row>
    <row r="17" spans="1:11" ht="30.6" customHeight="1" x14ac:dyDescent="0.25">
      <c r="A17" s="116"/>
      <c r="B17" s="235"/>
      <c r="C17" s="300" t="str">
        <f>IF(OR(Checks!C7=0,Checks!C24=0,Checks!C38=0,Checks!C41=0),"Attention certaines données nécessaires aux calculs des subventions n’ont pas été encodées correctement, veuillez vérifier les données manquantes se trouvant dans les onglets « Encodage données » ou « Encodage ventilation »"," ")</f>
        <v>Attention certaines données nécessaires aux calculs des subventions n’ont pas été encodées correctement, veuillez vérifier les données manquantes se trouvant dans les onglets « Encodage données » ou « Encodage ventilation »</v>
      </c>
      <c r="D17" s="300"/>
      <c r="E17" s="300"/>
      <c r="F17" s="300"/>
      <c r="G17" s="236"/>
      <c r="H17" s="236"/>
      <c r="I17" s="237"/>
      <c r="J17" s="116"/>
      <c r="K17" s="116"/>
    </row>
    <row r="18" spans="1:11" x14ac:dyDescent="0.25">
      <c r="A18" s="116"/>
      <c r="B18" s="235"/>
      <c r="C18" s="236"/>
      <c r="D18" s="236"/>
      <c r="E18" s="236"/>
      <c r="F18" s="236"/>
      <c r="G18" s="236"/>
      <c r="H18" s="236"/>
      <c r="I18" s="237"/>
      <c r="J18" s="116"/>
      <c r="K18" s="116"/>
    </row>
    <row r="19" spans="1:11" x14ac:dyDescent="0.25">
      <c r="A19" s="116"/>
      <c r="B19" s="235"/>
      <c r="C19" s="236"/>
      <c r="D19" s="236"/>
      <c r="E19" s="236"/>
      <c r="F19" s="236"/>
      <c r="G19" s="236"/>
      <c r="H19" s="236"/>
      <c r="I19" s="237"/>
      <c r="J19" s="116"/>
      <c r="K19" s="116"/>
    </row>
    <row r="20" spans="1:11" ht="13.8" thickBot="1" x14ac:dyDescent="0.3">
      <c r="A20" s="116"/>
      <c r="B20" s="238"/>
      <c r="C20" s="242"/>
      <c r="D20" s="242"/>
      <c r="E20" s="242"/>
      <c r="F20" s="242"/>
      <c r="G20" s="242"/>
      <c r="H20" s="242"/>
      <c r="I20" s="243"/>
      <c r="J20" s="116"/>
      <c r="K20" s="116"/>
    </row>
    <row r="21" spans="1:11" x14ac:dyDescent="0.25">
      <c r="A21" s="116"/>
      <c r="B21" s="116"/>
      <c r="C21" s="116"/>
      <c r="D21" s="116"/>
      <c r="E21" s="116"/>
      <c r="F21" s="116"/>
      <c r="G21" s="116"/>
      <c r="H21" s="116"/>
      <c r="I21" s="116"/>
      <c r="J21" s="116"/>
      <c r="K21" s="116"/>
    </row>
    <row r="22" spans="1:11" ht="13.8" thickBot="1" x14ac:dyDescent="0.3">
      <c r="A22" s="116"/>
      <c r="B22" s="116"/>
      <c r="C22" s="116"/>
      <c r="D22" s="116"/>
      <c r="E22" s="116"/>
      <c r="F22" s="116"/>
      <c r="G22" s="116"/>
      <c r="H22" s="116"/>
      <c r="I22" s="116"/>
      <c r="J22" s="116"/>
      <c r="K22" s="116"/>
    </row>
    <row r="23" spans="1:11" ht="13.8" thickBot="1" x14ac:dyDescent="0.3">
      <c r="A23" s="116"/>
      <c r="B23" s="116"/>
      <c r="C23" s="116"/>
      <c r="D23" s="53"/>
      <c r="E23" s="133" t="s">
        <v>153</v>
      </c>
      <c r="F23" s="133" t="s">
        <v>154</v>
      </c>
      <c r="G23" s="203" t="s">
        <v>155</v>
      </c>
      <c r="H23" s="203" t="s">
        <v>156</v>
      </c>
      <c r="I23" s="212" t="s">
        <v>157</v>
      </c>
      <c r="J23" s="116"/>
      <c r="K23" s="116"/>
    </row>
    <row r="24" spans="1:11" x14ac:dyDescent="0.25">
      <c r="A24" s="116"/>
      <c r="B24" s="116"/>
      <c r="C24" s="131" t="str">
        <f>IF(H24="U insuffisant","U est insuffisant pour la prime !",IF(H24="U incohérent","U est incohérent ! "," "))</f>
        <v xml:space="preserve"> </v>
      </c>
      <c r="D24" s="219" cm="1">
        <f t="array" ref="D24:D141">'Encodage données'!D65:D182</f>
        <v>0</v>
      </c>
      <c r="E24" s="227" cm="1">
        <f t="array" ref="E24:E141">'Encodage données'!H65:H182</f>
        <v>0</v>
      </c>
      <c r="F24" s="220" cm="1">
        <f t="array" ref="F24:F189">Calculs!I3:I168</f>
        <v>0</v>
      </c>
      <c r="G24" s="54">
        <f>IF(E24="Pas de modification","-",'Encodage données'!J65)</f>
        <v>0</v>
      </c>
      <c r="H24" s="220" cm="1">
        <f t="array" ref="H24" xml:space="preserve"> IF(E24='Données Giant'!$A$22,0,_xlfn.IFS(E24=0,0,AND(E24="Pas de modification",AND(F24&gt; _xlfn.XLOOKUP('Encodage données'!$H65,'Données Giant'!$A$8:$A$21,'Données Giant'!$J$8:$J$21),F24&lt;= _xlfn.XLOOKUP('Encodage données'!$H65,'Données Giant'!$A$8:$A$21,'Données Giant'!$K$8:$K$21))),0,F24&lt;= _xlfn.XLOOKUP('Encodage données'!$H65,'Données Giant'!$A$8:$A$21,'Données Giant'!$J$8:$J$21),"U incohérent",F24&gt; _xlfn.XLOOKUP('Encodage données'!$H65,'Données Giant'!$A$8:$A$21,'Données Giant'!$K$8:$K$21), "U incohérent",AND(F24&lt;= _xlfn.XLOOKUP('Encodage données'!$H65,'Données Giant'!$A$8:$A$21,'Données Giant'!$K$8:$K$21),F24&gt; _xlfn.XLOOKUP('Encodage données'!$H65,'Données Giant'!$A$8:$A$21,'Données Giant'!$J$8:$J$21)),_xlfn.IFS(Calculs!Q3=Calculs!R3,_xlfn.IFS(F24&gt;Calculs!Q3,"U insuffisant",AND(F24&lt;=Calculs!Q3,OR(G24="non",G24=0)),Calculs!S3,AND(F24&lt;=Calculs!Q3,G24="oui"),Calculs!T3),Calculs!Q3&lt;&gt;Calculs!R3,_xlfn.IFS(F24&gt;Calculs!Q3,"U insuffisant",AND(F24&lt;=Calculs!Q3,F24&gt;Calculs!R3,OR(G24="non",G24=0)),Calculs!S3,AND(F24&lt;=Calculs!Q3,F24&gt;Calculs!R3,G24="oui"),Calculs!T3,AND(F24&lt;=Calculs!R3,OR(G24="non",G24=0)),Calculs!U3,AND(F24&lt;=Calculs!R3,G24="oui"),Calculs!V3))))</f>
        <v>0</v>
      </c>
      <c r="I24" s="58">
        <f>IF(OR(H24="U insuffisant",H24="U incohérent"),0,H24*'Encodage données'!E65)</f>
        <v>0</v>
      </c>
      <c r="J24" s="116"/>
      <c r="K24" s="116"/>
    </row>
    <row r="25" spans="1:11" x14ac:dyDescent="0.25">
      <c r="A25" s="116"/>
      <c r="B25" s="116"/>
      <c r="C25" s="131" t="str">
        <f t="shared" ref="C25:C88" si="0">IF(H25="U insuffisant","U est insuffisant pour la prime !",IF(H25="U incohérent","U est incohérent ! "," "))</f>
        <v xml:space="preserve"> </v>
      </c>
      <c r="D25" s="55">
        <v>0</v>
      </c>
      <c r="E25" s="228">
        <v>0</v>
      </c>
      <c r="F25" s="32">
        <v>0</v>
      </c>
      <c r="G25" s="54">
        <f>IF(E25="Pas de modification","-",'Encodage données'!J66)</f>
        <v>0</v>
      </c>
      <c r="H25" s="220" cm="1">
        <f t="array" ref="H25" xml:space="preserve"> IF(E25='Données Giant'!$A$22,0,_xlfn.IFS(E25=0,0,AND(E25="Pas de modification",AND(F25&gt; _xlfn.XLOOKUP('Encodage données'!$H66,'Données Giant'!$A$8:$A$21,'Données Giant'!$J$8:$J$21),F25&lt;= _xlfn.XLOOKUP('Encodage données'!$H66,'Données Giant'!$A$8:$A$21,'Données Giant'!$K$8:$K$21))),0,F25&lt;= _xlfn.XLOOKUP('Encodage données'!$H66,'Données Giant'!$A$8:$A$21,'Données Giant'!$J$8:$J$21),"U incohérent",F25&gt; _xlfn.XLOOKUP('Encodage données'!$H66,'Données Giant'!$A$8:$A$21,'Données Giant'!$K$8:$K$21), "U incohérent",AND(F25&lt;= _xlfn.XLOOKUP('Encodage données'!$H66,'Données Giant'!$A$8:$A$21,'Données Giant'!$K$8:$K$21),F25&gt; _xlfn.XLOOKUP('Encodage données'!$H66,'Données Giant'!$A$8:$A$21,'Données Giant'!$J$8:$J$21)),_xlfn.IFS(Calculs!Q4=Calculs!R4,_xlfn.IFS(F25&gt;Calculs!Q4,"U insuffisant",AND(F25&lt;=Calculs!Q4,OR(G25="non",G25=0)),Calculs!S4,AND(F25&lt;=Calculs!Q4,G25="oui"),Calculs!T4),Calculs!Q4&lt;&gt;Calculs!R4,_xlfn.IFS(F25&gt;Calculs!Q4,"U insuffisant",AND(F25&lt;=Calculs!Q4,F25&gt;Calculs!R4,OR(G25="non",G25=0)),Calculs!S4,AND(F25&lt;=Calculs!Q4,F25&gt;Calculs!R4,G25="oui"),Calculs!T4,AND(F25&lt;=Calculs!R4,OR(G25="non",G25=0)),Calculs!U4,AND(F25&lt;=Calculs!R4,G25="oui"),Calculs!V4))))</f>
        <v>0</v>
      </c>
      <c r="I25" s="58">
        <f>IF(OR(H25="U insuffisant",H25="U incohérent"),0,H25*'Encodage données'!E66)</f>
        <v>0</v>
      </c>
      <c r="J25" s="116"/>
      <c r="K25" s="116"/>
    </row>
    <row r="26" spans="1:11" x14ac:dyDescent="0.25">
      <c r="A26" s="116"/>
      <c r="B26" s="116"/>
      <c r="C26" s="131" t="str">
        <f t="shared" si="0"/>
        <v xml:space="preserve"> </v>
      </c>
      <c r="D26" s="55">
        <v>0</v>
      </c>
      <c r="E26" s="228">
        <v>0</v>
      </c>
      <c r="F26" s="32">
        <v>0</v>
      </c>
      <c r="G26" s="54">
        <f>IF(E26="Pas de modification","-",'Encodage données'!J67)</f>
        <v>0</v>
      </c>
      <c r="H26" s="220" cm="1">
        <f t="array" ref="H26" xml:space="preserve"> IF(E26='Données Giant'!$A$22,0,_xlfn.IFS(E26=0,0,AND(E26="Pas de modification",AND(F26&gt; _xlfn.XLOOKUP('Encodage données'!$H67,'Données Giant'!$A$8:$A$21,'Données Giant'!$J$8:$J$21),F26&lt;= _xlfn.XLOOKUP('Encodage données'!$H67,'Données Giant'!$A$8:$A$21,'Données Giant'!$K$8:$K$21))),0,F26&lt;= _xlfn.XLOOKUP('Encodage données'!$H67,'Données Giant'!$A$8:$A$21,'Données Giant'!$J$8:$J$21),"U incohérent",F26&gt; _xlfn.XLOOKUP('Encodage données'!$H67,'Données Giant'!$A$8:$A$21,'Données Giant'!$K$8:$K$21), "U incohérent",AND(F26&lt;= _xlfn.XLOOKUP('Encodage données'!$H67,'Données Giant'!$A$8:$A$21,'Données Giant'!$K$8:$K$21),F26&gt; _xlfn.XLOOKUP('Encodage données'!$H67,'Données Giant'!$A$8:$A$21,'Données Giant'!$J$8:$J$21)),_xlfn.IFS(Calculs!Q5=Calculs!R5,_xlfn.IFS(F26&gt;Calculs!Q5,"U insuffisant",AND(F26&lt;=Calculs!Q5,OR(G26="non",G26=0)),Calculs!S5,AND(F26&lt;=Calculs!Q5,G26="oui"),Calculs!T5),Calculs!Q5&lt;&gt;Calculs!R5,_xlfn.IFS(F26&gt;Calculs!Q5,"U insuffisant",AND(F26&lt;=Calculs!Q5,F26&gt;Calculs!R5,OR(G26="non",G26=0)),Calculs!S5,AND(F26&lt;=Calculs!Q5,F26&gt;Calculs!R5,G26="oui"),Calculs!T5,AND(F26&lt;=Calculs!R5,OR(G26="non",G26=0)),Calculs!U5,AND(F26&lt;=Calculs!R5,G26="oui"),Calculs!V5))))</f>
        <v>0</v>
      </c>
      <c r="I26" s="58">
        <f>IF(OR(H26="U insuffisant",H26="U incohérent"),0,H26*'Encodage données'!E67)</f>
        <v>0</v>
      </c>
      <c r="J26" s="116"/>
      <c r="K26" s="116"/>
    </row>
    <row r="27" spans="1:11" x14ac:dyDescent="0.25">
      <c r="A27" s="116"/>
      <c r="B27" s="116"/>
      <c r="C27" s="131" t="str">
        <f t="shared" si="0"/>
        <v xml:space="preserve"> </v>
      </c>
      <c r="D27" s="55">
        <v>0</v>
      </c>
      <c r="E27" s="228">
        <v>0</v>
      </c>
      <c r="F27" s="32">
        <v>0</v>
      </c>
      <c r="G27" s="54">
        <f>IF(E27="Pas de modification","-",'Encodage données'!J68)</f>
        <v>0</v>
      </c>
      <c r="H27" s="220" cm="1">
        <f t="array" ref="H27" xml:space="preserve"> IF(E27='Données Giant'!$A$22,0,_xlfn.IFS(E27=0,0,AND(E27="Pas de modification",AND(F27&gt; _xlfn.XLOOKUP('Encodage données'!$H68,'Données Giant'!$A$8:$A$21,'Données Giant'!$J$8:$J$21),F27&lt;= _xlfn.XLOOKUP('Encodage données'!$H68,'Données Giant'!$A$8:$A$21,'Données Giant'!$K$8:$K$21))),0,F27&lt;= _xlfn.XLOOKUP('Encodage données'!$H68,'Données Giant'!$A$8:$A$21,'Données Giant'!$J$8:$J$21),"U incohérent",F27&gt; _xlfn.XLOOKUP('Encodage données'!$H68,'Données Giant'!$A$8:$A$21,'Données Giant'!$K$8:$K$21), "U incohérent",AND(F27&lt;= _xlfn.XLOOKUP('Encodage données'!$H68,'Données Giant'!$A$8:$A$21,'Données Giant'!$K$8:$K$21),F27&gt; _xlfn.XLOOKUP('Encodage données'!$H68,'Données Giant'!$A$8:$A$21,'Données Giant'!$J$8:$J$21)),_xlfn.IFS(Calculs!Q6=Calculs!R6,_xlfn.IFS(F27&gt;Calculs!Q6,"U insuffisant",AND(F27&lt;=Calculs!Q6,OR(G27="non",G27=0)),Calculs!S6,AND(F27&lt;=Calculs!Q6,G27="oui"),Calculs!T6),Calculs!Q6&lt;&gt;Calculs!R6,_xlfn.IFS(F27&gt;Calculs!Q6,"U insuffisant",AND(F27&lt;=Calculs!Q6,F27&gt;Calculs!R6,OR(G27="non",G27=0)),Calculs!S6,AND(F27&lt;=Calculs!Q6,F27&gt;Calculs!R6,G27="oui"),Calculs!T6,AND(F27&lt;=Calculs!R6,OR(G27="non",G27=0)),Calculs!U6,AND(F27&lt;=Calculs!R6,G27="oui"),Calculs!V6))))</f>
        <v>0</v>
      </c>
      <c r="I27" s="58">
        <f>IF(OR(H27="U insuffisant",H27="U incohérent"),0,H27*'Encodage données'!E68)</f>
        <v>0</v>
      </c>
      <c r="J27" s="116"/>
      <c r="K27" s="116"/>
    </row>
    <row r="28" spans="1:11" x14ac:dyDescent="0.25">
      <c r="A28" s="116"/>
      <c r="B28" s="116"/>
      <c r="C28" s="131" t="str">
        <f t="shared" si="0"/>
        <v xml:space="preserve"> </v>
      </c>
      <c r="D28" s="55">
        <v>0</v>
      </c>
      <c r="E28" s="228">
        <v>0</v>
      </c>
      <c r="F28" s="32">
        <v>0</v>
      </c>
      <c r="G28" s="54">
        <f>IF(E28="Pas de modification","-",'Encodage données'!J69)</f>
        <v>0</v>
      </c>
      <c r="H28" s="220" cm="1">
        <f t="array" ref="H28" xml:space="preserve"> IF(E28='Données Giant'!$A$22,0,_xlfn.IFS(E28=0,0,AND(E28="Pas de modification",AND(F28&gt; _xlfn.XLOOKUP('Encodage données'!$H69,'Données Giant'!$A$8:$A$21,'Données Giant'!$J$8:$J$21),F28&lt;= _xlfn.XLOOKUP('Encodage données'!$H69,'Données Giant'!$A$8:$A$21,'Données Giant'!$K$8:$K$21))),0,F28&lt;= _xlfn.XLOOKUP('Encodage données'!$H69,'Données Giant'!$A$8:$A$21,'Données Giant'!$J$8:$J$21),"U incohérent",F28&gt; _xlfn.XLOOKUP('Encodage données'!$H69,'Données Giant'!$A$8:$A$21,'Données Giant'!$K$8:$K$21), "U incohérent",AND(F28&lt;= _xlfn.XLOOKUP('Encodage données'!$H69,'Données Giant'!$A$8:$A$21,'Données Giant'!$K$8:$K$21),F28&gt; _xlfn.XLOOKUP('Encodage données'!$H69,'Données Giant'!$A$8:$A$21,'Données Giant'!$J$8:$J$21)),_xlfn.IFS(Calculs!Q7=Calculs!R7,_xlfn.IFS(F28&gt;Calculs!Q7,"U insuffisant",AND(F28&lt;=Calculs!Q7,OR(G28="non",G28=0)),Calculs!S7,AND(F28&lt;=Calculs!Q7,G28="oui"),Calculs!T7),Calculs!Q7&lt;&gt;Calculs!R7,_xlfn.IFS(F28&gt;Calculs!Q7,"U insuffisant",AND(F28&lt;=Calculs!Q7,F28&gt;Calculs!R7,OR(G28="non",G28=0)),Calculs!S7,AND(F28&lt;=Calculs!Q7,F28&gt;Calculs!R7,G28="oui"),Calculs!T7,AND(F28&lt;=Calculs!R7,OR(G28="non",G28=0)),Calculs!U7,AND(F28&lt;=Calculs!R7,G28="oui"),Calculs!V7))))</f>
        <v>0</v>
      </c>
      <c r="I28" s="58">
        <f>IF(OR(H28="U insuffisant",H28="U incohérent"),0,H28*'Encodage données'!E69)</f>
        <v>0</v>
      </c>
      <c r="J28" s="116"/>
      <c r="K28" s="116"/>
    </row>
    <row r="29" spans="1:11" x14ac:dyDescent="0.25">
      <c r="A29" s="116"/>
      <c r="B29" s="116"/>
      <c r="C29" s="131" t="str">
        <f t="shared" si="0"/>
        <v xml:space="preserve"> </v>
      </c>
      <c r="D29" s="55">
        <v>0</v>
      </c>
      <c r="E29" s="228">
        <v>0</v>
      </c>
      <c r="F29" s="32">
        <v>0</v>
      </c>
      <c r="G29" s="54">
        <f>IF(E29="Pas de modification","-",'Encodage données'!J70)</f>
        <v>0</v>
      </c>
      <c r="H29" s="220" cm="1">
        <f t="array" ref="H29" xml:space="preserve"> IF(E29='Données Giant'!$A$22,0,_xlfn.IFS(E29=0,0,AND(E29="Pas de modification",AND(F29&gt; _xlfn.XLOOKUP('Encodage données'!$H70,'Données Giant'!$A$8:$A$21,'Données Giant'!$J$8:$J$21),F29&lt;= _xlfn.XLOOKUP('Encodage données'!$H70,'Données Giant'!$A$8:$A$21,'Données Giant'!$K$8:$K$21))),0,F29&lt;= _xlfn.XLOOKUP('Encodage données'!$H70,'Données Giant'!$A$8:$A$21,'Données Giant'!$J$8:$J$21),"U incohérent",F29&gt; _xlfn.XLOOKUP('Encodage données'!$H70,'Données Giant'!$A$8:$A$21,'Données Giant'!$K$8:$K$21), "U incohérent",AND(F29&lt;= _xlfn.XLOOKUP('Encodage données'!$H70,'Données Giant'!$A$8:$A$21,'Données Giant'!$K$8:$K$21),F29&gt; _xlfn.XLOOKUP('Encodage données'!$H70,'Données Giant'!$A$8:$A$21,'Données Giant'!$J$8:$J$21)),_xlfn.IFS(Calculs!Q8=Calculs!R8,_xlfn.IFS(F29&gt;Calculs!Q8,"U insuffisant",AND(F29&lt;=Calculs!Q8,OR(G29="non",G29=0)),Calculs!S8,AND(F29&lt;=Calculs!Q8,G29="oui"),Calculs!T8),Calculs!Q8&lt;&gt;Calculs!R8,_xlfn.IFS(F29&gt;Calculs!Q8,"U insuffisant",AND(F29&lt;=Calculs!Q8,F29&gt;Calculs!R8,OR(G29="non",G29=0)),Calculs!S8,AND(F29&lt;=Calculs!Q8,F29&gt;Calculs!R8,G29="oui"),Calculs!T8,AND(F29&lt;=Calculs!R8,OR(G29="non",G29=0)),Calculs!U8,AND(F29&lt;=Calculs!R8,G29="oui"),Calculs!V8))))</f>
        <v>0</v>
      </c>
      <c r="I29" s="58">
        <f>IF(OR(H29="U insuffisant",H29="U incohérent"),0,H29*'Encodage données'!E70)</f>
        <v>0</v>
      </c>
      <c r="J29" s="116"/>
      <c r="K29" s="116"/>
    </row>
    <row r="30" spans="1:11" x14ac:dyDescent="0.25">
      <c r="A30" s="116"/>
      <c r="B30" s="116"/>
      <c r="C30" s="131" t="str">
        <f t="shared" si="0"/>
        <v xml:space="preserve"> </v>
      </c>
      <c r="D30" s="55">
        <v>0</v>
      </c>
      <c r="E30" s="228">
        <v>0</v>
      </c>
      <c r="F30" s="32">
        <v>0</v>
      </c>
      <c r="G30" s="54">
        <f>IF(E30="Pas de modification","-",'Encodage données'!J71)</f>
        <v>0</v>
      </c>
      <c r="H30" s="220" cm="1">
        <f t="array" ref="H30" xml:space="preserve"> IF(E30='Données Giant'!$A$22,0,_xlfn.IFS(E30=0,0,AND(E30="Pas de modification",AND(F30&gt; _xlfn.XLOOKUP('Encodage données'!$H71,'Données Giant'!$A$8:$A$21,'Données Giant'!$J$8:$J$21),F30&lt;= _xlfn.XLOOKUP('Encodage données'!$H71,'Données Giant'!$A$8:$A$21,'Données Giant'!$K$8:$K$21))),0,F30&lt;= _xlfn.XLOOKUP('Encodage données'!$H71,'Données Giant'!$A$8:$A$21,'Données Giant'!$J$8:$J$21),"U incohérent",F30&gt; _xlfn.XLOOKUP('Encodage données'!$H71,'Données Giant'!$A$8:$A$21,'Données Giant'!$K$8:$K$21), "U incohérent",AND(F30&lt;= _xlfn.XLOOKUP('Encodage données'!$H71,'Données Giant'!$A$8:$A$21,'Données Giant'!$K$8:$K$21),F30&gt; _xlfn.XLOOKUP('Encodage données'!$H71,'Données Giant'!$A$8:$A$21,'Données Giant'!$J$8:$J$21)),_xlfn.IFS(Calculs!Q9=Calculs!R9,_xlfn.IFS(F30&gt;Calculs!Q9,"U insuffisant",AND(F30&lt;=Calculs!Q9,OR(G30="non",G30=0)),Calculs!S9,AND(F30&lt;=Calculs!Q9,G30="oui"),Calculs!T9),Calculs!Q9&lt;&gt;Calculs!R9,_xlfn.IFS(F30&gt;Calculs!Q9,"U insuffisant",AND(F30&lt;=Calculs!Q9,F30&gt;Calculs!R9,OR(G30="non",G30=0)),Calculs!S9,AND(F30&lt;=Calculs!Q9,F30&gt;Calculs!R9,G30="oui"),Calculs!T9,AND(F30&lt;=Calculs!R9,OR(G30="non",G30=0)),Calculs!U9,AND(F30&lt;=Calculs!R9,G30="oui"),Calculs!V9))))</f>
        <v>0</v>
      </c>
      <c r="I30" s="58">
        <f>IF(OR(H30="U insuffisant",H30="U incohérent"),0,H30*'Encodage données'!E71)</f>
        <v>0</v>
      </c>
      <c r="J30" s="116"/>
      <c r="K30" s="116"/>
    </row>
    <row r="31" spans="1:11" x14ac:dyDescent="0.25">
      <c r="A31" s="116"/>
      <c r="B31" s="116"/>
      <c r="C31" s="131" t="str">
        <f t="shared" si="0"/>
        <v xml:space="preserve"> </v>
      </c>
      <c r="D31" s="55">
        <v>0</v>
      </c>
      <c r="E31" s="228">
        <v>0</v>
      </c>
      <c r="F31" s="32">
        <v>0</v>
      </c>
      <c r="G31" s="54">
        <f>IF(E31="Pas de modification","-",'Encodage données'!J72)</f>
        <v>0</v>
      </c>
      <c r="H31" s="220" cm="1">
        <f t="array" ref="H31" xml:space="preserve"> IF(E31='Données Giant'!$A$22,0,_xlfn.IFS(E31=0,0,AND(E31="Pas de modification",AND(F31&gt; _xlfn.XLOOKUP('Encodage données'!$H72,'Données Giant'!$A$8:$A$21,'Données Giant'!$J$8:$J$21),F31&lt;= _xlfn.XLOOKUP('Encodage données'!$H72,'Données Giant'!$A$8:$A$21,'Données Giant'!$K$8:$K$21))),0,F31&lt;= _xlfn.XLOOKUP('Encodage données'!$H72,'Données Giant'!$A$8:$A$21,'Données Giant'!$J$8:$J$21),"U incohérent",F31&gt; _xlfn.XLOOKUP('Encodage données'!$H72,'Données Giant'!$A$8:$A$21,'Données Giant'!$K$8:$K$21), "U incohérent",AND(F31&lt;= _xlfn.XLOOKUP('Encodage données'!$H72,'Données Giant'!$A$8:$A$21,'Données Giant'!$K$8:$K$21),F31&gt; _xlfn.XLOOKUP('Encodage données'!$H72,'Données Giant'!$A$8:$A$21,'Données Giant'!$J$8:$J$21)),_xlfn.IFS(Calculs!Q10=Calculs!R10,_xlfn.IFS(F31&gt;Calculs!Q10,"U insuffisant",AND(F31&lt;=Calculs!Q10,OR(G31="non",G31=0)),Calculs!S10,AND(F31&lt;=Calculs!Q10,G31="oui"),Calculs!T10),Calculs!Q10&lt;&gt;Calculs!R10,_xlfn.IFS(F31&gt;Calculs!Q10,"U insuffisant",AND(F31&lt;=Calculs!Q10,F31&gt;Calculs!R10,OR(G31="non",G31=0)),Calculs!S10,AND(F31&lt;=Calculs!Q10,F31&gt;Calculs!R10,G31="oui"),Calculs!T10,AND(F31&lt;=Calculs!R10,OR(G31="non",G31=0)),Calculs!U10,AND(F31&lt;=Calculs!R10,G31="oui"),Calculs!V10))))</f>
        <v>0</v>
      </c>
      <c r="I31" s="58">
        <f>IF(OR(H31="U insuffisant",H31="U incohérent"),0,H31*'Encodage données'!E72)</f>
        <v>0</v>
      </c>
      <c r="J31" s="116"/>
      <c r="K31" s="116"/>
    </row>
    <row r="32" spans="1:11" x14ac:dyDescent="0.25">
      <c r="A32" s="116"/>
      <c r="B32" s="116"/>
      <c r="C32" s="131" t="str">
        <f t="shared" si="0"/>
        <v xml:space="preserve"> </v>
      </c>
      <c r="D32" s="55">
        <v>0</v>
      </c>
      <c r="E32" s="228">
        <v>0</v>
      </c>
      <c r="F32" s="32">
        <v>0</v>
      </c>
      <c r="G32" s="54">
        <f>IF(E32="Pas de modification","-",'Encodage données'!J73)</f>
        <v>0</v>
      </c>
      <c r="H32" s="220" cm="1">
        <f t="array" ref="H32" xml:space="preserve"> IF(E32='Données Giant'!$A$22,0,_xlfn.IFS(E32=0,0,AND(E32="Pas de modification",AND(F32&gt; _xlfn.XLOOKUP('Encodage données'!$H73,'Données Giant'!$A$8:$A$21,'Données Giant'!$J$8:$J$21),F32&lt;= _xlfn.XLOOKUP('Encodage données'!$H73,'Données Giant'!$A$8:$A$21,'Données Giant'!$K$8:$K$21))),0,F32&lt;= _xlfn.XLOOKUP('Encodage données'!$H73,'Données Giant'!$A$8:$A$21,'Données Giant'!$J$8:$J$21),"U incohérent",F32&gt; _xlfn.XLOOKUP('Encodage données'!$H73,'Données Giant'!$A$8:$A$21,'Données Giant'!$K$8:$K$21), "U incohérent",AND(F32&lt;= _xlfn.XLOOKUP('Encodage données'!$H73,'Données Giant'!$A$8:$A$21,'Données Giant'!$K$8:$K$21),F32&gt; _xlfn.XLOOKUP('Encodage données'!$H73,'Données Giant'!$A$8:$A$21,'Données Giant'!$J$8:$J$21)),_xlfn.IFS(Calculs!Q11=Calculs!R11,_xlfn.IFS(F32&gt;Calculs!Q11,"U insuffisant",AND(F32&lt;=Calculs!Q11,OR(G32="non",G32=0)),Calculs!S11,AND(F32&lt;=Calculs!Q11,G32="oui"),Calculs!T11),Calculs!Q11&lt;&gt;Calculs!R11,_xlfn.IFS(F32&gt;Calculs!Q11,"U insuffisant",AND(F32&lt;=Calculs!Q11,F32&gt;Calculs!R11,OR(G32="non",G32=0)),Calculs!S11,AND(F32&lt;=Calculs!Q11,F32&gt;Calculs!R11,G32="oui"),Calculs!T11,AND(F32&lt;=Calculs!R11,OR(G32="non",G32=0)),Calculs!U11,AND(F32&lt;=Calculs!R11,G32="oui"),Calculs!V11))))</f>
        <v>0</v>
      </c>
      <c r="I32" s="58">
        <f>IF(OR(H32="U insuffisant",H32="U incohérent"),0,H32*'Encodage données'!E73)</f>
        <v>0</v>
      </c>
      <c r="J32" s="116"/>
      <c r="K32" s="116"/>
    </row>
    <row r="33" spans="1:11" x14ac:dyDescent="0.25">
      <c r="A33" s="116"/>
      <c r="B33" s="116"/>
      <c r="C33" s="131" t="str">
        <f t="shared" si="0"/>
        <v xml:space="preserve"> </v>
      </c>
      <c r="D33" s="55">
        <v>0</v>
      </c>
      <c r="E33" s="228">
        <v>0</v>
      </c>
      <c r="F33" s="32">
        <v>0</v>
      </c>
      <c r="G33" s="54">
        <f>IF(E33="Pas de modification","-",'Encodage données'!J74)</f>
        <v>0</v>
      </c>
      <c r="H33" s="220" cm="1">
        <f t="array" ref="H33" xml:space="preserve"> IF(E33='Données Giant'!$A$22,0,_xlfn.IFS(E33=0,0,AND(E33="Pas de modification",AND(F33&gt; _xlfn.XLOOKUP('Encodage données'!$H74,'Données Giant'!$A$8:$A$21,'Données Giant'!$J$8:$J$21),F33&lt;= _xlfn.XLOOKUP('Encodage données'!$H74,'Données Giant'!$A$8:$A$21,'Données Giant'!$K$8:$K$21))),0,F33&lt;= _xlfn.XLOOKUP('Encodage données'!$H74,'Données Giant'!$A$8:$A$21,'Données Giant'!$J$8:$J$21),"U incohérent",F33&gt; _xlfn.XLOOKUP('Encodage données'!$H74,'Données Giant'!$A$8:$A$21,'Données Giant'!$K$8:$K$21), "U incohérent",AND(F33&lt;= _xlfn.XLOOKUP('Encodage données'!$H74,'Données Giant'!$A$8:$A$21,'Données Giant'!$K$8:$K$21),F33&gt; _xlfn.XLOOKUP('Encodage données'!$H74,'Données Giant'!$A$8:$A$21,'Données Giant'!$J$8:$J$21)),_xlfn.IFS(Calculs!Q12=Calculs!R12,_xlfn.IFS(F33&gt;Calculs!Q12,"U insuffisant",AND(F33&lt;=Calculs!Q12,OR(G33="non",G33=0)),Calculs!S12,AND(F33&lt;=Calculs!Q12,G33="oui"),Calculs!T12),Calculs!Q12&lt;&gt;Calculs!R12,_xlfn.IFS(F33&gt;Calculs!Q12,"U insuffisant",AND(F33&lt;=Calculs!Q12,F33&gt;Calculs!R12,OR(G33="non",G33=0)),Calculs!S12,AND(F33&lt;=Calculs!Q12,F33&gt;Calculs!R12,G33="oui"),Calculs!T12,AND(F33&lt;=Calculs!R12,OR(G33="non",G33=0)),Calculs!U12,AND(F33&lt;=Calculs!R12,G33="oui"),Calculs!V12))))</f>
        <v>0</v>
      </c>
      <c r="I33" s="58">
        <f>IF(OR(H33="U insuffisant",H33="U incohérent"),0,H33*'Encodage données'!E74)</f>
        <v>0</v>
      </c>
      <c r="J33" s="116"/>
      <c r="K33" s="116"/>
    </row>
    <row r="34" spans="1:11" x14ac:dyDescent="0.25">
      <c r="A34" s="116"/>
      <c r="B34" s="116"/>
      <c r="C34" s="131" t="str">
        <f t="shared" si="0"/>
        <v xml:space="preserve"> </v>
      </c>
      <c r="D34" s="55">
        <v>0</v>
      </c>
      <c r="E34" s="228">
        <v>0</v>
      </c>
      <c r="F34" s="32">
        <v>0</v>
      </c>
      <c r="G34" s="54">
        <f>IF(E34="Pas de modification","-",'Encodage données'!J75)</f>
        <v>0</v>
      </c>
      <c r="H34" s="220" cm="1">
        <f t="array" ref="H34" xml:space="preserve"> IF(E34='Données Giant'!$A$22,0,_xlfn.IFS(E34=0,0,AND(E34="Pas de modification",AND(F34&gt; _xlfn.XLOOKUP('Encodage données'!$H75,'Données Giant'!$A$8:$A$21,'Données Giant'!$J$8:$J$21),F34&lt;= _xlfn.XLOOKUP('Encodage données'!$H75,'Données Giant'!$A$8:$A$21,'Données Giant'!$K$8:$K$21))),0,F34&lt;= _xlfn.XLOOKUP('Encodage données'!$H75,'Données Giant'!$A$8:$A$21,'Données Giant'!$J$8:$J$21),"U incohérent",F34&gt; _xlfn.XLOOKUP('Encodage données'!$H75,'Données Giant'!$A$8:$A$21,'Données Giant'!$K$8:$K$21), "U incohérent",AND(F34&lt;= _xlfn.XLOOKUP('Encodage données'!$H75,'Données Giant'!$A$8:$A$21,'Données Giant'!$K$8:$K$21),F34&gt; _xlfn.XLOOKUP('Encodage données'!$H75,'Données Giant'!$A$8:$A$21,'Données Giant'!$J$8:$J$21)),_xlfn.IFS(Calculs!Q13=Calculs!R13,_xlfn.IFS(F34&gt;Calculs!Q13,"U insuffisant",AND(F34&lt;=Calculs!Q13,OR(G34="non",G34=0)),Calculs!S13,AND(F34&lt;=Calculs!Q13,G34="oui"),Calculs!T13),Calculs!Q13&lt;&gt;Calculs!R13,_xlfn.IFS(F34&gt;Calculs!Q13,"U insuffisant",AND(F34&lt;=Calculs!Q13,F34&gt;Calculs!R13,OR(G34="non",G34=0)),Calculs!S13,AND(F34&lt;=Calculs!Q13,F34&gt;Calculs!R13,G34="oui"),Calculs!T13,AND(F34&lt;=Calculs!R13,OR(G34="non",G34=0)),Calculs!U13,AND(F34&lt;=Calculs!R13,G34="oui"),Calculs!V13))))</f>
        <v>0</v>
      </c>
      <c r="I34" s="58">
        <f>IF(OR(H34="U insuffisant",H34="U incohérent"),0,H34*'Encodage données'!E75)</f>
        <v>0</v>
      </c>
      <c r="J34" s="116"/>
      <c r="K34" s="116"/>
    </row>
    <row r="35" spans="1:11" x14ac:dyDescent="0.25">
      <c r="A35" s="116"/>
      <c r="B35" s="116"/>
      <c r="C35" s="131" t="str">
        <f t="shared" si="0"/>
        <v xml:space="preserve"> </v>
      </c>
      <c r="D35" s="55">
        <v>0</v>
      </c>
      <c r="E35" s="228">
        <v>0</v>
      </c>
      <c r="F35" s="32">
        <v>0</v>
      </c>
      <c r="G35" s="54">
        <f>IF(E35="Pas de modification","-",'Encodage données'!J76)</f>
        <v>0</v>
      </c>
      <c r="H35" s="220" cm="1">
        <f t="array" ref="H35" xml:space="preserve"> IF(E35='Données Giant'!$A$22,0,_xlfn.IFS(E35=0,0,AND(E35="Pas de modification",AND(F35&gt; _xlfn.XLOOKUP('Encodage données'!$H76,'Données Giant'!$A$8:$A$21,'Données Giant'!$J$8:$J$21),F35&lt;= _xlfn.XLOOKUP('Encodage données'!$H76,'Données Giant'!$A$8:$A$21,'Données Giant'!$K$8:$K$21))),0,F35&lt;= _xlfn.XLOOKUP('Encodage données'!$H76,'Données Giant'!$A$8:$A$21,'Données Giant'!$J$8:$J$21),"U incohérent",F35&gt; _xlfn.XLOOKUP('Encodage données'!$H76,'Données Giant'!$A$8:$A$21,'Données Giant'!$K$8:$K$21), "U incohérent",AND(F35&lt;= _xlfn.XLOOKUP('Encodage données'!$H76,'Données Giant'!$A$8:$A$21,'Données Giant'!$K$8:$K$21),F35&gt; _xlfn.XLOOKUP('Encodage données'!$H76,'Données Giant'!$A$8:$A$21,'Données Giant'!$J$8:$J$21)),_xlfn.IFS(Calculs!Q14=Calculs!R14,_xlfn.IFS(F35&gt;Calculs!Q14,"U insuffisant",AND(F35&lt;=Calculs!Q14,OR(G35="non",G35=0)),Calculs!S14,AND(F35&lt;=Calculs!Q14,G35="oui"),Calculs!T14),Calculs!Q14&lt;&gt;Calculs!R14,_xlfn.IFS(F35&gt;Calculs!Q14,"U insuffisant",AND(F35&lt;=Calculs!Q14,F35&gt;Calculs!R14,OR(G35="non",G35=0)),Calculs!S14,AND(F35&lt;=Calculs!Q14,F35&gt;Calculs!R14,G35="oui"),Calculs!T14,AND(F35&lt;=Calculs!R14,OR(G35="non",G35=0)),Calculs!U14,AND(F35&lt;=Calculs!R14,G35="oui"),Calculs!V14))))</f>
        <v>0</v>
      </c>
      <c r="I35" s="58">
        <f>IF(OR(H35="U insuffisant",H35="U incohérent"),0,H35*'Encodage données'!E76)</f>
        <v>0</v>
      </c>
      <c r="J35" s="116"/>
      <c r="K35" s="116"/>
    </row>
    <row r="36" spans="1:11" x14ac:dyDescent="0.25">
      <c r="A36" s="116"/>
      <c r="B36" s="116"/>
      <c r="C36" s="131" t="str">
        <f t="shared" si="0"/>
        <v xml:space="preserve"> </v>
      </c>
      <c r="D36" s="55">
        <v>0</v>
      </c>
      <c r="E36" s="228">
        <v>0</v>
      </c>
      <c r="F36" s="32">
        <v>0</v>
      </c>
      <c r="G36" s="54">
        <f>IF(E36="Pas de modification","-",'Encodage données'!J77)</f>
        <v>0</v>
      </c>
      <c r="H36" s="220" cm="1">
        <f t="array" ref="H36" xml:space="preserve"> IF(E36='Données Giant'!$A$22,0,_xlfn.IFS(E36=0,0,AND(E36="Pas de modification",AND(F36&gt; _xlfn.XLOOKUP('Encodage données'!$H77,'Données Giant'!$A$8:$A$21,'Données Giant'!$J$8:$J$21),F36&lt;= _xlfn.XLOOKUP('Encodage données'!$H77,'Données Giant'!$A$8:$A$21,'Données Giant'!$K$8:$K$21))),0,F36&lt;= _xlfn.XLOOKUP('Encodage données'!$H77,'Données Giant'!$A$8:$A$21,'Données Giant'!$J$8:$J$21),"U incohérent",F36&gt; _xlfn.XLOOKUP('Encodage données'!$H77,'Données Giant'!$A$8:$A$21,'Données Giant'!$K$8:$K$21), "U incohérent",AND(F36&lt;= _xlfn.XLOOKUP('Encodage données'!$H77,'Données Giant'!$A$8:$A$21,'Données Giant'!$K$8:$K$21),F36&gt; _xlfn.XLOOKUP('Encodage données'!$H77,'Données Giant'!$A$8:$A$21,'Données Giant'!$J$8:$J$21)),_xlfn.IFS(Calculs!Q15=Calculs!R15,_xlfn.IFS(F36&gt;Calculs!Q15,"U insuffisant",AND(F36&lt;=Calculs!Q15,OR(G36="non",G36=0)),Calculs!S15,AND(F36&lt;=Calculs!Q15,G36="oui"),Calculs!T15),Calculs!Q15&lt;&gt;Calculs!R15,_xlfn.IFS(F36&gt;Calculs!Q15,"U insuffisant",AND(F36&lt;=Calculs!Q15,F36&gt;Calculs!R15,OR(G36="non",G36=0)),Calculs!S15,AND(F36&lt;=Calculs!Q15,F36&gt;Calculs!R15,G36="oui"),Calculs!T15,AND(F36&lt;=Calculs!R15,OR(G36="non",G36=0)),Calculs!U15,AND(F36&lt;=Calculs!R15,G36="oui"),Calculs!V15))))</f>
        <v>0</v>
      </c>
      <c r="I36" s="58">
        <f>IF(OR(H36="U insuffisant",H36="U incohérent"),0,H36*'Encodage données'!E77)</f>
        <v>0</v>
      </c>
      <c r="J36" s="116"/>
      <c r="K36" s="116"/>
    </row>
    <row r="37" spans="1:11" x14ac:dyDescent="0.25">
      <c r="A37" s="116"/>
      <c r="B37" s="116"/>
      <c r="C37" s="131" t="str">
        <f t="shared" si="0"/>
        <v xml:space="preserve"> </v>
      </c>
      <c r="D37" s="55">
        <v>0</v>
      </c>
      <c r="E37" s="228">
        <v>0</v>
      </c>
      <c r="F37" s="32">
        <v>0</v>
      </c>
      <c r="G37" s="54">
        <f>IF(E37="Pas de modification","-",'Encodage données'!J78)</f>
        <v>0</v>
      </c>
      <c r="H37" s="220" cm="1">
        <f t="array" ref="H37" xml:space="preserve"> IF(E37='Données Giant'!$A$22,0,_xlfn.IFS(E37=0,0,AND(E37="Pas de modification",AND(F37&gt; _xlfn.XLOOKUP('Encodage données'!$H78,'Données Giant'!$A$8:$A$21,'Données Giant'!$J$8:$J$21),F37&lt;= _xlfn.XLOOKUP('Encodage données'!$H78,'Données Giant'!$A$8:$A$21,'Données Giant'!$K$8:$K$21))),0,F37&lt;= _xlfn.XLOOKUP('Encodage données'!$H78,'Données Giant'!$A$8:$A$21,'Données Giant'!$J$8:$J$21),"U incohérent",F37&gt; _xlfn.XLOOKUP('Encodage données'!$H78,'Données Giant'!$A$8:$A$21,'Données Giant'!$K$8:$K$21), "U incohérent",AND(F37&lt;= _xlfn.XLOOKUP('Encodage données'!$H78,'Données Giant'!$A$8:$A$21,'Données Giant'!$K$8:$K$21),F37&gt; _xlfn.XLOOKUP('Encodage données'!$H78,'Données Giant'!$A$8:$A$21,'Données Giant'!$J$8:$J$21)),_xlfn.IFS(Calculs!Q16=Calculs!R16,_xlfn.IFS(F37&gt;Calculs!Q16,"U insuffisant",AND(F37&lt;=Calculs!Q16,OR(G37="non",G37=0)),Calculs!S16,AND(F37&lt;=Calculs!Q16,G37="oui"),Calculs!T16),Calculs!Q16&lt;&gt;Calculs!R16,_xlfn.IFS(F37&gt;Calculs!Q16,"U insuffisant",AND(F37&lt;=Calculs!Q16,F37&gt;Calculs!R16,OR(G37="non",G37=0)),Calculs!S16,AND(F37&lt;=Calculs!Q16,F37&gt;Calculs!R16,G37="oui"),Calculs!T16,AND(F37&lt;=Calculs!R16,OR(G37="non",G37=0)),Calculs!U16,AND(F37&lt;=Calculs!R16,G37="oui"),Calculs!V16))))</f>
        <v>0</v>
      </c>
      <c r="I37" s="58">
        <f>IF(OR(H37="U insuffisant",H37="U incohérent"),0,H37*'Encodage données'!E78)</f>
        <v>0</v>
      </c>
      <c r="J37" s="116"/>
      <c r="K37" s="116"/>
    </row>
    <row r="38" spans="1:11" x14ac:dyDescent="0.25">
      <c r="A38" s="116"/>
      <c r="B38" s="116"/>
      <c r="C38" s="131" t="str">
        <f t="shared" si="0"/>
        <v xml:space="preserve"> </v>
      </c>
      <c r="D38" s="55">
        <v>0</v>
      </c>
      <c r="E38" s="228">
        <v>0</v>
      </c>
      <c r="F38" s="32">
        <v>0</v>
      </c>
      <c r="G38" s="54">
        <f>IF(E38="Pas de modification","-",'Encodage données'!J79)</f>
        <v>0</v>
      </c>
      <c r="H38" s="220" cm="1">
        <f t="array" ref="H38" xml:space="preserve"> IF(E38='Données Giant'!$A$22,0,_xlfn.IFS(E38=0,0,AND(E38="Pas de modification",AND(F38&gt; _xlfn.XLOOKUP('Encodage données'!$H79,'Données Giant'!$A$8:$A$21,'Données Giant'!$J$8:$J$21),F38&lt;= _xlfn.XLOOKUP('Encodage données'!$H79,'Données Giant'!$A$8:$A$21,'Données Giant'!$K$8:$K$21))),0,F38&lt;= _xlfn.XLOOKUP('Encodage données'!$H79,'Données Giant'!$A$8:$A$21,'Données Giant'!$J$8:$J$21),"U incohérent",F38&gt; _xlfn.XLOOKUP('Encodage données'!$H79,'Données Giant'!$A$8:$A$21,'Données Giant'!$K$8:$K$21), "U incohérent",AND(F38&lt;= _xlfn.XLOOKUP('Encodage données'!$H79,'Données Giant'!$A$8:$A$21,'Données Giant'!$K$8:$K$21),F38&gt; _xlfn.XLOOKUP('Encodage données'!$H79,'Données Giant'!$A$8:$A$21,'Données Giant'!$J$8:$J$21)),_xlfn.IFS(Calculs!Q17=Calculs!R17,_xlfn.IFS(F38&gt;Calculs!Q17,"U insuffisant",AND(F38&lt;=Calculs!Q17,OR(G38="non",G38=0)),Calculs!S17,AND(F38&lt;=Calculs!Q17,G38="oui"),Calculs!T17),Calculs!Q17&lt;&gt;Calculs!R17,_xlfn.IFS(F38&gt;Calculs!Q17,"U insuffisant",AND(F38&lt;=Calculs!Q17,F38&gt;Calculs!R17,OR(G38="non",G38=0)),Calculs!S17,AND(F38&lt;=Calculs!Q17,F38&gt;Calculs!R17,G38="oui"),Calculs!T17,AND(F38&lt;=Calculs!R17,OR(G38="non",G38=0)),Calculs!U17,AND(F38&lt;=Calculs!R17,G38="oui"),Calculs!V17))))</f>
        <v>0</v>
      </c>
      <c r="I38" s="58">
        <f>IF(OR(H38="U insuffisant",H38="U incohérent"),0,H38*'Encodage données'!E79)</f>
        <v>0</v>
      </c>
      <c r="J38" s="116"/>
      <c r="K38" s="116"/>
    </row>
    <row r="39" spans="1:11" x14ac:dyDescent="0.25">
      <c r="A39" s="116"/>
      <c r="B39" s="116"/>
      <c r="C39" s="131" t="str">
        <f t="shared" si="0"/>
        <v xml:space="preserve"> </v>
      </c>
      <c r="D39" s="55">
        <v>0</v>
      </c>
      <c r="E39" s="228">
        <v>0</v>
      </c>
      <c r="F39" s="32">
        <v>0</v>
      </c>
      <c r="G39" s="54">
        <f>IF(E39="Pas de modification","-",'Encodage données'!J80)</f>
        <v>0</v>
      </c>
      <c r="H39" s="220" cm="1">
        <f t="array" ref="H39" xml:space="preserve"> IF(E39='Données Giant'!$A$22,0,_xlfn.IFS(E39=0,0,AND(E39="Pas de modification",AND(F39&gt; _xlfn.XLOOKUP('Encodage données'!$H80,'Données Giant'!$A$8:$A$21,'Données Giant'!$J$8:$J$21),F39&lt;= _xlfn.XLOOKUP('Encodage données'!$H80,'Données Giant'!$A$8:$A$21,'Données Giant'!$K$8:$K$21))),0,F39&lt;= _xlfn.XLOOKUP('Encodage données'!$H80,'Données Giant'!$A$8:$A$21,'Données Giant'!$J$8:$J$21),"U incohérent",F39&gt; _xlfn.XLOOKUP('Encodage données'!$H80,'Données Giant'!$A$8:$A$21,'Données Giant'!$K$8:$K$21), "U incohérent",AND(F39&lt;= _xlfn.XLOOKUP('Encodage données'!$H80,'Données Giant'!$A$8:$A$21,'Données Giant'!$K$8:$K$21),F39&gt; _xlfn.XLOOKUP('Encodage données'!$H80,'Données Giant'!$A$8:$A$21,'Données Giant'!$J$8:$J$21)),_xlfn.IFS(Calculs!Q18=Calculs!R18,_xlfn.IFS(F39&gt;Calculs!Q18,"U insuffisant",AND(F39&lt;=Calculs!Q18,OR(G39="non",G39=0)),Calculs!S18,AND(F39&lt;=Calculs!Q18,G39="oui"),Calculs!T18),Calculs!Q18&lt;&gt;Calculs!R18,_xlfn.IFS(F39&gt;Calculs!Q18,"U insuffisant",AND(F39&lt;=Calculs!Q18,F39&gt;Calculs!R18,OR(G39="non",G39=0)),Calculs!S18,AND(F39&lt;=Calculs!Q18,F39&gt;Calculs!R18,G39="oui"),Calculs!T18,AND(F39&lt;=Calculs!R18,OR(G39="non",G39=0)),Calculs!U18,AND(F39&lt;=Calculs!R18,G39="oui"),Calculs!V18))))</f>
        <v>0</v>
      </c>
      <c r="I39" s="58">
        <f>IF(OR(H39="U insuffisant",H39="U incohérent"),0,H39*'Encodage données'!E80)</f>
        <v>0</v>
      </c>
      <c r="J39" s="116"/>
      <c r="K39" s="116"/>
    </row>
    <row r="40" spans="1:11" x14ac:dyDescent="0.25">
      <c r="A40" s="116"/>
      <c r="B40" s="116"/>
      <c r="C40" s="131" t="str">
        <f t="shared" si="0"/>
        <v xml:space="preserve"> </v>
      </c>
      <c r="D40" s="55">
        <v>0</v>
      </c>
      <c r="E40" s="228">
        <v>0</v>
      </c>
      <c r="F40" s="32">
        <v>0</v>
      </c>
      <c r="G40" s="54">
        <f>IF(E40="Pas de modification","-",'Encodage données'!J81)</f>
        <v>0</v>
      </c>
      <c r="H40" s="220" cm="1">
        <f t="array" ref="H40" xml:space="preserve"> IF(E40='Données Giant'!$A$22,0,_xlfn.IFS(E40=0,0,AND(E40="Pas de modification",AND(F40&gt; _xlfn.XLOOKUP('Encodage données'!$H81,'Données Giant'!$A$8:$A$21,'Données Giant'!$J$8:$J$21),F40&lt;= _xlfn.XLOOKUP('Encodage données'!$H81,'Données Giant'!$A$8:$A$21,'Données Giant'!$K$8:$K$21))),0,F40&lt;= _xlfn.XLOOKUP('Encodage données'!$H81,'Données Giant'!$A$8:$A$21,'Données Giant'!$J$8:$J$21),"U incohérent",F40&gt; _xlfn.XLOOKUP('Encodage données'!$H81,'Données Giant'!$A$8:$A$21,'Données Giant'!$K$8:$K$21), "U incohérent",AND(F40&lt;= _xlfn.XLOOKUP('Encodage données'!$H81,'Données Giant'!$A$8:$A$21,'Données Giant'!$K$8:$K$21),F40&gt; _xlfn.XLOOKUP('Encodage données'!$H81,'Données Giant'!$A$8:$A$21,'Données Giant'!$J$8:$J$21)),_xlfn.IFS(Calculs!Q19=Calculs!R19,_xlfn.IFS(F40&gt;Calculs!Q19,"U insuffisant",AND(F40&lt;=Calculs!Q19,OR(G40="non",G40=0)),Calculs!S19,AND(F40&lt;=Calculs!Q19,G40="oui"),Calculs!T19),Calculs!Q19&lt;&gt;Calculs!R19,_xlfn.IFS(F40&gt;Calculs!Q19,"U insuffisant",AND(F40&lt;=Calculs!Q19,F40&gt;Calculs!R19,OR(G40="non",G40=0)),Calculs!S19,AND(F40&lt;=Calculs!Q19,F40&gt;Calculs!R19,G40="oui"),Calculs!T19,AND(F40&lt;=Calculs!R19,OR(G40="non",G40=0)),Calculs!U19,AND(F40&lt;=Calculs!R19,G40="oui"),Calculs!V19))))</f>
        <v>0</v>
      </c>
      <c r="I40" s="58">
        <f>IF(OR(H40="U insuffisant",H40="U incohérent"),0,H40*'Encodage données'!E81)</f>
        <v>0</v>
      </c>
      <c r="J40" s="116"/>
      <c r="K40" s="116"/>
    </row>
    <row r="41" spans="1:11" x14ac:dyDescent="0.25">
      <c r="A41" s="116"/>
      <c r="B41" s="116"/>
      <c r="C41" s="131" t="str">
        <f t="shared" si="0"/>
        <v xml:space="preserve"> </v>
      </c>
      <c r="D41" s="55">
        <v>0</v>
      </c>
      <c r="E41" s="228">
        <v>0</v>
      </c>
      <c r="F41" s="32">
        <v>0</v>
      </c>
      <c r="G41" s="54">
        <f>IF(E41="Pas de modification","-",'Encodage données'!J82)</f>
        <v>0</v>
      </c>
      <c r="H41" s="220" cm="1">
        <f t="array" ref="H41" xml:space="preserve"> IF(E41='Données Giant'!$A$22,0,_xlfn.IFS(E41=0,0,AND(E41="Pas de modification",AND(F41&gt; _xlfn.XLOOKUP('Encodage données'!$H82,'Données Giant'!$A$8:$A$21,'Données Giant'!$J$8:$J$21),F41&lt;= _xlfn.XLOOKUP('Encodage données'!$H82,'Données Giant'!$A$8:$A$21,'Données Giant'!$K$8:$K$21))),0,F41&lt;= _xlfn.XLOOKUP('Encodage données'!$H82,'Données Giant'!$A$8:$A$21,'Données Giant'!$J$8:$J$21),"U incohérent",F41&gt; _xlfn.XLOOKUP('Encodage données'!$H82,'Données Giant'!$A$8:$A$21,'Données Giant'!$K$8:$K$21), "U incohérent",AND(F41&lt;= _xlfn.XLOOKUP('Encodage données'!$H82,'Données Giant'!$A$8:$A$21,'Données Giant'!$K$8:$K$21),F41&gt; _xlfn.XLOOKUP('Encodage données'!$H82,'Données Giant'!$A$8:$A$21,'Données Giant'!$J$8:$J$21)),_xlfn.IFS(Calculs!Q20=Calculs!R20,_xlfn.IFS(F41&gt;Calculs!Q20,"U insuffisant",AND(F41&lt;=Calculs!Q20,OR(G41="non",G41=0)),Calculs!S20,AND(F41&lt;=Calculs!Q20,G41="oui"),Calculs!T20),Calculs!Q20&lt;&gt;Calculs!R20,_xlfn.IFS(F41&gt;Calculs!Q20,"U insuffisant",AND(F41&lt;=Calculs!Q20,F41&gt;Calculs!R20,OR(G41="non",G41=0)),Calculs!S20,AND(F41&lt;=Calculs!Q20,F41&gt;Calculs!R20,G41="oui"),Calculs!T20,AND(F41&lt;=Calculs!R20,OR(G41="non",G41=0)),Calculs!U20,AND(F41&lt;=Calculs!R20,G41="oui"),Calculs!V20))))</f>
        <v>0</v>
      </c>
      <c r="I41" s="58">
        <f>IF(OR(H41="U insuffisant",H41="U incohérent"),0,H41*'Encodage données'!E82)</f>
        <v>0</v>
      </c>
      <c r="J41" s="116"/>
      <c r="K41" s="116"/>
    </row>
    <row r="42" spans="1:11" x14ac:dyDescent="0.25">
      <c r="A42" s="116"/>
      <c r="B42" s="116"/>
      <c r="C42" s="131" t="str">
        <f t="shared" si="0"/>
        <v xml:space="preserve"> </v>
      </c>
      <c r="D42" s="55">
        <v>0</v>
      </c>
      <c r="E42" s="228">
        <v>0</v>
      </c>
      <c r="F42" s="32">
        <v>0</v>
      </c>
      <c r="G42" s="54">
        <f>IF(E42="Pas de modification","-",'Encodage données'!J83)</f>
        <v>0</v>
      </c>
      <c r="H42" s="220" cm="1">
        <f t="array" ref="H42" xml:space="preserve"> IF(E42='Données Giant'!$A$22,0,_xlfn.IFS(E42=0,0,AND(E42="Pas de modification",AND(F42&gt; _xlfn.XLOOKUP('Encodage données'!$H83,'Données Giant'!$A$8:$A$21,'Données Giant'!$J$8:$J$21),F42&lt;= _xlfn.XLOOKUP('Encodage données'!$H83,'Données Giant'!$A$8:$A$21,'Données Giant'!$K$8:$K$21))),0,F42&lt;= _xlfn.XLOOKUP('Encodage données'!$H83,'Données Giant'!$A$8:$A$21,'Données Giant'!$J$8:$J$21),"U incohérent",F42&gt; _xlfn.XLOOKUP('Encodage données'!$H83,'Données Giant'!$A$8:$A$21,'Données Giant'!$K$8:$K$21), "U incohérent",AND(F42&lt;= _xlfn.XLOOKUP('Encodage données'!$H83,'Données Giant'!$A$8:$A$21,'Données Giant'!$K$8:$K$21),F42&gt; _xlfn.XLOOKUP('Encodage données'!$H83,'Données Giant'!$A$8:$A$21,'Données Giant'!$J$8:$J$21)),_xlfn.IFS(Calculs!Q21=Calculs!R21,_xlfn.IFS(F42&gt;Calculs!Q21,"U insuffisant",AND(F42&lt;=Calculs!Q21,OR(G42="non",G42=0)),Calculs!S21,AND(F42&lt;=Calculs!Q21,G42="oui"),Calculs!T21),Calculs!Q21&lt;&gt;Calculs!R21,_xlfn.IFS(F42&gt;Calculs!Q21,"U insuffisant",AND(F42&lt;=Calculs!Q21,F42&gt;Calculs!R21,OR(G42="non",G42=0)),Calculs!S21,AND(F42&lt;=Calculs!Q21,F42&gt;Calculs!R21,G42="oui"),Calculs!T21,AND(F42&lt;=Calculs!R21,OR(G42="non",G42=0)),Calculs!U21,AND(F42&lt;=Calculs!R21,G42="oui"),Calculs!V21))))</f>
        <v>0</v>
      </c>
      <c r="I42" s="58">
        <f>IF(OR(H42="U insuffisant",H42="U incohérent"),0,H42*'Encodage données'!E83)</f>
        <v>0</v>
      </c>
      <c r="J42" s="116"/>
      <c r="K42" s="116"/>
    </row>
    <row r="43" spans="1:11" x14ac:dyDescent="0.25">
      <c r="A43" s="116"/>
      <c r="B43" s="116"/>
      <c r="C43" s="131" t="str">
        <f t="shared" si="0"/>
        <v xml:space="preserve"> </v>
      </c>
      <c r="D43" s="55">
        <v>0</v>
      </c>
      <c r="E43" s="228">
        <v>0</v>
      </c>
      <c r="F43" s="32">
        <v>0</v>
      </c>
      <c r="G43" s="54">
        <f>IF(E43="Pas de modification","-",'Encodage données'!J84)</f>
        <v>0</v>
      </c>
      <c r="H43" s="220" cm="1">
        <f t="array" ref="H43" xml:space="preserve"> IF(E43='Données Giant'!$A$22,0,_xlfn.IFS(E43=0,0,AND(E43="Pas de modification",AND(F43&gt; _xlfn.XLOOKUP('Encodage données'!$H84,'Données Giant'!$A$8:$A$21,'Données Giant'!$J$8:$J$21),F43&lt;= _xlfn.XLOOKUP('Encodage données'!$H84,'Données Giant'!$A$8:$A$21,'Données Giant'!$K$8:$K$21))),0,F43&lt;= _xlfn.XLOOKUP('Encodage données'!$H84,'Données Giant'!$A$8:$A$21,'Données Giant'!$J$8:$J$21),"U incohérent",F43&gt; _xlfn.XLOOKUP('Encodage données'!$H84,'Données Giant'!$A$8:$A$21,'Données Giant'!$K$8:$K$21), "U incohérent",AND(F43&lt;= _xlfn.XLOOKUP('Encodage données'!$H84,'Données Giant'!$A$8:$A$21,'Données Giant'!$K$8:$K$21),F43&gt; _xlfn.XLOOKUP('Encodage données'!$H84,'Données Giant'!$A$8:$A$21,'Données Giant'!$J$8:$J$21)),_xlfn.IFS(Calculs!Q22=Calculs!R22,_xlfn.IFS(F43&gt;Calculs!Q22,"U insuffisant",AND(F43&lt;=Calculs!Q22,OR(G43="non",G43=0)),Calculs!S22,AND(F43&lt;=Calculs!Q22,G43="oui"),Calculs!T22),Calculs!Q22&lt;&gt;Calculs!R22,_xlfn.IFS(F43&gt;Calculs!Q22,"U insuffisant",AND(F43&lt;=Calculs!Q22,F43&gt;Calculs!R22,OR(G43="non",G43=0)),Calculs!S22,AND(F43&lt;=Calculs!Q22,F43&gt;Calculs!R22,G43="oui"),Calculs!T22,AND(F43&lt;=Calculs!R22,OR(G43="non",G43=0)),Calculs!U22,AND(F43&lt;=Calculs!R22,G43="oui"),Calculs!V22))))</f>
        <v>0</v>
      </c>
      <c r="I43" s="58">
        <f>IF(OR(H43="U insuffisant",H43="U incohérent"),0,H43*'Encodage données'!E84)</f>
        <v>0</v>
      </c>
      <c r="J43" s="116"/>
      <c r="K43" s="116"/>
    </row>
    <row r="44" spans="1:11" x14ac:dyDescent="0.25">
      <c r="A44" s="116"/>
      <c r="B44" s="116"/>
      <c r="C44" s="131" t="str">
        <f t="shared" si="0"/>
        <v xml:space="preserve"> </v>
      </c>
      <c r="D44" s="55">
        <v>0</v>
      </c>
      <c r="E44" s="228">
        <v>0</v>
      </c>
      <c r="F44" s="32">
        <v>0</v>
      </c>
      <c r="G44" s="54">
        <f>IF(E44="Pas de modification","-",'Encodage données'!J85)</f>
        <v>0</v>
      </c>
      <c r="H44" s="220" cm="1">
        <f t="array" ref="H44" xml:space="preserve"> IF(E44='Données Giant'!$A$22,0,_xlfn.IFS(E44=0,0,AND(E44="Pas de modification",AND(F44&gt; _xlfn.XLOOKUP('Encodage données'!$H85,'Données Giant'!$A$8:$A$21,'Données Giant'!$J$8:$J$21),F44&lt;= _xlfn.XLOOKUP('Encodage données'!$H85,'Données Giant'!$A$8:$A$21,'Données Giant'!$K$8:$K$21))),0,F44&lt;= _xlfn.XLOOKUP('Encodage données'!$H85,'Données Giant'!$A$8:$A$21,'Données Giant'!$J$8:$J$21),"U incohérent",F44&gt; _xlfn.XLOOKUP('Encodage données'!$H85,'Données Giant'!$A$8:$A$21,'Données Giant'!$K$8:$K$21), "U incohérent",AND(F44&lt;= _xlfn.XLOOKUP('Encodage données'!$H85,'Données Giant'!$A$8:$A$21,'Données Giant'!$K$8:$K$21),F44&gt; _xlfn.XLOOKUP('Encodage données'!$H85,'Données Giant'!$A$8:$A$21,'Données Giant'!$J$8:$J$21)),_xlfn.IFS(Calculs!Q23=Calculs!R23,_xlfn.IFS(F44&gt;Calculs!Q23,"U insuffisant",AND(F44&lt;=Calculs!Q23,OR(G44="non",G44=0)),Calculs!S23,AND(F44&lt;=Calculs!Q23,G44="oui"),Calculs!T23),Calculs!Q23&lt;&gt;Calculs!R23,_xlfn.IFS(F44&gt;Calculs!Q23,"U insuffisant",AND(F44&lt;=Calculs!Q23,F44&gt;Calculs!R23,OR(G44="non",G44=0)),Calculs!S23,AND(F44&lt;=Calculs!Q23,F44&gt;Calculs!R23,G44="oui"),Calculs!T23,AND(F44&lt;=Calculs!R23,OR(G44="non",G44=0)),Calculs!U23,AND(F44&lt;=Calculs!R23,G44="oui"),Calculs!V23))))</f>
        <v>0</v>
      </c>
      <c r="I44" s="58">
        <f>IF(OR(H44="U insuffisant",H44="U incohérent"),0,H44*'Encodage données'!E85)</f>
        <v>0</v>
      </c>
      <c r="J44" s="116"/>
      <c r="K44" s="116"/>
    </row>
    <row r="45" spans="1:11" x14ac:dyDescent="0.25">
      <c r="A45" s="116"/>
      <c r="B45" s="116"/>
      <c r="C45" s="131" t="str">
        <f t="shared" si="0"/>
        <v xml:space="preserve"> </v>
      </c>
      <c r="D45" s="55">
        <v>0</v>
      </c>
      <c r="E45" s="228">
        <v>0</v>
      </c>
      <c r="F45" s="32">
        <v>0</v>
      </c>
      <c r="G45" s="54">
        <f>IF(E45="Pas de modification","-",'Encodage données'!J86)</f>
        <v>0</v>
      </c>
      <c r="H45" s="220" cm="1">
        <f t="array" ref="H45" xml:space="preserve"> IF(E45='Données Giant'!$A$22,0,_xlfn.IFS(E45=0,0,AND(E45="Pas de modification",AND(F45&gt; _xlfn.XLOOKUP('Encodage données'!$H86,'Données Giant'!$A$8:$A$21,'Données Giant'!$J$8:$J$21),F45&lt;= _xlfn.XLOOKUP('Encodage données'!$H86,'Données Giant'!$A$8:$A$21,'Données Giant'!$K$8:$K$21))),0,F45&lt;= _xlfn.XLOOKUP('Encodage données'!$H86,'Données Giant'!$A$8:$A$21,'Données Giant'!$J$8:$J$21),"U incohérent",F45&gt; _xlfn.XLOOKUP('Encodage données'!$H86,'Données Giant'!$A$8:$A$21,'Données Giant'!$K$8:$K$21), "U incohérent",AND(F45&lt;= _xlfn.XLOOKUP('Encodage données'!$H86,'Données Giant'!$A$8:$A$21,'Données Giant'!$K$8:$K$21),F45&gt; _xlfn.XLOOKUP('Encodage données'!$H86,'Données Giant'!$A$8:$A$21,'Données Giant'!$J$8:$J$21)),_xlfn.IFS(Calculs!Q24=Calculs!R24,_xlfn.IFS(F45&gt;Calculs!Q24,"U insuffisant",AND(F45&lt;=Calculs!Q24,OR(G45="non",G45=0)),Calculs!S24,AND(F45&lt;=Calculs!Q24,G45="oui"),Calculs!T24),Calculs!Q24&lt;&gt;Calculs!R24,_xlfn.IFS(F45&gt;Calculs!Q24,"U insuffisant",AND(F45&lt;=Calculs!Q24,F45&gt;Calculs!R24,OR(G45="non",G45=0)),Calculs!S24,AND(F45&lt;=Calculs!Q24,F45&gt;Calculs!R24,G45="oui"),Calculs!T24,AND(F45&lt;=Calculs!R24,OR(G45="non",G45=0)),Calculs!U24,AND(F45&lt;=Calculs!R24,G45="oui"),Calculs!V24))))</f>
        <v>0</v>
      </c>
      <c r="I45" s="58">
        <f>IF(OR(H45="U insuffisant",H45="U incohérent"),0,H45*'Encodage données'!E86)</f>
        <v>0</v>
      </c>
      <c r="J45" s="116"/>
      <c r="K45" s="116"/>
    </row>
    <row r="46" spans="1:11" x14ac:dyDescent="0.25">
      <c r="A46" s="116"/>
      <c r="B46" s="116"/>
      <c r="C46" s="131" t="str">
        <f t="shared" si="0"/>
        <v xml:space="preserve"> </v>
      </c>
      <c r="D46" s="55">
        <v>0</v>
      </c>
      <c r="E46" s="228">
        <v>0</v>
      </c>
      <c r="F46" s="32">
        <v>0</v>
      </c>
      <c r="G46" s="54">
        <f>IF(E46="Pas de modification","-",'Encodage données'!J87)</f>
        <v>0</v>
      </c>
      <c r="H46" s="220" cm="1">
        <f t="array" ref="H46" xml:space="preserve"> IF(E46='Données Giant'!$A$22,0,_xlfn.IFS(E46=0,0,AND(E46="Pas de modification",AND(F46&gt; _xlfn.XLOOKUP('Encodage données'!$H87,'Données Giant'!$A$8:$A$21,'Données Giant'!$J$8:$J$21),F46&lt;= _xlfn.XLOOKUP('Encodage données'!$H87,'Données Giant'!$A$8:$A$21,'Données Giant'!$K$8:$K$21))),0,F46&lt;= _xlfn.XLOOKUP('Encodage données'!$H87,'Données Giant'!$A$8:$A$21,'Données Giant'!$J$8:$J$21),"U incohérent",F46&gt; _xlfn.XLOOKUP('Encodage données'!$H87,'Données Giant'!$A$8:$A$21,'Données Giant'!$K$8:$K$21), "U incohérent",AND(F46&lt;= _xlfn.XLOOKUP('Encodage données'!$H87,'Données Giant'!$A$8:$A$21,'Données Giant'!$K$8:$K$21),F46&gt; _xlfn.XLOOKUP('Encodage données'!$H87,'Données Giant'!$A$8:$A$21,'Données Giant'!$J$8:$J$21)),_xlfn.IFS(Calculs!Q25=Calculs!R25,_xlfn.IFS(F46&gt;Calculs!Q25,"U insuffisant",AND(F46&lt;=Calculs!Q25,OR(G46="non",G46=0)),Calculs!S25,AND(F46&lt;=Calculs!Q25,G46="oui"),Calculs!T25),Calculs!Q25&lt;&gt;Calculs!R25,_xlfn.IFS(F46&gt;Calculs!Q25,"U insuffisant",AND(F46&lt;=Calculs!Q25,F46&gt;Calculs!R25,OR(G46="non",G46=0)),Calculs!S25,AND(F46&lt;=Calculs!Q25,F46&gt;Calculs!R25,G46="oui"),Calculs!T25,AND(F46&lt;=Calculs!R25,OR(G46="non",G46=0)),Calculs!U25,AND(F46&lt;=Calculs!R25,G46="oui"),Calculs!V25))))</f>
        <v>0</v>
      </c>
      <c r="I46" s="58">
        <f>IF(OR(H46="U insuffisant",H46="U incohérent"),0,H46*'Encodage données'!E87)</f>
        <v>0</v>
      </c>
      <c r="J46" s="116"/>
      <c r="K46" s="116"/>
    </row>
    <row r="47" spans="1:11" x14ac:dyDescent="0.25">
      <c r="A47" s="116"/>
      <c r="B47" s="116"/>
      <c r="C47" s="131" t="str">
        <f t="shared" si="0"/>
        <v xml:space="preserve"> </v>
      </c>
      <c r="D47" s="55">
        <v>0</v>
      </c>
      <c r="E47" s="228">
        <v>0</v>
      </c>
      <c r="F47" s="32">
        <v>0</v>
      </c>
      <c r="G47" s="54">
        <f>IF(E47="Pas de modification","-",'Encodage données'!J88)</f>
        <v>0</v>
      </c>
      <c r="H47" s="220" cm="1">
        <f t="array" ref="H47" xml:space="preserve"> IF(E47='Données Giant'!$A$22,0,_xlfn.IFS(E47=0,0,AND(E47="Pas de modification",AND(F47&gt; _xlfn.XLOOKUP('Encodage données'!$H88,'Données Giant'!$A$8:$A$21,'Données Giant'!$J$8:$J$21),F47&lt;= _xlfn.XLOOKUP('Encodage données'!$H88,'Données Giant'!$A$8:$A$21,'Données Giant'!$K$8:$K$21))),0,F47&lt;= _xlfn.XLOOKUP('Encodage données'!$H88,'Données Giant'!$A$8:$A$21,'Données Giant'!$J$8:$J$21),"U incohérent",F47&gt; _xlfn.XLOOKUP('Encodage données'!$H88,'Données Giant'!$A$8:$A$21,'Données Giant'!$K$8:$K$21), "U incohérent",AND(F47&lt;= _xlfn.XLOOKUP('Encodage données'!$H88,'Données Giant'!$A$8:$A$21,'Données Giant'!$K$8:$K$21),F47&gt; _xlfn.XLOOKUP('Encodage données'!$H88,'Données Giant'!$A$8:$A$21,'Données Giant'!$J$8:$J$21)),_xlfn.IFS(Calculs!Q26=Calculs!R26,_xlfn.IFS(F47&gt;Calculs!Q26,"U insuffisant",AND(F47&lt;=Calculs!Q26,OR(G47="non",G47=0)),Calculs!S26,AND(F47&lt;=Calculs!Q26,G47="oui"),Calculs!T26),Calculs!Q26&lt;&gt;Calculs!R26,_xlfn.IFS(F47&gt;Calculs!Q26,"U insuffisant",AND(F47&lt;=Calculs!Q26,F47&gt;Calculs!R26,OR(G47="non",G47=0)),Calculs!S26,AND(F47&lt;=Calculs!Q26,F47&gt;Calculs!R26,G47="oui"),Calculs!T26,AND(F47&lt;=Calculs!R26,OR(G47="non",G47=0)),Calculs!U26,AND(F47&lt;=Calculs!R26,G47="oui"),Calculs!V26))))</f>
        <v>0</v>
      </c>
      <c r="I47" s="58">
        <f>IF(OR(H47="U insuffisant",H47="U incohérent"),0,H47*'Encodage données'!E88)</f>
        <v>0</v>
      </c>
      <c r="J47" s="116"/>
      <c r="K47" s="116"/>
    </row>
    <row r="48" spans="1:11" x14ac:dyDescent="0.25">
      <c r="A48" s="116"/>
      <c r="B48" s="116"/>
      <c r="C48" s="131" t="str">
        <f t="shared" si="0"/>
        <v xml:space="preserve"> </v>
      </c>
      <c r="D48" s="55">
        <v>0</v>
      </c>
      <c r="E48" s="228">
        <v>0</v>
      </c>
      <c r="F48" s="32">
        <v>0</v>
      </c>
      <c r="G48" s="54">
        <f>IF(E48="Pas de modification","-",'Encodage données'!J89)</f>
        <v>0</v>
      </c>
      <c r="H48" s="220" cm="1">
        <f t="array" ref="H48" xml:space="preserve"> IF(E48='Données Giant'!$A$22,0,_xlfn.IFS(E48=0,0,AND(E48="Pas de modification",AND(F48&gt; _xlfn.XLOOKUP('Encodage données'!$H89,'Données Giant'!$A$8:$A$21,'Données Giant'!$J$8:$J$21),F48&lt;= _xlfn.XLOOKUP('Encodage données'!$H89,'Données Giant'!$A$8:$A$21,'Données Giant'!$K$8:$K$21))),0,F48&lt;= _xlfn.XLOOKUP('Encodage données'!$H89,'Données Giant'!$A$8:$A$21,'Données Giant'!$J$8:$J$21),"U incohérent",F48&gt; _xlfn.XLOOKUP('Encodage données'!$H89,'Données Giant'!$A$8:$A$21,'Données Giant'!$K$8:$K$21), "U incohérent",AND(F48&lt;= _xlfn.XLOOKUP('Encodage données'!$H89,'Données Giant'!$A$8:$A$21,'Données Giant'!$K$8:$K$21),F48&gt; _xlfn.XLOOKUP('Encodage données'!$H89,'Données Giant'!$A$8:$A$21,'Données Giant'!$J$8:$J$21)),_xlfn.IFS(Calculs!Q27=Calculs!R27,_xlfn.IFS(F48&gt;Calculs!Q27,"U insuffisant",AND(F48&lt;=Calculs!Q27,OR(G48="non",G48=0)),Calculs!S27,AND(F48&lt;=Calculs!Q27,G48="oui"),Calculs!T27),Calculs!Q27&lt;&gt;Calculs!R27,_xlfn.IFS(F48&gt;Calculs!Q27,"U insuffisant",AND(F48&lt;=Calculs!Q27,F48&gt;Calculs!R27,OR(G48="non",G48=0)),Calculs!S27,AND(F48&lt;=Calculs!Q27,F48&gt;Calculs!R27,G48="oui"),Calculs!T27,AND(F48&lt;=Calculs!R27,OR(G48="non",G48=0)),Calculs!U27,AND(F48&lt;=Calculs!R27,G48="oui"),Calculs!V27))))</f>
        <v>0</v>
      </c>
      <c r="I48" s="58">
        <f>IF(OR(H48="U insuffisant",H48="U incohérent"),0,H48*'Encodage données'!E89)</f>
        <v>0</v>
      </c>
      <c r="J48" s="116"/>
      <c r="K48" s="116"/>
    </row>
    <row r="49" spans="1:11" x14ac:dyDescent="0.25">
      <c r="A49" s="116"/>
      <c r="B49" s="116"/>
      <c r="C49" s="131" t="str">
        <f t="shared" si="0"/>
        <v xml:space="preserve"> </v>
      </c>
      <c r="D49" s="55">
        <v>0</v>
      </c>
      <c r="E49" s="228">
        <v>0</v>
      </c>
      <c r="F49" s="32">
        <v>0</v>
      </c>
      <c r="G49" s="54">
        <f>IF(E49="Pas de modification","-",'Encodage données'!J90)</f>
        <v>0</v>
      </c>
      <c r="H49" s="220" cm="1">
        <f t="array" ref="H49" xml:space="preserve"> IF(E49='Données Giant'!$A$22,0,_xlfn.IFS(E49=0,0,AND(E49="Pas de modification",AND(F49&gt; _xlfn.XLOOKUP('Encodage données'!$H90,'Données Giant'!$A$8:$A$21,'Données Giant'!$J$8:$J$21),F49&lt;= _xlfn.XLOOKUP('Encodage données'!$H90,'Données Giant'!$A$8:$A$21,'Données Giant'!$K$8:$K$21))),0,F49&lt;= _xlfn.XLOOKUP('Encodage données'!$H90,'Données Giant'!$A$8:$A$21,'Données Giant'!$J$8:$J$21),"U incohérent",F49&gt; _xlfn.XLOOKUP('Encodage données'!$H90,'Données Giant'!$A$8:$A$21,'Données Giant'!$K$8:$K$21), "U incohérent",AND(F49&lt;= _xlfn.XLOOKUP('Encodage données'!$H90,'Données Giant'!$A$8:$A$21,'Données Giant'!$K$8:$K$21),F49&gt; _xlfn.XLOOKUP('Encodage données'!$H90,'Données Giant'!$A$8:$A$21,'Données Giant'!$J$8:$J$21)),_xlfn.IFS(Calculs!Q28=Calculs!R28,_xlfn.IFS(F49&gt;Calculs!Q28,"U insuffisant",AND(F49&lt;=Calculs!Q28,OR(G49="non",G49=0)),Calculs!S28,AND(F49&lt;=Calculs!Q28,G49="oui"),Calculs!T28),Calculs!Q28&lt;&gt;Calculs!R28,_xlfn.IFS(F49&gt;Calculs!Q28,"U insuffisant",AND(F49&lt;=Calculs!Q28,F49&gt;Calculs!R28,OR(G49="non",G49=0)),Calculs!S28,AND(F49&lt;=Calculs!Q28,F49&gt;Calculs!R28,G49="oui"),Calculs!T28,AND(F49&lt;=Calculs!R28,OR(G49="non",G49=0)),Calculs!U28,AND(F49&lt;=Calculs!R28,G49="oui"),Calculs!V28))))</f>
        <v>0</v>
      </c>
      <c r="I49" s="58">
        <f>IF(OR(H49="U insuffisant",H49="U incohérent"),0,H49*'Encodage données'!E90)</f>
        <v>0</v>
      </c>
      <c r="J49" s="116"/>
      <c r="K49" s="116"/>
    </row>
    <row r="50" spans="1:11" x14ac:dyDescent="0.25">
      <c r="A50" s="116"/>
      <c r="B50" s="116"/>
      <c r="C50" s="131" t="str">
        <f t="shared" si="0"/>
        <v xml:space="preserve"> </v>
      </c>
      <c r="D50" s="55">
        <v>0</v>
      </c>
      <c r="E50" s="228">
        <v>0</v>
      </c>
      <c r="F50" s="32">
        <v>0</v>
      </c>
      <c r="G50" s="54">
        <f>IF(E50="Pas de modification","-",'Encodage données'!J91)</f>
        <v>0</v>
      </c>
      <c r="H50" s="220" cm="1">
        <f t="array" ref="H50" xml:space="preserve"> IF(E50='Données Giant'!$A$22,0,_xlfn.IFS(E50=0,0,AND(E50="Pas de modification",AND(F50&gt; _xlfn.XLOOKUP('Encodage données'!$H91,'Données Giant'!$A$8:$A$21,'Données Giant'!$J$8:$J$21),F50&lt;= _xlfn.XLOOKUP('Encodage données'!$H91,'Données Giant'!$A$8:$A$21,'Données Giant'!$K$8:$K$21))),0,F50&lt;= _xlfn.XLOOKUP('Encodage données'!$H91,'Données Giant'!$A$8:$A$21,'Données Giant'!$J$8:$J$21),"U incohérent",F50&gt; _xlfn.XLOOKUP('Encodage données'!$H91,'Données Giant'!$A$8:$A$21,'Données Giant'!$K$8:$K$21), "U incohérent",AND(F50&lt;= _xlfn.XLOOKUP('Encodage données'!$H91,'Données Giant'!$A$8:$A$21,'Données Giant'!$K$8:$K$21),F50&gt; _xlfn.XLOOKUP('Encodage données'!$H91,'Données Giant'!$A$8:$A$21,'Données Giant'!$J$8:$J$21)),_xlfn.IFS(Calculs!Q29=Calculs!R29,_xlfn.IFS(F50&gt;Calculs!Q29,"U insuffisant",AND(F50&lt;=Calculs!Q29,OR(G50="non",G50=0)),Calculs!S29,AND(F50&lt;=Calculs!Q29,G50="oui"),Calculs!T29),Calculs!Q29&lt;&gt;Calculs!R29,_xlfn.IFS(F50&gt;Calculs!Q29,"U insuffisant",AND(F50&lt;=Calculs!Q29,F50&gt;Calculs!R29,OR(G50="non",G50=0)),Calculs!S29,AND(F50&lt;=Calculs!Q29,F50&gt;Calculs!R29,G50="oui"),Calculs!T29,AND(F50&lt;=Calculs!R29,OR(G50="non",G50=0)),Calculs!U29,AND(F50&lt;=Calculs!R29,G50="oui"),Calculs!V29))))</f>
        <v>0</v>
      </c>
      <c r="I50" s="58">
        <f>IF(OR(H50="U insuffisant",H50="U incohérent"),0,H50*'Encodage données'!E91)</f>
        <v>0</v>
      </c>
      <c r="J50" s="116"/>
      <c r="K50" s="116"/>
    </row>
    <row r="51" spans="1:11" x14ac:dyDescent="0.25">
      <c r="A51" s="116"/>
      <c r="B51" s="116"/>
      <c r="C51" s="131" t="str">
        <f t="shared" si="0"/>
        <v xml:space="preserve"> </v>
      </c>
      <c r="D51" s="55">
        <v>0</v>
      </c>
      <c r="E51" s="228">
        <v>0</v>
      </c>
      <c r="F51" s="32">
        <v>0</v>
      </c>
      <c r="G51" s="54">
        <f>IF(E51="Pas de modification","-",'Encodage données'!J92)</f>
        <v>0</v>
      </c>
      <c r="H51" s="220" cm="1">
        <f t="array" ref="H51" xml:space="preserve"> IF(E51='Données Giant'!$A$22,0,_xlfn.IFS(E51=0,0,AND(E51="Pas de modification",AND(F51&gt; _xlfn.XLOOKUP('Encodage données'!$H92,'Données Giant'!$A$8:$A$21,'Données Giant'!$J$8:$J$21),F51&lt;= _xlfn.XLOOKUP('Encodage données'!$H92,'Données Giant'!$A$8:$A$21,'Données Giant'!$K$8:$K$21))),0,F51&lt;= _xlfn.XLOOKUP('Encodage données'!$H92,'Données Giant'!$A$8:$A$21,'Données Giant'!$J$8:$J$21),"U incohérent",F51&gt; _xlfn.XLOOKUP('Encodage données'!$H92,'Données Giant'!$A$8:$A$21,'Données Giant'!$K$8:$K$21), "U incohérent",AND(F51&lt;= _xlfn.XLOOKUP('Encodage données'!$H92,'Données Giant'!$A$8:$A$21,'Données Giant'!$K$8:$K$21),F51&gt; _xlfn.XLOOKUP('Encodage données'!$H92,'Données Giant'!$A$8:$A$21,'Données Giant'!$J$8:$J$21)),_xlfn.IFS(Calculs!Q30=Calculs!R30,_xlfn.IFS(F51&gt;Calculs!Q30,"U insuffisant",AND(F51&lt;=Calculs!Q30,OR(G51="non",G51=0)),Calculs!S30,AND(F51&lt;=Calculs!Q30,G51="oui"),Calculs!T30),Calculs!Q30&lt;&gt;Calculs!R30,_xlfn.IFS(F51&gt;Calculs!Q30,"U insuffisant",AND(F51&lt;=Calculs!Q30,F51&gt;Calculs!R30,OR(G51="non",G51=0)),Calculs!S30,AND(F51&lt;=Calculs!Q30,F51&gt;Calculs!R30,G51="oui"),Calculs!T30,AND(F51&lt;=Calculs!R30,OR(G51="non",G51=0)),Calculs!U30,AND(F51&lt;=Calculs!R30,G51="oui"),Calculs!V30))))</f>
        <v>0</v>
      </c>
      <c r="I51" s="58">
        <f>IF(OR(H51="U insuffisant",H51="U incohérent"),0,H51*'Encodage données'!E92)</f>
        <v>0</v>
      </c>
      <c r="J51" s="116"/>
      <c r="K51" s="116"/>
    </row>
    <row r="52" spans="1:11" x14ac:dyDescent="0.25">
      <c r="A52" s="116"/>
      <c r="B52" s="116"/>
      <c r="C52" s="131" t="str">
        <f t="shared" si="0"/>
        <v xml:space="preserve"> </v>
      </c>
      <c r="D52" s="55">
        <v>0</v>
      </c>
      <c r="E52" s="228">
        <v>0</v>
      </c>
      <c r="F52" s="32">
        <v>0</v>
      </c>
      <c r="G52" s="54">
        <f>IF(E52="Pas de modification","-",'Encodage données'!J93)</f>
        <v>0</v>
      </c>
      <c r="H52" s="220" cm="1">
        <f t="array" ref="H52" xml:space="preserve"> IF(E52='Données Giant'!$A$22,0,_xlfn.IFS(E52=0,0,AND(E52="Pas de modification",AND(F52&gt; _xlfn.XLOOKUP('Encodage données'!$H93,'Données Giant'!$A$8:$A$21,'Données Giant'!$J$8:$J$21),F52&lt;= _xlfn.XLOOKUP('Encodage données'!$H93,'Données Giant'!$A$8:$A$21,'Données Giant'!$K$8:$K$21))),0,F52&lt;= _xlfn.XLOOKUP('Encodage données'!$H93,'Données Giant'!$A$8:$A$21,'Données Giant'!$J$8:$J$21),"U incohérent",F52&gt; _xlfn.XLOOKUP('Encodage données'!$H93,'Données Giant'!$A$8:$A$21,'Données Giant'!$K$8:$K$21), "U incohérent",AND(F52&lt;= _xlfn.XLOOKUP('Encodage données'!$H93,'Données Giant'!$A$8:$A$21,'Données Giant'!$K$8:$K$21),F52&gt; _xlfn.XLOOKUP('Encodage données'!$H93,'Données Giant'!$A$8:$A$21,'Données Giant'!$J$8:$J$21)),_xlfn.IFS(Calculs!Q31=Calculs!R31,_xlfn.IFS(F52&gt;Calculs!Q31,"U insuffisant",AND(F52&lt;=Calculs!Q31,OR(G52="non",G52=0)),Calculs!S31,AND(F52&lt;=Calculs!Q31,G52="oui"),Calculs!T31),Calculs!Q31&lt;&gt;Calculs!R31,_xlfn.IFS(F52&gt;Calculs!Q31,"U insuffisant",AND(F52&lt;=Calculs!Q31,F52&gt;Calculs!R31,OR(G52="non",G52=0)),Calculs!S31,AND(F52&lt;=Calculs!Q31,F52&gt;Calculs!R31,G52="oui"),Calculs!T31,AND(F52&lt;=Calculs!R31,OR(G52="non",G52=0)),Calculs!U31,AND(F52&lt;=Calculs!R31,G52="oui"),Calculs!V31))))</f>
        <v>0</v>
      </c>
      <c r="I52" s="58">
        <f>IF(OR(H52="U insuffisant",H52="U incohérent"),0,H52*'Encodage données'!E93)</f>
        <v>0</v>
      </c>
      <c r="J52" s="116"/>
      <c r="K52" s="116"/>
    </row>
    <row r="53" spans="1:11" x14ac:dyDescent="0.25">
      <c r="A53" s="116"/>
      <c r="B53" s="116"/>
      <c r="C53" s="131" t="str">
        <f t="shared" si="0"/>
        <v xml:space="preserve"> </v>
      </c>
      <c r="D53" s="55">
        <v>0</v>
      </c>
      <c r="E53" s="228">
        <v>0</v>
      </c>
      <c r="F53" s="32">
        <v>0</v>
      </c>
      <c r="G53" s="54">
        <f>IF(E53="Pas de modification","-",'Encodage données'!J94)</f>
        <v>0</v>
      </c>
      <c r="H53" s="220" cm="1">
        <f t="array" ref="H53" xml:space="preserve"> IF(E53='Données Giant'!$A$22,0,_xlfn.IFS(E53=0,0,AND(E53="Pas de modification",AND(F53&gt; _xlfn.XLOOKUP('Encodage données'!$H94,'Données Giant'!$A$8:$A$21,'Données Giant'!$J$8:$J$21),F53&lt;= _xlfn.XLOOKUP('Encodage données'!$H94,'Données Giant'!$A$8:$A$21,'Données Giant'!$K$8:$K$21))),0,F53&lt;= _xlfn.XLOOKUP('Encodage données'!$H94,'Données Giant'!$A$8:$A$21,'Données Giant'!$J$8:$J$21),"U incohérent",F53&gt; _xlfn.XLOOKUP('Encodage données'!$H94,'Données Giant'!$A$8:$A$21,'Données Giant'!$K$8:$K$21), "U incohérent",AND(F53&lt;= _xlfn.XLOOKUP('Encodage données'!$H94,'Données Giant'!$A$8:$A$21,'Données Giant'!$K$8:$K$21),F53&gt; _xlfn.XLOOKUP('Encodage données'!$H94,'Données Giant'!$A$8:$A$21,'Données Giant'!$J$8:$J$21)),_xlfn.IFS(Calculs!Q32=Calculs!R32,_xlfn.IFS(F53&gt;Calculs!Q32,"U insuffisant",AND(F53&lt;=Calculs!Q32,OR(G53="non",G53=0)),Calculs!S32,AND(F53&lt;=Calculs!Q32,G53="oui"),Calculs!T32),Calculs!Q32&lt;&gt;Calculs!R32,_xlfn.IFS(F53&gt;Calculs!Q32,"U insuffisant",AND(F53&lt;=Calculs!Q32,F53&gt;Calculs!R32,OR(G53="non",G53=0)),Calculs!S32,AND(F53&lt;=Calculs!Q32,F53&gt;Calculs!R32,G53="oui"),Calculs!T32,AND(F53&lt;=Calculs!R32,OR(G53="non",G53=0)),Calculs!U32,AND(F53&lt;=Calculs!R32,G53="oui"),Calculs!V32))))</f>
        <v>0</v>
      </c>
      <c r="I53" s="58">
        <f>IF(OR(H53="U insuffisant",H53="U incohérent"),0,H53*'Encodage données'!E94)</f>
        <v>0</v>
      </c>
      <c r="J53" s="116"/>
      <c r="K53" s="116"/>
    </row>
    <row r="54" spans="1:11" x14ac:dyDescent="0.25">
      <c r="A54" s="116"/>
      <c r="B54" s="116"/>
      <c r="C54" s="131" t="str">
        <f t="shared" si="0"/>
        <v xml:space="preserve"> </v>
      </c>
      <c r="D54" s="55">
        <v>0</v>
      </c>
      <c r="E54" s="228">
        <v>0</v>
      </c>
      <c r="F54" s="32">
        <v>0</v>
      </c>
      <c r="G54" s="54">
        <f>IF(E54="Pas de modification","-",'Encodage données'!J95)</f>
        <v>0</v>
      </c>
      <c r="H54" s="220" cm="1">
        <f t="array" ref="H54" xml:space="preserve"> IF(E54='Données Giant'!$A$22,0,_xlfn.IFS(E54=0,0,AND(E54="Pas de modification",AND(F54&gt; _xlfn.XLOOKUP('Encodage données'!$H95,'Données Giant'!$A$8:$A$21,'Données Giant'!$J$8:$J$21),F54&lt;= _xlfn.XLOOKUP('Encodage données'!$H95,'Données Giant'!$A$8:$A$21,'Données Giant'!$K$8:$K$21))),0,F54&lt;= _xlfn.XLOOKUP('Encodage données'!$H95,'Données Giant'!$A$8:$A$21,'Données Giant'!$J$8:$J$21),"U incohérent",F54&gt; _xlfn.XLOOKUP('Encodage données'!$H95,'Données Giant'!$A$8:$A$21,'Données Giant'!$K$8:$K$21), "U incohérent",AND(F54&lt;= _xlfn.XLOOKUP('Encodage données'!$H95,'Données Giant'!$A$8:$A$21,'Données Giant'!$K$8:$K$21),F54&gt; _xlfn.XLOOKUP('Encodage données'!$H95,'Données Giant'!$A$8:$A$21,'Données Giant'!$J$8:$J$21)),_xlfn.IFS(Calculs!Q33=Calculs!R33,_xlfn.IFS(F54&gt;Calculs!Q33,"U insuffisant",AND(F54&lt;=Calculs!Q33,OR(G54="non",G54=0)),Calculs!S33,AND(F54&lt;=Calculs!Q33,G54="oui"),Calculs!T33),Calculs!Q33&lt;&gt;Calculs!R33,_xlfn.IFS(F54&gt;Calculs!Q33,"U insuffisant",AND(F54&lt;=Calculs!Q33,F54&gt;Calculs!R33,OR(G54="non",G54=0)),Calculs!S33,AND(F54&lt;=Calculs!Q33,F54&gt;Calculs!R33,G54="oui"),Calculs!T33,AND(F54&lt;=Calculs!R33,OR(G54="non",G54=0)),Calculs!U33,AND(F54&lt;=Calculs!R33,G54="oui"),Calculs!V33))))</f>
        <v>0</v>
      </c>
      <c r="I54" s="58">
        <f>IF(OR(H54="U insuffisant",H54="U incohérent"),0,H54*'Encodage données'!E95)</f>
        <v>0</v>
      </c>
      <c r="J54" s="116"/>
      <c r="K54" s="116"/>
    </row>
    <row r="55" spans="1:11" x14ac:dyDescent="0.25">
      <c r="A55" s="116"/>
      <c r="B55" s="116"/>
      <c r="C55" s="131" t="str">
        <f t="shared" si="0"/>
        <v xml:space="preserve"> </v>
      </c>
      <c r="D55" s="55">
        <v>0</v>
      </c>
      <c r="E55" s="228">
        <v>0</v>
      </c>
      <c r="F55" s="32">
        <v>0</v>
      </c>
      <c r="G55" s="54">
        <f>IF(E55="Pas de modification","-",'Encodage données'!J96)</f>
        <v>0</v>
      </c>
      <c r="H55" s="220" cm="1">
        <f t="array" ref="H55" xml:space="preserve"> IF(E55='Données Giant'!$A$22,0,_xlfn.IFS(E55=0,0,AND(E55="Pas de modification",AND(F55&gt; _xlfn.XLOOKUP('Encodage données'!$H96,'Données Giant'!$A$8:$A$21,'Données Giant'!$J$8:$J$21),F55&lt;= _xlfn.XLOOKUP('Encodage données'!$H96,'Données Giant'!$A$8:$A$21,'Données Giant'!$K$8:$K$21))),0,F55&lt;= _xlfn.XLOOKUP('Encodage données'!$H96,'Données Giant'!$A$8:$A$21,'Données Giant'!$J$8:$J$21),"U incohérent",F55&gt; _xlfn.XLOOKUP('Encodage données'!$H96,'Données Giant'!$A$8:$A$21,'Données Giant'!$K$8:$K$21), "U incohérent",AND(F55&lt;= _xlfn.XLOOKUP('Encodage données'!$H96,'Données Giant'!$A$8:$A$21,'Données Giant'!$K$8:$K$21),F55&gt; _xlfn.XLOOKUP('Encodage données'!$H96,'Données Giant'!$A$8:$A$21,'Données Giant'!$J$8:$J$21)),_xlfn.IFS(Calculs!Q34=Calculs!R34,_xlfn.IFS(F55&gt;Calculs!Q34,"U insuffisant",AND(F55&lt;=Calculs!Q34,OR(G55="non",G55=0)),Calculs!S34,AND(F55&lt;=Calculs!Q34,G55="oui"),Calculs!T34),Calculs!Q34&lt;&gt;Calculs!R34,_xlfn.IFS(F55&gt;Calculs!Q34,"U insuffisant",AND(F55&lt;=Calculs!Q34,F55&gt;Calculs!R34,OR(G55="non",G55=0)),Calculs!S34,AND(F55&lt;=Calculs!Q34,F55&gt;Calculs!R34,G55="oui"),Calculs!T34,AND(F55&lt;=Calculs!R34,OR(G55="non",G55=0)),Calculs!U34,AND(F55&lt;=Calculs!R34,G55="oui"),Calculs!V34))))</f>
        <v>0</v>
      </c>
      <c r="I55" s="58">
        <f>IF(OR(H55="U insuffisant",H55="U incohérent"),0,H55*'Encodage données'!E96)</f>
        <v>0</v>
      </c>
      <c r="J55" s="116"/>
      <c r="K55" s="116"/>
    </row>
    <row r="56" spans="1:11" x14ac:dyDescent="0.25">
      <c r="A56" s="116"/>
      <c r="B56" s="116"/>
      <c r="C56" s="131" t="str">
        <f t="shared" si="0"/>
        <v xml:space="preserve"> </v>
      </c>
      <c r="D56" s="55">
        <v>0</v>
      </c>
      <c r="E56" s="228">
        <v>0</v>
      </c>
      <c r="F56" s="32">
        <v>0</v>
      </c>
      <c r="G56" s="54">
        <f>IF(E56="Pas de modification","-",'Encodage données'!J97)</f>
        <v>0</v>
      </c>
      <c r="H56" s="220" cm="1">
        <f t="array" ref="H56" xml:space="preserve"> IF(E56='Données Giant'!$A$22,0,_xlfn.IFS(E56=0,0,AND(E56="Pas de modification",AND(F56&gt; _xlfn.XLOOKUP('Encodage données'!$H97,'Données Giant'!$A$8:$A$21,'Données Giant'!$J$8:$J$21),F56&lt;= _xlfn.XLOOKUP('Encodage données'!$H97,'Données Giant'!$A$8:$A$21,'Données Giant'!$K$8:$K$21))),0,F56&lt;= _xlfn.XLOOKUP('Encodage données'!$H97,'Données Giant'!$A$8:$A$21,'Données Giant'!$J$8:$J$21),"U incohérent",F56&gt; _xlfn.XLOOKUP('Encodage données'!$H97,'Données Giant'!$A$8:$A$21,'Données Giant'!$K$8:$K$21), "U incohérent",AND(F56&lt;= _xlfn.XLOOKUP('Encodage données'!$H97,'Données Giant'!$A$8:$A$21,'Données Giant'!$K$8:$K$21),F56&gt; _xlfn.XLOOKUP('Encodage données'!$H97,'Données Giant'!$A$8:$A$21,'Données Giant'!$J$8:$J$21)),_xlfn.IFS(Calculs!Q35=Calculs!R35,_xlfn.IFS(F56&gt;Calculs!Q35,"U insuffisant",AND(F56&lt;=Calculs!Q35,OR(G56="non",G56=0)),Calculs!S35,AND(F56&lt;=Calculs!Q35,G56="oui"),Calculs!T35),Calculs!Q35&lt;&gt;Calculs!R35,_xlfn.IFS(F56&gt;Calculs!Q35,"U insuffisant",AND(F56&lt;=Calculs!Q35,F56&gt;Calculs!R35,OR(G56="non",G56=0)),Calculs!S35,AND(F56&lt;=Calculs!Q35,F56&gt;Calculs!R35,G56="oui"),Calculs!T35,AND(F56&lt;=Calculs!R35,OR(G56="non",G56=0)),Calculs!U35,AND(F56&lt;=Calculs!R35,G56="oui"),Calculs!V35))))</f>
        <v>0</v>
      </c>
      <c r="I56" s="58">
        <f>IF(OR(H56="U insuffisant",H56="U incohérent"),0,H56*'Encodage données'!E97)</f>
        <v>0</v>
      </c>
      <c r="J56" s="116"/>
      <c r="K56" s="116"/>
    </row>
    <row r="57" spans="1:11" x14ac:dyDescent="0.25">
      <c r="A57" s="116"/>
      <c r="B57" s="116"/>
      <c r="C57" s="131" t="str">
        <f t="shared" si="0"/>
        <v xml:space="preserve"> </v>
      </c>
      <c r="D57" s="55">
        <v>0</v>
      </c>
      <c r="E57" s="228">
        <v>0</v>
      </c>
      <c r="F57" s="32">
        <v>0</v>
      </c>
      <c r="G57" s="54">
        <f>IF(E57="Pas de modification","-",'Encodage données'!J98)</f>
        <v>0</v>
      </c>
      <c r="H57" s="220" cm="1">
        <f t="array" ref="H57" xml:space="preserve"> IF(E57='Données Giant'!$A$22,0,_xlfn.IFS(E57=0,0,AND(E57="Pas de modification",AND(F57&gt; _xlfn.XLOOKUP('Encodage données'!$H98,'Données Giant'!$A$8:$A$21,'Données Giant'!$J$8:$J$21),F57&lt;= _xlfn.XLOOKUP('Encodage données'!$H98,'Données Giant'!$A$8:$A$21,'Données Giant'!$K$8:$K$21))),0,F57&lt;= _xlfn.XLOOKUP('Encodage données'!$H98,'Données Giant'!$A$8:$A$21,'Données Giant'!$J$8:$J$21),"U incohérent",F57&gt; _xlfn.XLOOKUP('Encodage données'!$H98,'Données Giant'!$A$8:$A$21,'Données Giant'!$K$8:$K$21), "U incohérent",AND(F57&lt;= _xlfn.XLOOKUP('Encodage données'!$H98,'Données Giant'!$A$8:$A$21,'Données Giant'!$K$8:$K$21),F57&gt; _xlfn.XLOOKUP('Encodage données'!$H98,'Données Giant'!$A$8:$A$21,'Données Giant'!$J$8:$J$21)),_xlfn.IFS(Calculs!Q36=Calculs!R36,_xlfn.IFS(F57&gt;Calculs!Q36,"U insuffisant",AND(F57&lt;=Calculs!Q36,OR(G57="non",G57=0)),Calculs!S36,AND(F57&lt;=Calculs!Q36,G57="oui"),Calculs!T36),Calculs!Q36&lt;&gt;Calculs!R36,_xlfn.IFS(F57&gt;Calculs!Q36,"U insuffisant",AND(F57&lt;=Calculs!Q36,F57&gt;Calculs!R36,OR(G57="non",G57=0)),Calculs!S36,AND(F57&lt;=Calculs!Q36,F57&gt;Calculs!R36,G57="oui"),Calculs!T36,AND(F57&lt;=Calculs!R36,OR(G57="non",G57=0)),Calculs!U36,AND(F57&lt;=Calculs!R36,G57="oui"),Calculs!V36))))</f>
        <v>0</v>
      </c>
      <c r="I57" s="58">
        <f>IF(OR(H57="U insuffisant",H57="U incohérent"),0,H57*'Encodage données'!E98)</f>
        <v>0</v>
      </c>
      <c r="J57" s="116"/>
      <c r="K57" s="116"/>
    </row>
    <row r="58" spans="1:11" x14ac:dyDescent="0.25">
      <c r="A58" s="116"/>
      <c r="B58" s="116"/>
      <c r="C58" s="131" t="str">
        <f t="shared" si="0"/>
        <v xml:space="preserve"> </v>
      </c>
      <c r="D58" s="55">
        <v>0</v>
      </c>
      <c r="E58" s="228">
        <v>0</v>
      </c>
      <c r="F58" s="32">
        <v>0</v>
      </c>
      <c r="G58" s="54">
        <f>IF(E58="Pas de modification","-",'Encodage données'!J99)</f>
        <v>0</v>
      </c>
      <c r="H58" s="220" cm="1">
        <f t="array" ref="H58" xml:space="preserve"> IF(E58='Données Giant'!$A$22,0,_xlfn.IFS(E58=0,0,AND(E58="Pas de modification",AND(F58&gt; _xlfn.XLOOKUP('Encodage données'!$H99,'Données Giant'!$A$8:$A$21,'Données Giant'!$J$8:$J$21),F58&lt;= _xlfn.XLOOKUP('Encodage données'!$H99,'Données Giant'!$A$8:$A$21,'Données Giant'!$K$8:$K$21))),0,F58&lt;= _xlfn.XLOOKUP('Encodage données'!$H99,'Données Giant'!$A$8:$A$21,'Données Giant'!$J$8:$J$21),"U incohérent",F58&gt; _xlfn.XLOOKUP('Encodage données'!$H99,'Données Giant'!$A$8:$A$21,'Données Giant'!$K$8:$K$21), "U incohérent",AND(F58&lt;= _xlfn.XLOOKUP('Encodage données'!$H99,'Données Giant'!$A$8:$A$21,'Données Giant'!$K$8:$K$21),F58&gt; _xlfn.XLOOKUP('Encodage données'!$H99,'Données Giant'!$A$8:$A$21,'Données Giant'!$J$8:$J$21)),_xlfn.IFS(Calculs!Q37=Calculs!R37,_xlfn.IFS(F58&gt;Calculs!Q37,"U insuffisant",AND(F58&lt;=Calculs!Q37,OR(G58="non",G58=0)),Calculs!S37,AND(F58&lt;=Calculs!Q37,G58="oui"),Calculs!T37),Calculs!Q37&lt;&gt;Calculs!R37,_xlfn.IFS(F58&gt;Calculs!Q37,"U insuffisant",AND(F58&lt;=Calculs!Q37,F58&gt;Calculs!R37,OR(G58="non",G58=0)),Calculs!S37,AND(F58&lt;=Calculs!Q37,F58&gt;Calculs!R37,G58="oui"),Calculs!T37,AND(F58&lt;=Calculs!R37,OR(G58="non",G58=0)),Calculs!U37,AND(F58&lt;=Calculs!R37,G58="oui"),Calculs!V37))))</f>
        <v>0</v>
      </c>
      <c r="I58" s="58">
        <f>IF(OR(H58="U insuffisant",H58="U incohérent"),0,H58*'Encodage données'!E99)</f>
        <v>0</v>
      </c>
      <c r="J58" s="116"/>
      <c r="K58" s="116"/>
    </row>
    <row r="59" spans="1:11" x14ac:dyDescent="0.25">
      <c r="A59" s="116"/>
      <c r="B59" s="116"/>
      <c r="C59" s="131" t="str">
        <f t="shared" si="0"/>
        <v xml:space="preserve"> </v>
      </c>
      <c r="D59" s="55">
        <v>0</v>
      </c>
      <c r="E59" s="228">
        <v>0</v>
      </c>
      <c r="F59" s="32">
        <v>0</v>
      </c>
      <c r="G59" s="54">
        <f>IF(E59="Pas de modification","-",'Encodage données'!J100)</f>
        <v>0</v>
      </c>
      <c r="H59" s="220" cm="1">
        <f t="array" ref="H59" xml:space="preserve"> IF(E59='Données Giant'!$A$22,0,_xlfn.IFS(E59=0,0,AND(E59="Pas de modification",AND(F59&gt; _xlfn.XLOOKUP('Encodage données'!$H100,'Données Giant'!$A$8:$A$21,'Données Giant'!$J$8:$J$21),F59&lt;= _xlfn.XLOOKUP('Encodage données'!$H100,'Données Giant'!$A$8:$A$21,'Données Giant'!$K$8:$K$21))),0,F59&lt;= _xlfn.XLOOKUP('Encodage données'!$H100,'Données Giant'!$A$8:$A$21,'Données Giant'!$J$8:$J$21),"U incohérent",F59&gt; _xlfn.XLOOKUP('Encodage données'!$H100,'Données Giant'!$A$8:$A$21,'Données Giant'!$K$8:$K$21), "U incohérent",AND(F59&lt;= _xlfn.XLOOKUP('Encodage données'!$H100,'Données Giant'!$A$8:$A$21,'Données Giant'!$K$8:$K$21),F59&gt; _xlfn.XLOOKUP('Encodage données'!$H100,'Données Giant'!$A$8:$A$21,'Données Giant'!$J$8:$J$21)),_xlfn.IFS(Calculs!Q38=Calculs!R38,_xlfn.IFS(F59&gt;Calculs!Q38,"U insuffisant",AND(F59&lt;=Calculs!Q38,OR(G59="non",G59=0)),Calculs!S38,AND(F59&lt;=Calculs!Q38,G59="oui"),Calculs!T38),Calculs!Q38&lt;&gt;Calculs!R38,_xlfn.IFS(F59&gt;Calculs!Q38,"U insuffisant",AND(F59&lt;=Calculs!Q38,F59&gt;Calculs!R38,OR(G59="non",G59=0)),Calculs!S38,AND(F59&lt;=Calculs!Q38,F59&gt;Calculs!R38,G59="oui"),Calculs!T38,AND(F59&lt;=Calculs!R38,OR(G59="non",G59=0)),Calculs!U38,AND(F59&lt;=Calculs!R38,G59="oui"),Calculs!V38))))</f>
        <v>0</v>
      </c>
      <c r="I59" s="58">
        <f>IF(OR(H59="U insuffisant",H59="U incohérent"),0,H59*'Encodage données'!E100)</f>
        <v>0</v>
      </c>
      <c r="J59" s="116"/>
      <c r="K59" s="116"/>
    </row>
    <row r="60" spans="1:11" x14ac:dyDescent="0.25">
      <c r="A60" s="116"/>
      <c r="B60" s="116"/>
      <c r="C60" s="131" t="str">
        <f t="shared" si="0"/>
        <v xml:space="preserve"> </v>
      </c>
      <c r="D60" s="55">
        <v>0</v>
      </c>
      <c r="E60" s="228">
        <v>0</v>
      </c>
      <c r="F60" s="32">
        <v>0</v>
      </c>
      <c r="G60" s="54">
        <f>IF(E60="Pas de modification","-",'Encodage données'!J101)</f>
        <v>0</v>
      </c>
      <c r="H60" s="220" cm="1">
        <f t="array" ref="H60" xml:space="preserve"> IF(E60='Données Giant'!$A$22,0,_xlfn.IFS(E60=0,0,AND(E60="Pas de modification",AND(F60&gt; _xlfn.XLOOKUP('Encodage données'!$H101,'Données Giant'!$A$8:$A$21,'Données Giant'!$J$8:$J$21),F60&lt;= _xlfn.XLOOKUP('Encodage données'!$H101,'Données Giant'!$A$8:$A$21,'Données Giant'!$K$8:$K$21))),0,F60&lt;= _xlfn.XLOOKUP('Encodage données'!$H101,'Données Giant'!$A$8:$A$21,'Données Giant'!$J$8:$J$21),"U incohérent",F60&gt; _xlfn.XLOOKUP('Encodage données'!$H101,'Données Giant'!$A$8:$A$21,'Données Giant'!$K$8:$K$21), "U incohérent",AND(F60&lt;= _xlfn.XLOOKUP('Encodage données'!$H101,'Données Giant'!$A$8:$A$21,'Données Giant'!$K$8:$K$21),F60&gt; _xlfn.XLOOKUP('Encodage données'!$H101,'Données Giant'!$A$8:$A$21,'Données Giant'!$J$8:$J$21)),_xlfn.IFS(Calculs!Q39=Calculs!R39,_xlfn.IFS(F60&gt;Calculs!Q39,"U insuffisant",AND(F60&lt;=Calculs!Q39,OR(G60="non",G60=0)),Calculs!S39,AND(F60&lt;=Calculs!Q39,G60="oui"),Calculs!T39),Calculs!Q39&lt;&gt;Calculs!R39,_xlfn.IFS(F60&gt;Calculs!Q39,"U insuffisant",AND(F60&lt;=Calculs!Q39,F60&gt;Calculs!R39,OR(G60="non",G60=0)),Calculs!S39,AND(F60&lt;=Calculs!Q39,F60&gt;Calculs!R39,G60="oui"),Calculs!T39,AND(F60&lt;=Calculs!R39,OR(G60="non",G60=0)),Calculs!U39,AND(F60&lt;=Calculs!R39,G60="oui"),Calculs!V39))))</f>
        <v>0</v>
      </c>
      <c r="I60" s="58">
        <f>IF(OR(H60="U insuffisant",H60="U incohérent"),0,H60*'Encodage données'!E101)</f>
        <v>0</v>
      </c>
      <c r="J60" s="116"/>
      <c r="K60" s="116"/>
    </row>
    <row r="61" spans="1:11" x14ac:dyDescent="0.25">
      <c r="A61" s="116"/>
      <c r="B61" s="116"/>
      <c r="C61" s="131" t="str">
        <f t="shared" si="0"/>
        <v xml:space="preserve"> </v>
      </c>
      <c r="D61" s="55">
        <v>0</v>
      </c>
      <c r="E61" s="228">
        <v>0</v>
      </c>
      <c r="F61" s="32">
        <v>0</v>
      </c>
      <c r="G61" s="54">
        <f>IF(E61="Pas de modification","-",'Encodage données'!J102)</f>
        <v>0</v>
      </c>
      <c r="H61" s="220" cm="1">
        <f t="array" ref="H61" xml:space="preserve"> IF(E61='Données Giant'!$A$22,0,_xlfn.IFS(E61=0,0,AND(E61="Pas de modification",AND(F61&gt; _xlfn.XLOOKUP('Encodage données'!$H102,'Données Giant'!$A$8:$A$21,'Données Giant'!$J$8:$J$21),F61&lt;= _xlfn.XLOOKUP('Encodage données'!$H102,'Données Giant'!$A$8:$A$21,'Données Giant'!$K$8:$K$21))),0,F61&lt;= _xlfn.XLOOKUP('Encodage données'!$H102,'Données Giant'!$A$8:$A$21,'Données Giant'!$J$8:$J$21),"U incohérent",F61&gt; _xlfn.XLOOKUP('Encodage données'!$H102,'Données Giant'!$A$8:$A$21,'Données Giant'!$K$8:$K$21), "U incohérent",AND(F61&lt;= _xlfn.XLOOKUP('Encodage données'!$H102,'Données Giant'!$A$8:$A$21,'Données Giant'!$K$8:$K$21),F61&gt; _xlfn.XLOOKUP('Encodage données'!$H102,'Données Giant'!$A$8:$A$21,'Données Giant'!$J$8:$J$21)),_xlfn.IFS(Calculs!Q40=Calculs!R40,_xlfn.IFS(F61&gt;Calculs!Q40,"U insuffisant",AND(F61&lt;=Calculs!Q40,OR(G61="non",G61=0)),Calculs!S40,AND(F61&lt;=Calculs!Q40,G61="oui"),Calculs!T40),Calculs!Q40&lt;&gt;Calculs!R40,_xlfn.IFS(F61&gt;Calculs!Q40,"U insuffisant",AND(F61&lt;=Calculs!Q40,F61&gt;Calculs!R40,OR(G61="non",G61=0)),Calculs!S40,AND(F61&lt;=Calculs!Q40,F61&gt;Calculs!R40,G61="oui"),Calculs!T40,AND(F61&lt;=Calculs!R40,OR(G61="non",G61=0)),Calculs!U40,AND(F61&lt;=Calculs!R40,G61="oui"),Calculs!V40))))</f>
        <v>0</v>
      </c>
      <c r="I61" s="58">
        <f>IF(OR(H61="U insuffisant",H61="U incohérent"),0,H61*'Encodage données'!E102)</f>
        <v>0</v>
      </c>
      <c r="J61" s="116"/>
      <c r="K61" s="116"/>
    </row>
    <row r="62" spans="1:11" x14ac:dyDescent="0.25">
      <c r="A62" s="116"/>
      <c r="B62" s="116"/>
      <c r="C62" s="131" t="str">
        <f t="shared" si="0"/>
        <v xml:space="preserve"> </v>
      </c>
      <c r="D62" s="55">
        <v>0</v>
      </c>
      <c r="E62" s="228">
        <v>0</v>
      </c>
      <c r="F62" s="32">
        <v>0</v>
      </c>
      <c r="G62" s="54">
        <f>IF(E62="Pas de modification","-",'Encodage données'!J103)</f>
        <v>0</v>
      </c>
      <c r="H62" s="220" cm="1">
        <f t="array" ref="H62" xml:space="preserve"> IF(E62='Données Giant'!$A$22,0,_xlfn.IFS(E62=0,0,AND(E62="Pas de modification",AND(F62&gt; _xlfn.XLOOKUP('Encodage données'!$H103,'Données Giant'!$A$8:$A$21,'Données Giant'!$J$8:$J$21),F62&lt;= _xlfn.XLOOKUP('Encodage données'!$H103,'Données Giant'!$A$8:$A$21,'Données Giant'!$K$8:$K$21))),0,F62&lt;= _xlfn.XLOOKUP('Encodage données'!$H103,'Données Giant'!$A$8:$A$21,'Données Giant'!$J$8:$J$21),"U incohérent",F62&gt; _xlfn.XLOOKUP('Encodage données'!$H103,'Données Giant'!$A$8:$A$21,'Données Giant'!$K$8:$K$21), "U incohérent",AND(F62&lt;= _xlfn.XLOOKUP('Encodage données'!$H103,'Données Giant'!$A$8:$A$21,'Données Giant'!$K$8:$K$21),F62&gt; _xlfn.XLOOKUP('Encodage données'!$H103,'Données Giant'!$A$8:$A$21,'Données Giant'!$J$8:$J$21)),_xlfn.IFS(Calculs!Q41=Calculs!R41,_xlfn.IFS(F62&gt;Calculs!Q41,"U insuffisant",AND(F62&lt;=Calculs!Q41,OR(G62="non",G62=0)),Calculs!S41,AND(F62&lt;=Calculs!Q41,G62="oui"),Calculs!T41),Calculs!Q41&lt;&gt;Calculs!R41,_xlfn.IFS(F62&gt;Calculs!Q41,"U insuffisant",AND(F62&lt;=Calculs!Q41,F62&gt;Calculs!R41,OR(G62="non",G62=0)),Calculs!S41,AND(F62&lt;=Calculs!Q41,F62&gt;Calculs!R41,G62="oui"),Calculs!T41,AND(F62&lt;=Calculs!R41,OR(G62="non",G62=0)),Calculs!U41,AND(F62&lt;=Calculs!R41,G62="oui"),Calculs!V41))))</f>
        <v>0</v>
      </c>
      <c r="I62" s="58">
        <f>IF(OR(H62="U insuffisant",H62="U incohérent"),0,H62*'Encodage données'!E103)</f>
        <v>0</v>
      </c>
      <c r="J62" s="116"/>
      <c r="K62" s="116"/>
    </row>
    <row r="63" spans="1:11" x14ac:dyDescent="0.25">
      <c r="A63" s="116"/>
      <c r="B63" s="116"/>
      <c r="C63" s="131" t="str">
        <f t="shared" si="0"/>
        <v xml:space="preserve"> </v>
      </c>
      <c r="D63" s="55">
        <v>0</v>
      </c>
      <c r="E63" s="228">
        <v>0</v>
      </c>
      <c r="F63" s="32">
        <v>0</v>
      </c>
      <c r="G63" s="54">
        <f>IF(E63="Pas de modification","-",'Encodage données'!J104)</f>
        <v>0</v>
      </c>
      <c r="H63" s="220" cm="1">
        <f t="array" ref="H63" xml:space="preserve"> IF(E63='Données Giant'!$A$22,0,_xlfn.IFS(E63=0,0,AND(E63="Pas de modification",AND(F63&gt; _xlfn.XLOOKUP('Encodage données'!$H104,'Données Giant'!$A$8:$A$21,'Données Giant'!$J$8:$J$21),F63&lt;= _xlfn.XLOOKUP('Encodage données'!$H104,'Données Giant'!$A$8:$A$21,'Données Giant'!$K$8:$K$21))),0,F63&lt;= _xlfn.XLOOKUP('Encodage données'!$H104,'Données Giant'!$A$8:$A$21,'Données Giant'!$J$8:$J$21),"U incohérent",F63&gt; _xlfn.XLOOKUP('Encodage données'!$H104,'Données Giant'!$A$8:$A$21,'Données Giant'!$K$8:$K$21), "U incohérent",AND(F63&lt;= _xlfn.XLOOKUP('Encodage données'!$H104,'Données Giant'!$A$8:$A$21,'Données Giant'!$K$8:$K$21),F63&gt; _xlfn.XLOOKUP('Encodage données'!$H104,'Données Giant'!$A$8:$A$21,'Données Giant'!$J$8:$J$21)),_xlfn.IFS(Calculs!Q42=Calculs!R42,_xlfn.IFS(F63&gt;Calculs!Q42,"U insuffisant",AND(F63&lt;=Calculs!Q42,OR(G63="non",G63=0)),Calculs!S42,AND(F63&lt;=Calculs!Q42,G63="oui"),Calculs!T42),Calculs!Q42&lt;&gt;Calculs!R42,_xlfn.IFS(F63&gt;Calculs!Q42,"U insuffisant",AND(F63&lt;=Calculs!Q42,F63&gt;Calculs!R42,OR(G63="non",G63=0)),Calculs!S42,AND(F63&lt;=Calculs!Q42,F63&gt;Calculs!R42,G63="oui"),Calculs!T42,AND(F63&lt;=Calculs!R42,OR(G63="non",G63=0)),Calculs!U42,AND(F63&lt;=Calculs!R42,G63="oui"),Calculs!V42))))</f>
        <v>0</v>
      </c>
      <c r="I63" s="58">
        <f>IF(OR(H63="U insuffisant",H63="U incohérent"),0,H63*'Encodage données'!E104)</f>
        <v>0</v>
      </c>
      <c r="J63" s="116"/>
      <c r="K63" s="116"/>
    </row>
    <row r="64" spans="1:11" x14ac:dyDescent="0.25">
      <c r="A64" s="116"/>
      <c r="B64" s="116"/>
      <c r="C64" s="131" t="str">
        <f t="shared" si="0"/>
        <v xml:space="preserve"> </v>
      </c>
      <c r="D64" s="55">
        <v>0</v>
      </c>
      <c r="E64" s="228">
        <v>0</v>
      </c>
      <c r="F64" s="32">
        <v>0</v>
      </c>
      <c r="G64" s="54">
        <f>IF(E64="Pas de modification","-",'Encodage données'!J105)</f>
        <v>0</v>
      </c>
      <c r="H64" s="220" cm="1">
        <f t="array" ref="H64" xml:space="preserve"> IF(E64='Données Giant'!$A$22,0,_xlfn.IFS(E64=0,0,AND(E64="Pas de modification",AND(F64&gt; _xlfn.XLOOKUP('Encodage données'!$H105,'Données Giant'!$A$8:$A$21,'Données Giant'!$J$8:$J$21),F64&lt;= _xlfn.XLOOKUP('Encodage données'!$H105,'Données Giant'!$A$8:$A$21,'Données Giant'!$K$8:$K$21))),0,F64&lt;= _xlfn.XLOOKUP('Encodage données'!$H105,'Données Giant'!$A$8:$A$21,'Données Giant'!$J$8:$J$21),"U incohérent",F64&gt; _xlfn.XLOOKUP('Encodage données'!$H105,'Données Giant'!$A$8:$A$21,'Données Giant'!$K$8:$K$21), "U incohérent",AND(F64&lt;= _xlfn.XLOOKUP('Encodage données'!$H105,'Données Giant'!$A$8:$A$21,'Données Giant'!$K$8:$K$21),F64&gt; _xlfn.XLOOKUP('Encodage données'!$H105,'Données Giant'!$A$8:$A$21,'Données Giant'!$J$8:$J$21)),_xlfn.IFS(Calculs!Q43=Calculs!R43,_xlfn.IFS(F64&gt;Calculs!Q43,"U insuffisant",AND(F64&lt;=Calculs!Q43,OR(G64="non",G64=0)),Calculs!S43,AND(F64&lt;=Calculs!Q43,G64="oui"),Calculs!T43),Calculs!Q43&lt;&gt;Calculs!R43,_xlfn.IFS(F64&gt;Calculs!Q43,"U insuffisant",AND(F64&lt;=Calculs!Q43,F64&gt;Calculs!R43,OR(G64="non",G64=0)),Calculs!S43,AND(F64&lt;=Calculs!Q43,F64&gt;Calculs!R43,G64="oui"),Calculs!T43,AND(F64&lt;=Calculs!R43,OR(G64="non",G64=0)),Calculs!U43,AND(F64&lt;=Calculs!R43,G64="oui"),Calculs!V43))))</f>
        <v>0</v>
      </c>
      <c r="I64" s="58">
        <f>IF(OR(H64="U insuffisant",H64="U incohérent"),0,H64*'Encodage données'!E105)</f>
        <v>0</v>
      </c>
      <c r="J64" s="116"/>
      <c r="K64" s="116"/>
    </row>
    <row r="65" spans="1:11" x14ac:dyDescent="0.25">
      <c r="A65" s="116"/>
      <c r="B65" s="116"/>
      <c r="C65" s="131" t="str">
        <f t="shared" si="0"/>
        <v xml:space="preserve"> </v>
      </c>
      <c r="D65" s="55">
        <v>0</v>
      </c>
      <c r="E65" s="228">
        <v>0</v>
      </c>
      <c r="F65" s="32">
        <v>0</v>
      </c>
      <c r="G65" s="54">
        <f>IF(E65="Pas de modification","-",'Encodage données'!J106)</f>
        <v>0</v>
      </c>
      <c r="H65" s="220" cm="1">
        <f t="array" ref="H65" xml:space="preserve"> IF(E65='Données Giant'!$A$22,0,_xlfn.IFS(E65=0,0,AND(E65="Pas de modification",AND(F65&gt; _xlfn.XLOOKUP('Encodage données'!$H106,'Données Giant'!$A$8:$A$21,'Données Giant'!$J$8:$J$21),F65&lt;= _xlfn.XLOOKUP('Encodage données'!$H106,'Données Giant'!$A$8:$A$21,'Données Giant'!$K$8:$K$21))),0,F65&lt;= _xlfn.XLOOKUP('Encodage données'!$H106,'Données Giant'!$A$8:$A$21,'Données Giant'!$J$8:$J$21),"U incohérent",F65&gt; _xlfn.XLOOKUP('Encodage données'!$H106,'Données Giant'!$A$8:$A$21,'Données Giant'!$K$8:$K$21), "U incohérent",AND(F65&lt;= _xlfn.XLOOKUP('Encodage données'!$H106,'Données Giant'!$A$8:$A$21,'Données Giant'!$K$8:$K$21),F65&gt; _xlfn.XLOOKUP('Encodage données'!$H106,'Données Giant'!$A$8:$A$21,'Données Giant'!$J$8:$J$21)),_xlfn.IFS(Calculs!Q44=Calculs!R44,_xlfn.IFS(F65&gt;Calculs!Q44,"U insuffisant",AND(F65&lt;=Calculs!Q44,OR(G65="non",G65=0)),Calculs!S44,AND(F65&lt;=Calculs!Q44,G65="oui"),Calculs!T44),Calculs!Q44&lt;&gt;Calculs!R44,_xlfn.IFS(F65&gt;Calculs!Q44,"U insuffisant",AND(F65&lt;=Calculs!Q44,F65&gt;Calculs!R44,OR(G65="non",G65=0)),Calculs!S44,AND(F65&lt;=Calculs!Q44,F65&gt;Calculs!R44,G65="oui"),Calculs!T44,AND(F65&lt;=Calculs!R44,OR(G65="non",G65=0)),Calculs!U44,AND(F65&lt;=Calculs!R44,G65="oui"),Calculs!V44))))</f>
        <v>0</v>
      </c>
      <c r="I65" s="58">
        <f>IF(OR(H65="U insuffisant",H65="U incohérent"),0,H65*'Encodage données'!E106)</f>
        <v>0</v>
      </c>
      <c r="J65" s="116"/>
      <c r="K65" s="116"/>
    </row>
    <row r="66" spans="1:11" x14ac:dyDescent="0.25">
      <c r="A66" s="116"/>
      <c r="B66" s="116"/>
      <c r="C66" s="131" t="str">
        <f t="shared" si="0"/>
        <v xml:space="preserve"> </v>
      </c>
      <c r="D66" s="55">
        <v>0</v>
      </c>
      <c r="E66" s="228">
        <v>0</v>
      </c>
      <c r="F66" s="32">
        <v>0</v>
      </c>
      <c r="G66" s="54">
        <f>IF(E66="Pas de modification","-",'Encodage données'!J107)</f>
        <v>0</v>
      </c>
      <c r="H66" s="220" cm="1">
        <f t="array" ref="H66" xml:space="preserve"> IF(E66='Données Giant'!$A$22,0,_xlfn.IFS(E66=0,0,AND(E66="Pas de modification",AND(F66&gt; _xlfn.XLOOKUP('Encodage données'!$H107,'Données Giant'!$A$8:$A$21,'Données Giant'!$J$8:$J$21),F66&lt;= _xlfn.XLOOKUP('Encodage données'!$H107,'Données Giant'!$A$8:$A$21,'Données Giant'!$K$8:$K$21))),0,F66&lt;= _xlfn.XLOOKUP('Encodage données'!$H107,'Données Giant'!$A$8:$A$21,'Données Giant'!$J$8:$J$21),"U incohérent",F66&gt; _xlfn.XLOOKUP('Encodage données'!$H107,'Données Giant'!$A$8:$A$21,'Données Giant'!$K$8:$K$21), "U incohérent",AND(F66&lt;= _xlfn.XLOOKUP('Encodage données'!$H107,'Données Giant'!$A$8:$A$21,'Données Giant'!$K$8:$K$21),F66&gt; _xlfn.XLOOKUP('Encodage données'!$H107,'Données Giant'!$A$8:$A$21,'Données Giant'!$J$8:$J$21)),_xlfn.IFS(Calculs!Q45=Calculs!R45,_xlfn.IFS(F66&gt;Calculs!Q45,"U insuffisant",AND(F66&lt;=Calculs!Q45,OR(G66="non",G66=0)),Calculs!S45,AND(F66&lt;=Calculs!Q45,G66="oui"),Calculs!T45),Calculs!Q45&lt;&gt;Calculs!R45,_xlfn.IFS(F66&gt;Calculs!Q45,"U insuffisant",AND(F66&lt;=Calculs!Q45,F66&gt;Calculs!R45,OR(G66="non",G66=0)),Calculs!S45,AND(F66&lt;=Calculs!Q45,F66&gt;Calculs!R45,G66="oui"),Calculs!T45,AND(F66&lt;=Calculs!R45,OR(G66="non",G66=0)),Calculs!U45,AND(F66&lt;=Calculs!R45,G66="oui"),Calculs!V45))))</f>
        <v>0</v>
      </c>
      <c r="I66" s="58">
        <f>IF(OR(H66="U insuffisant",H66="U incohérent"),0,H66*'Encodage données'!E107)</f>
        <v>0</v>
      </c>
      <c r="J66" s="116"/>
      <c r="K66" s="116"/>
    </row>
    <row r="67" spans="1:11" x14ac:dyDescent="0.25">
      <c r="A67" s="116"/>
      <c r="B67" s="116"/>
      <c r="C67" s="131" t="str">
        <f t="shared" si="0"/>
        <v xml:space="preserve"> </v>
      </c>
      <c r="D67" s="55">
        <v>0</v>
      </c>
      <c r="E67" s="228">
        <v>0</v>
      </c>
      <c r="F67" s="32">
        <v>0</v>
      </c>
      <c r="G67" s="54">
        <f>IF(E67="Pas de modification","-",'Encodage données'!J108)</f>
        <v>0</v>
      </c>
      <c r="H67" s="220" cm="1">
        <f t="array" ref="H67" xml:space="preserve"> IF(E67='Données Giant'!$A$22,0,_xlfn.IFS(E67=0,0,AND(E67="Pas de modification",AND(F67&gt; _xlfn.XLOOKUP('Encodage données'!$H108,'Données Giant'!$A$8:$A$21,'Données Giant'!$J$8:$J$21),F67&lt;= _xlfn.XLOOKUP('Encodage données'!$H108,'Données Giant'!$A$8:$A$21,'Données Giant'!$K$8:$K$21))),0,F67&lt;= _xlfn.XLOOKUP('Encodage données'!$H108,'Données Giant'!$A$8:$A$21,'Données Giant'!$J$8:$J$21),"U incohérent",F67&gt; _xlfn.XLOOKUP('Encodage données'!$H108,'Données Giant'!$A$8:$A$21,'Données Giant'!$K$8:$K$21), "U incohérent",AND(F67&lt;= _xlfn.XLOOKUP('Encodage données'!$H108,'Données Giant'!$A$8:$A$21,'Données Giant'!$K$8:$K$21),F67&gt; _xlfn.XLOOKUP('Encodage données'!$H108,'Données Giant'!$A$8:$A$21,'Données Giant'!$J$8:$J$21)),_xlfn.IFS(Calculs!Q46=Calculs!R46,_xlfn.IFS(F67&gt;Calculs!Q46,"U insuffisant",AND(F67&lt;=Calculs!Q46,OR(G67="non",G67=0)),Calculs!S46,AND(F67&lt;=Calculs!Q46,G67="oui"),Calculs!T46),Calculs!Q46&lt;&gt;Calculs!R46,_xlfn.IFS(F67&gt;Calculs!Q46,"U insuffisant",AND(F67&lt;=Calculs!Q46,F67&gt;Calculs!R46,OR(G67="non",G67=0)),Calculs!S46,AND(F67&lt;=Calculs!Q46,F67&gt;Calculs!R46,G67="oui"),Calculs!T46,AND(F67&lt;=Calculs!R46,OR(G67="non",G67=0)),Calculs!U46,AND(F67&lt;=Calculs!R46,G67="oui"),Calculs!V46))))</f>
        <v>0</v>
      </c>
      <c r="I67" s="58">
        <f>IF(OR(H67="U insuffisant",H67="U incohérent"),0,H67*'Encodage données'!E108)</f>
        <v>0</v>
      </c>
      <c r="J67" s="116"/>
      <c r="K67" s="116"/>
    </row>
    <row r="68" spans="1:11" x14ac:dyDescent="0.25">
      <c r="A68" s="116"/>
      <c r="B68" s="116"/>
      <c r="C68" s="131" t="str">
        <f t="shared" si="0"/>
        <v xml:space="preserve"> </v>
      </c>
      <c r="D68" s="55">
        <v>0</v>
      </c>
      <c r="E68" s="228">
        <v>0</v>
      </c>
      <c r="F68" s="32">
        <v>0</v>
      </c>
      <c r="G68" s="54">
        <f>IF(E68="Pas de modification","-",'Encodage données'!J109)</f>
        <v>0</v>
      </c>
      <c r="H68" s="220" cm="1">
        <f t="array" ref="H68" xml:space="preserve"> IF(E68='Données Giant'!$A$22,0,_xlfn.IFS(E68=0,0,AND(E68="Pas de modification",AND(F68&gt; _xlfn.XLOOKUP('Encodage données'!$H109,'Données Giant'!$A$8:$A$21,'Données Giant'!$J$8:$J$21),F68&lt;= _xlfn.XLOOKUP('Encodage données'!$H109,'Données Giant'!$A$8:$A$21,'Données Giant'!$K$8:$K$21))),0,F68&lt;= _xlfn.XLOOKUP('Encodage données'!$H109,'Données Giant'!$A$8:$A$21,'Données Giant'!$J$8:$J$21),"U incohérent",F68&gt; _xlfn.XLOOKUP('Encodage données'!$H109,'Données Giant'!$A$8:$A$21,'Données Giant'!$K$8:$K$21), "U incohérent",AND(F68&lt;= _xlfn.XLOOKUP('Encodage données'!$H109,'Données Giant'!$A$8:$A$21,'Données Giant'!$K$8:$K$21),F68&gt; _xlfn.XLOOKUP('Encodage données'!$H109,'Données Giant'!$A$8:$A$21,'Données Giant'!$J$8:$J$21)),_xlfn.IFS(Calculs!Q47=Calculs!R47,_xlfn.IFS(F68&gt;Calculs!Q47,"U insuffisant",AND(F68&lt;=Calculs!Q47,OR(G68="non",G68=0)),Calculs!S47,AND(F68&lt;=Calculs!Q47,G68="oui"),Calculs!T47),Calculs!Q47&lt;&gt;Calculs!R47,_xlfn.IFS(F68&gt;Calculs!Q47,"U insuffisant",AND(F68&lt;=Calculs!Q47,F68&gt;Calculs!R47,OR(G68="non",G68=0)),Calculs!S47,AND(F68&lt;=Calculs!Q47,F68&gt;Calculs!R47,G68="oui"),Calculs!T47,AND(F68&lt;=Calculs!R47,OR(G68="non",G68=0)),Calculs!U47,AND(F68&lt;=Calculs!R47,G68="oui"),Calculs!V47))))</f>
        <v>0</v>
      </c>
      <c r="I68" s="58">
        <f>IF(OR(H68="U insuffisant",H68="U incohérent"),0,H68*'Encodage données'!E109)</f>
        <v>0</v>
      </c>
      <c r="J68" s="116"/>
      <c r="K68" s="116"/>
    </row>
    <row r="69" spans="1:11" x14ac:dyDescent="0.25">
      <c r="A69" s="116"/>
      <c r="B69" s="116"/>
      <c r="C69" s="131" t="str">
        <f t="shared" si="0"/>
        <v xml:space="preserve"> </v>
      </c>
      <c r="D69" s="55">
        <v>0</v>
      </c>
      <c r="E69" s="228">
        <v>0</v>
      </c>
      <c r="F69" s="32">
        <v>0</v>
      </c>
      <c r="G69" s="54">
        <f>IF(E69="Pas de modification","-",'Encodage données'!J110)</f>
        <v>0</v>
      </c>
      <c r="H69" s="220" cm="1">
        <f t="array" ref="H69" xml:space="preserve"> IF(E69='Données Giant'!$A$22,0,_xlfn.IFS(E69=0,0,AND(E69="Pas de modification",AND(F69&gt; _xlfn.XLOOKUP('Encodage données'!$H110,'Données Giant'!$A$8:$A$21,'Données Giant'!$J$8:$J$21),F69&lt;= _xlfn.XLOOKUP('Encodage données'!$H110,'Données Giant'!$A$8:$A$21,'Données Giant'!$K$8:$K$21))),0,F69&lt;= _xlfn.XLOOKUP('Encodage données'!$H110,'Données Giant'!$A$8:$A$21,'Données Giant'!$J$8:$J$21),"U incohérent",F69&gt; _xlfn.XLOOKUP('Encodage données'!$H110,'Données Giant'!$A$8:$A$21,'Données Giant'!$K$8:$K$21), "U incohérent",AND(F69&lt;= _xlfn.XLOOKUP('Encodage données'!$H110,'Données Giant'!$A$8:$A$21,'Données Giant'!$K$8:$K$21),F69&gt; _xlfn.XLOOKUP('Encodage données'!$H110,'Données Giant'!$A$8:$A$21,'Données Giant'!$J$8:$J$21)),_xlfn.IFS(Calculs!Q48=Calculs!R48,_xlfn.IFS(F69&gt;Calculs!Q48,"U insuffisant",AND(F69&lt;=Calculs!Q48,OR(G69="non",G69=0)),Calculs!S48,AND(F69&lt;=Calculs!Q48,G69="oui"),Calculs!T48),Calculs!Q48&lt;&gt;Calculs!R48,_xlfn.IFS(F69&gt;Calculs!Q48,"U insuffisant",AND(F69&lt;=Calculs!Q48,F69&gt;Calculs!R48,OR(G69="non",G69=0)),Calculs!S48,AND(F69&lt;=Calculs!Q48,F69&gt;Calculs!R48,G69="oui"),Calculs!T48,AND(F69&lt;=Calculs!R48,OR(G69="non",G69=0)),Calculs!U48,AND(F69&lt;=Calculs!R48,G69="oui"),Calculs!V48))))</f>
        <v>0</v>
      </c>
      <c r="I69" s="58">
        <f>IF(OR(H69="U insuffisant",H69="U incohérent"),0,H69*'Encodage données'!E110)</f>
        <v>0</v>
      </c>
      <c r="J69" s="116"/>
      <c r="K69" s="116"/>
    </row>
    <row r="70" spans="1:11" x14ac:dyDescent="0.25">
      <c r="A70" s="116"/>
      <c r="B70" s="116"/>
      <c r="C70" s="131" t="str">
        <f t="shared" si="0"/>
        <v xml:space="preserve"> </v>
      </c>
      <c r="D70" s="55">
        <v>0</v>
      </c>
      <c r="E70" s="228">
        <v>0</v>
      </c>
      <c r="F70" s="32">
        <v>0</v>
      </c>
      <c r="G70" s="54">
        <f>IF(E70="Pas de modification","-",'Encodage données'!J111)</f>
        <v>0</v>
      </c>
      <c r="H70" s="220" cm="1">
        <f t="array" ref="H70" xml:space="preserve"> IF(E70='Données Giant'!$A$22,0,_xlfn.IFS(E70=0,0,AND(E70="Pas de modification",AND(F70&gt; _xlfn.XLOOKUP('Encodage données'!$H111,'Données Giant'!$A$8:$A$21,'Données Giant'!$J$8:$J$21),F70&lt;= _xlfn.XLOOKUP('Encodage données'!$H111,'Données Giant'!$A$8:$A$21,'Données Giant'!$K$8:$K$21))),0,F70&lt;= _xlfn.XLOOKUP('Encodage données'!$H111,'Données Giant'!$A$8:$A$21,'Données Giant'!$J$8:$J$21),"U incohérent",F70&gt; _xlfn.XLOOKUP('Encodage données'!$H111,'Données Giant'!$A$8:$A$21,'Données Giant'!$K$8:$K$21), "U incohérent",AND(F70&lt;= _xlfn.XLOOKUP('Encodage données'!$H111,'Données Giant'!$A$8:$A$21,'Données Giant'!$K$8:$K$21),F70&gt; _xlfn.XLOOKUP('Encodage données'!$H111,'Données Giant'!$A$8:$A$21,'Données Giant'!$J$8:$J$21)),_xlfn.IFS(Calculs!Q49=Calculs!R49,_xlfn.IFS(F70&gt;Calculs!Q49,"U insuffisant",AND(F70&lt;=Calculs!Q49,OR(G70="non",G70=0)),Calculs!S49,AND(F70&lt;=Calculs!Q49,G70="oui"),Calculs!T49),Calculs!Q49&lt;&gt;Calculs!R49,_xlfn.IFS(F70&gt;Calculs!Q49,"U insuffisant",AND(F70&lt;=Calculs!Q49,F70&gt;Calculs!R49,OR(G70="non",G70=0)),Calculs!S49,AND(F70&lt;=Calculs!Q49,F70&gt;Calculs!R49,G70="oui"),Calculs!T49,AND(F70&lt;=Calculs!R49,OR(G70="non",G70=0)),Calculs!U49,AND(F70&lt;=Calculs!R49,G70="oui"),Calculs!V49))))</f>
        <v>0</v>
      </c>
      <c r="I70" s="58">
        <f>IF(OR(H70="U insuffisant",H70="U incohérent"),0,H70*'Encodage données'!E111)</f>
        <v>0</v>
      </c>
      <c r="J70" s="116"/>
      <c r="K70" s="116"/>
    </row>
    <row r="71" spans="1:11" x14ac:dyDescent="0.25">
      <c r="A71" s="116"/>
      <c r="B71" s="116"/>
      <c r="C71" s="131" t="str">
        <f t="shared" si="0"/>
        <v xml:space="preserve"> </v>
      </c>
      <c r="D71" s="55">
        <v>0</v>
      </c>
      <c r="E71" s="228">
        <v>0</v>
      </c>
      <c r="F71" s="32">
        <v>0</v>
      </c>
      <c r="G71" s="54">
        <f>IF(E71="Pas de modification","-",'Encodage données'!J112)</f>
        <v>0</v>
      </c>
      <c r="H71" s="220" cm="1">
        <f t="array" ref="H71" xml:space="preserve"> IF(E71='Données Giant'!$A$22,0,_xlfn.IFS(E71=0,0,AND(E71="Pas de modification",AND(F71&gt; _xlfn.XLOOKUP('Encodage données'!$H112,'Données Giant'!$A$8:$A$21,'Données Giant'!$J$8:$J$21),F71&lt;= _xlfn.XLOOKUP('Encodage données'!$H112,'Données Giant'!$A$8:$A$21,'Données Giant'!$K$8:$K$21))),0,F71&lt;= _xlfn.XLOOKUP('Encodage données'!$H112,'Données Giant'!$A$8:$A$21,'Données Giant'!$J$8:$J$21),"U incohérent",F71&gt; _xlfn.XLOOKUP('Encodage données'!$H112,'Données Giant'!$A$8:$A$21,'Données Giant'!$K$8:$K$21), "U incohérent",AND(F71&lt;= _xlfn.XLOOKUP('Encodage données'!$H112,'Données Giant'!$A$8:$A$21,'Données Giant'!$K$8:$K$21),F71&gt; _xlfn.XLOOKUP('Encodage données'!$H112,'Données Giant'!$A$8:$A$21,'Données Giant'!$J$8:$J$21)),_xlfn.IFS(Calculs!Q50=Calculs!R50,_xlfn.IFS(F71&gt;Calculs!Q50,"U insuffisant",AND(F71&lt;=Calculs!Q50,OR(G71="non",G71=0)),Calculs!S50,AND(F71&lt;=Calculs!Q50,G71="oui"),Calculs!T50),Calculs!Q50&lt;&gt;Calculs!R50,_xlfn.IFS(F71&gt;Calculs!Q50,"U insuffisant",AND(F71&lt;=Calculs!Q50,F71&gt;Calculs!R50,OR(G71="non",G71=0)),Calculs!S50,AND(F71&lt;=Calculs!Q50,F71&gt;Calculs!R50,G71="oui"),Calculs!T50,AND(F71&lt;=Calculs!R50,OR(G71="non",G71=0)),Calculs!U50,AND(F71&lt;=Calculs!R50,G71="oui"),Calculs!V50))))</f>
        <v>0</v>
      </c>
      <c r="I71" s="58">
        <f>IF(OR(H71="U insuffisant",H71="U incohérent"),0,H71*'Encodage données'!E112)</f>
        <v>0</v>
      </c>
      <c r="J71" s="116"/>
      <c r="K71" s="116"/>
    </row>
    <row r="72" spans="1:11" x14ac:dyDescent="0.25">
      <c r="A72" s="116"/>
      <c r="B72" s="116"/>
      <c r="C72" s="131" t="str">
        <f t="shared" si="0"/>
        <v xml:space="preserve"> </v>
      </c>
      <c r="D72" s="55">
        <v>0</v>
      </c>
      <c r="E72" s="228">
        <v>0</v>
      </c>
      <c r="F72" s="32">
        <v>0</v>
      </c>
      <c r="G72" s="54">
        <f>IF(E72="Pas de modification","-",'Encodage données'!J113)</f>
        <v>0</v>
      </c>
      <c r="H72" s="220" cm="1">
        <f t="array" ref="H72" xml:space="preserve"> IF(E72='Données Giant'!$A$22,0,_xlfn.IFS(E72=0,0,AND(E72="Pas de modification",AND(F72&gt; _xlfn.XLOOKUP('Encodage données'!$H113,'Données Giant'!$A$8:$A$21,'Données Giant'!$J$8:$J$21),F72&lt;= _xlfn.XLOOKUP('Encodage données'!$H113,'Données Giant'!$A$8:$A$21,'Données Giant'!$K$8:$K$21))),0,F72&lt;= _xlfn.XLOOKUP('Encodage données'!$H113,'Données Giant'!$A$8:$A$21,'Données Giant'!$J$8:$J$21),"U incohérent",F72&gt; _xlfn.XLOOKUP('Encodage données'!$H113,'Données Giant'!$A$8:$A$21,'Données Giant'!$K$8:$K$21), "U incohérent",AND(F72&lt;= _xlfn.XLOOKUP('Encodage données'!$H113,'Données Giant'!$A$8:$A$21,'Données Giant'!$K$8:$K$21),F72&gt; _xlfn.XLOOKUP('Encodage données'!$H113,'Données Giant'!$A$8:$A$21,'Données Giant'!$J$8:$J$21)),_xlfn.IFS(Calculs!Q51=Calculs!R51,_xlfn.IFS(F72&gt;Calculs!Q51,"U insuffisant",AND(F72&lt;=Calculs!Q51,OR(G72="non",G72=0)),Calculs!S51,AND(F72&lt;=Calculs!Q51,G72="oui"),Calculs!T51),Calculs!Q51&lt;&gt;Calculs!R51,_xlfn.IFS(F72&gt;Calculs!Q51,"U insuffisant",AND(F72&lt;=Calculs!Q51,F72&gt;Calculs!R51,OR(G72="non",G72=0)),Calculs!S51,AND(F72&lt;=Calculs!Q51,F72&gt;Calculs!R51,G72="oui"),Calculs!T51,AND(F72&lt;=Calculs!R51,OR(G72="non",G72=0)),Calculs!U51,AND(F72&lt;=Calculs!R51,G72="oui"),Calculs!V51))))</f>
        <v>0</v>
      </c>
      <c r="I72" s="58">
        <f>IF(OR(H72="U insuffisant",H72="U incohérent"),0,H72*'Encodage données'!E113)</f>
        <v>0</v>
      </c>
      <c r="J72" s="116"/>
      <c r="K72" s="116"/>
    </row>
    <row r="73" spans="1:11" x14ac:dyDescent="0.25">
      <c r="A73" s="116"/>
      <c r="B73" s="116"/>
      <c r="C73" s="131" t="str">
        <f t="shared" si="0"/>
        <v xml:space="preserve"> </v>
      </c>
      <c r="D73" s="55">
        <v>0</v>
      </c>
      <c r="E73" s="228">
        <v>0</v>
      </c>
      <c r="F73" s="32">
        <v>0</v>
      </c>
      <c r="G73" s="54">
        <f>IF(E73="Pas de modification","-",'Encodage données'!J114)</f>
        <v>0</v>
      </c>
      <c r="H73" s="220" cm="1">
        <f t="array" ref="H73" xml:space="preserve"> IF(E73='Données Giant'!$A$22,0,_xlfn.IFS(E73=0,0,AND(E73="Pas de modification",AND(F73&gt; _xlfn.XLOOKUP('Encodage données'!$H114,'Données Giant'!$A$8:$A$21,'Données Giant'!$J$8:$J$21),F73&lt;= _xlfn.XLOOKUP('Encodage données'!$H114,'Données Giant'!$A$8:$A$21,'Données Giant'!$K$8:$K$21))),0,F73&lt;= _xlfn.XLOOKUP('Encodage données'!$H114,'Données Giant'!$A$8:$A$21,'Données Giant'!$J$8:$J$21),"U incohérent",F73&gt; _xlfn.XLOOKUP('Encodage données'!$H114,'Données Giant'!$A$8:$A$21,'Données Giant'!$K$8:$K$21), "U incohérent",AND(F73&lt;= _xlfn.XLOOKUP('Encodage données'!$H114,'Données Giant'!$A$8:$A$21,'Données Giant'!$K$8:$K$21),F73&gt; _xlfn.XLOOKUP('Encodage données'!$H114,'Données Giant'!$A$8:$A$21,'Données Giant'!$J$8:$J$21)),_xlfn.IFS(Calculs!Q52=Calculs!R52,_xlfn.IFS(F73&gt;Calculs!Q52,"U insuffisant",AND(F73&lt;=Calculs!Q52,OR(G73="non",G73=0)),Calculs!S52,AND(F73&lt;=Calculs!Q52,G73="oui"),Calculs!T52),Calculs!Q52&lt;&gt;Calculs!R52,_xlfn.IFS(F73&gt;Calculs!Q52,"U insuffisant",AND(F73&lt;=Calculs!Q52,F73&gt;Calculs!R52,OR(G73="non",G73=0)),Calculs!S52,AND(F73&lt;=Calculs!Q52,F73&gt;Calculs!R52,G73="oui"),Calculs!T52,AND(F73&lt;=Calculs!R52,OR(G73="non",G73=0)),Calculs!U52,AND(F73&lt;=Calculs!R52,G73="oui"),Calculs!V52))))</f>
        <v>0</v>
      </c>
      <c r="I73" s="58">
        <f>IF(OR(H73="U insuffisant",H73="U incohérent"),0,H73*'Encodage données'!E114)</f>
        <v>0</v>
      </c>
      <c r="J73" s="116"/>
      <c r="K73" s="116"/>
    </row>
    <row r="74" spans="1:11" x14ac:dyDescent="0.25">
      <c r="A74" s="116"/>
      <c r="B74" s="116"/>
      <c r="C74" s="131" t="str">
        <f t="shared" si="0"/>
        <v xml:space="preserve"> </v>
      </c>
      <c r="D74" s="55">
        <v>0</v>
      </c>
      <c r="E74" s="228">
        <v>0</v>
      </c>
      <c r="F74" s="32">
        <v>0</v>
      </c>
      <c r="G74" s="54">
        <f>IF(E74="Pas de modification","-",'Encodage données'!J115)</f>
        <v>0</v>
      </c>
      <c r="H74" s="220" cm="1">
        <f t="array" ref="H74" xml:space="preserve"> IF(E74='Données Giant'!$A$22,0,_xlfn.IFS(E74=0,0,AND(E74="Pas de modification",AND(F74&gt; _xlfn.XLOOKUP('Encodage données'!$H115,'Données Giant'!$A$8:$A$21,'Données Giant'!$J$8:$J$21),F74&lt;= _xlfn.XLOOKUP('Encodage données'!$H115,'Données Giant'!$A$8:$A$21,'Données Giant'!$K$8:$K$21))),0,F74&lt;= _xlfn.XLOOKUP('Encodage données'!$H115,'Données Giant'!$A$8:$A$21,'Données Giant'!$J$8:$J$21),"U incohérent",F74&gt; _xlfn.XLOOKUP('Encodage données'!$H115,'Données Giant'!$A$8:$A$21,'Données Giant'!$K$8:$K$21), "U incohérent",AND(F74&lt;= _xlfn.XLOOKUP('Encodage données'!$H115,'Données Giant'!$A$8:$A$21,'Données Giant'!$K$8:$K$21),F74&gt; _xlfn.XLOOKUP('Encodage données'!$H115,'Données Giant'!$A$8:$A$21,'Données Giant'!$J$8:$J$21)),_xlfn.IFS(Calculs!Q53=Calculs!R53,_xlfn.IFS(F74&gt;Calculs!Q53,"U insuffisant",AND(F74&lt;=Calculs!Q53,OR(G74="non",G74=0)),Calculs!S53,AND(F74&lt;=Calculs!Q53,G74="oui"),Calculs!T53),Calculs!Q53&lt;&gt;Calculs!R53,_xlfn.IFS(F74&gt;Calculs!Q53,"U insuffisant",AND(F74&lt;=Calculs!Q53,F74&gt;Calculs!R53,OR(G74="non",G74=0)),Calculs!S53,AND(F74&lt;=Calculs!Q53,F74&gt;Calculs!R53,G74="oui"),Calculs!T53,AND(F74&lt;=Calculs!R53,OR(G74="non",G74=0)),Calculs!U53,AND(F74&lt;=Calculs!R53,G74="oui"),Calculs!V53))))</f>
        <v>0</v>
      </c>
      <c r="I74" s="58">
        <f>IF(OR(H74="U insuffisant",H74="U incohérent"),0,H74*'Encodage données'!E115)</f>
        <v>0</v>
      </c>
      <c r="J74" s="116"/>
      <c r="K74" s="116"/>
    </row>
    <row r="75" spans="1:11" x14ac:dyDescent="0.25">
      <c r="A75" s="116"/>
      <c r="B75" s="116"/>
      <c r="C75" s="131" t="str">
        <f t="shared" si="0"/>
        <v xml:space="preserve"> </v>
      </c>
      <c r="D75" s="55">
        <v>0</v>
      </c>
      <c r="E75" s="228">
        <v>0</v>
      </c>
      <c r="F75" s="32">
        <v>0</v>
      </c>
      <c r="G75" s="54">
        <f>IF(E75="Pas de modification","-",'Encodage données'!J116)</f>
        <v>0</v>
      </c>
      <c r="H75" s="220" cm="1">
        <f t="array" ref="H75" xml:space="preserve"> IF(E75='Données Giant'!$A$22,0,_xlfn.IFS(E75=0,0,AND(E75="Pas de modification",AND(F75&gt; _xlfn.XLOOKUP('Encodage données'!$H116,'Données Giant'!$A$8:$A$21,'Données Giant'!$J$8:$J$21),F75&lt;= _xlfn.XLOOKUP('Encodage données'!$H116,'Données Giant'!$A$8:$A$21,'Données Giant'!$K$8:$K$21))),0,F75&lt;= _xlfn.XLOOKUP('Encodage données'!$H116,'Données Giant'!$A$8:$A$21,'Données Giant'!$J$8:$J$21),"U incohérent",F75&gt; _xlfn.XLOOKUP('Encodage données'!$H116,'Données Giant'!$A$8:$A$21,'Données Giant'!$K$8:$K$21), "U incohérent",AND(F75&lt;= _xlfn.XLOOKUP('Encodage données'!$H116,'Données Giant'!$A$8:$A$21,'Données Giant'!$K$8:$K$21),F75&gt; _xlfn.XLOOKUP('Encodage données'!$H116,'Données Giant'!$A$8:$A$21,'Données Giant'!$J$8:$J$21)),_xlfn.IFS(Calculs!Q54=Calculs!R54,_xlfn.IFS(F75&gt;Calculs!Q54,"U insuffisant",AND(F75&lt;=Calculs!Q54,OR(G75="non",G75=0)),Calculs!S54,AND(F75&lt;=Calculs!Q54,G75="oui"),Calculs!T54),Calculs!Q54&lt;&gt;Calculs!R54,_xlfn.IFS(F75&gt;Calculs!Q54,"U insuffisant",AND(F75&lt;=Calculs!Q54,F75&gt;Calculs!R54,OR(G75="non",G75=0)),Calculs!S54,AND(F75&lt;=Calculs!Q54,F75&gt;Calculs!R54,G75="oui"),Calculs!T54,AND(F75&lt;=Calculs!R54,OR(G75="non",G75=0)),Calculs!U54,AND(F75&lt;=Calculs!R54,G75="oui"),Calculs!V54))))</f>
        <v>0</v>
      </c>
      <c r="I75" s="58">
        <f>IF(OR(H75="U insuffisant",H75="U incohérent"),0,H75*'Encodage données'!E116)</f>
        <v>0</v>
      </c>
      <c r="J75" s="116"/>
      <c r="K75" s="116"/>
    </row>
    <row r="76" spans="1:11" x14ac:dyDescent="0.25">
      <c r="A76" s="116"/>
      <c r="B76" s="116"/>
      <c r="C76" s="131" t="str">
        <f t="shared" si="0"/>
        <v xml:space="preserve"> </v>
      </c>
      <c r="D76" s="55">
        <v>0</v>
      </c>
      <c r="E76" s="228">
        <v>0</v>
      </c>
      <c r="F76" s="32">
        <v>0</v>
      </c>
      <c r="G76" s="54">
        <f>IF(E76="Pas de modification","-",'Encodage données'!J117)</f>
        <v>0</v>
      </c>
      <c r="H76" s="220" cm="1">
        <f t="array" ref="H76" xml:space="preserve"> IF(E76='Données Giant'!$A$22,0,_xlfn.IFS(E76=0,0,AND(E76="Pas de modification",AND(F76&gt; _xlfn.XLOOKUP('Encodage données'!$H117,'Données Giant'!$A$8:$A$21,'Données Giant'!$J$8:$J$21),F76&lt;= _xlfn.XLOOKUP('Encodage données'!$H117,'Données Giant'!$A$8:$A$21,'Données Giant'!$K$8:$K$21))),0,F76&lt;= _xlfn.XLOOKUP('Encodage données'!$H117,'Données Giant'!$A$8:$A$21,'Données Giant'!$J$8:$J$21),"U incohérent",F76&gt; _xlfn.XLOOKUP('Encodage données'!$H117,'Données Giant'!$A$8:$A$21,'Données Giant'!$K$8:$K$21), "U incohérent",AND(F76&lt;= _xlfn.XLOOKUP('Encodage données'!$H117,'Données Giant'!$A$8:$A$21,'Données Giant'!$K$8:$K$21),F76&gt; _xlfn.XLOOKUP('Encodage données'!$H117,'Données Giant'!$A$8:$A$21,'Données Giant'!$J$8:$J$21)),_xlfn.IFS(Calculs!Q55=Calculs!R55,_xlfn.IFS(F76&gt;Calculs!Q55,"U insuffisant",AND(F76&lt;=Calculs!Q55,OR(G76="non",G76=0)),Calculs!S55,AND(F76&lt;=Calculs!Q55,G76="oui"),Calculs!T55),Calculs!Q55&lt;&gt;Calculs!R55,_xlfn.IFS(F76&gt;Calculs!Q55,"U insuffisant",AND(F76&lt;=Calculs!Q55,F76&gt;Calculs!R55,OR(G76="non",G76=0)),Calculs!S55,AND(F76&lt;=Calculs!Q55,F76&gt;Calculs!R55,G76="oui"),Calculs!T55,AND(F76&lt;=Calculs!R55,OR(G76="non",G76=0)),Calculs!U55,AND(F76&lt;=Calculs!R55,G76="oui"),Calculs!V55))))</f>
        <v>0</v>
      </c>
      <c r="I76" s="58">
        <f>IF(OR(H76="U insuffisant",H76="U incohérent"),0,H76*'Encodage données'!E117)</f>
        <v>0</v>
      </c>
      <c r="J76" s="116"/>
      <c r="K76" s="116"/>
    </row>
    <row r="77" spans="1:11" x14ac:dyDescent="0.25">
      <c r="A77" s="116"/>
      <c r="B77" s="116"/>
      <c r="C77" s="131" t="str">
        <f t="shared" si="0"/>
        <v xml:space="preserve"> </v>
      </c>
      <c r="D77" s="55">
        <v>0</v>
      </c>
      <c r="E77" s="228">
        <v>0</v>
      </c>
      <c r="F77" s="32">
        <v>0</v>
      </c>
      <c r="G77" s="54">
        <f>IF(E77="Pas de modification","-",'Encodage données'!J118)</f>
        <v>0</v>
      </c>
      <c r="H77" s="220" cm="1">
        <f t="array" ref="H77" xml:space="preserve"> IF(E77='Données Giant'!$A$22,0,_xlfn.IFS(E77=0,0,AND(E77="Pas de modification",AND(F77&gt; _xlfn.XLOOKUP('Encodage données'!$H118,'Données Giant'!$A$8:$A$21,'Données Giant'!$J$8:$J$21),F77&lt;= _xlfn.XLOOKUP('Encodage données'!$H118,'Données Giant'!$A$8:$A$21,'Données Giant'!$K$8:$K$21))),0,F77&lt;= _xlfn.XLOOKUP('Encodage données'!$H118,'Données Giant'!$A$8:$A$21,'Données Giant'!$J$8:$J$21),"U incohérent",F77&gt; _xlfn.XLOOKUP('Encodage données'!$H118,'Données Giant'!$A$8:$A$21,'Données Giant'!$K$8:$K$21), "U incohérent",AND(F77&lt;= _xlfn.XLOOKUP('Encodage données'!$H118,'Données Giant'!$A$8:$A$21,'Données Giant'!$K$8:$K$21),F77&gt; _xlfn.XLOOKUP('Encodage données'!$H118,'Données Giant'!$A$8:$A$21,'Données Giant'!$J$8:$J$21)),_xlfn.IFS(Calculs!Q56=Calculs!R56,_xlfn.IFS(F77&gt;Calculs!Q56,"U insuffisant",AND(F77&lt;=Calculs!Q56,OR(G77="non",G77=0)),Calculs!S56,AND(F77&lt;=Calculs!Q56,G77="oui"),Calculs!T56),Calculs!Q56&lt;&gt;Calculs!R56,_xlfn.IFS(F77&gt;Calculs!Q56,"U insuffisant",AND(F77&lt;=Calculs!Q56,F77&gt;Calculs!R56,OR(G77="non",G77=0)),Calculs!S56,AND(F77&lt;=Calculs!Q56,F77&gt;Calculs!R56,G77="oui"),Calculs!T56,AND(F77&lt;=Calculs!R56,OR(G77="non",G77=0)),Calculs!U56,AND(F77&lt;=Calculs!R56,G77="oui"),Calculs!V56))))</f>
        <v>0</v>
      </c>
      <c r="I77" s="58">
        <f>IF(OR(H77="U insuffisant",H77="U incohérent"),0,H77*'Encodage données'!E118)</f>
        <v>0</v>
      </c>
      <c r="J77" s="116"/>
      <c r="K77" s="116"/>
    </row>
    <row r="78" spans="1:11" x14ac:dyDescent="0.25">
      <c r="A78" s="116"/>
      <c r="B78" s="116"/>
      <c r="C78" s="131" t="str">
        <f t="shared" si="0"/>
        <v xml:space="preserve"> </v>
      </c>
      <c r="D78" s="55">
        <v>0</v>
      </c>
      <c r="E78" s="228">
        <v>0</v>
      </c>
      <c r="F78" s="32">
        <v>0</v>
      </c>
      <c r="G78" s="54">
        <f>IF(E78="Pas de modification","-",'Encodage données'!J119)</f>
        <v>0</v>
      </c>
      <c r="H78" s="220" cm="1">
        <f t="array" ref="H78" xml:space="preserve"> IF(E78='Données Giant'!$A$22,0,_xlfn.IFS(E78=0,0,AND(E78="Pas de modification",AND(F78&gt; _xlfn.XLOOKUP('Encodage données'!$H119,'Données Giant'!$A$8:$A$21,'Données Giant'!$J$8:$J$21),F78&lt;= _xlfn.XLOOKUP('Encodage données'!$H119,'Données Giant'!$A$8:$A$21,'Données Giant'!$K$8:$K$21))),0,F78&lt;= _xlfn.XLOOKUP('Encodage données'!$H119,'Données Giant'!$A$8:$A$21,'Données Giant'!$J$8:$J$21),"U incohérent",F78&gt; _xlfn.XLOOKUP('Encodage données'!$H119,'Données Giant'!$A$8:$A$21,'Données Giant'!$K$8:$K$21), "U incohérent",AND(F78&lt;= _xlfn.XLOOKUP('Encodage données'!$H119,'Données Giant'!$A$8:$A$21,'Données Giant'!$K$8:$K$21),F78&gt; _xlfn.XLOOKUP('Encodage données'!$H119,'Données Giant'!$A$8:$A$21,'Données Giant'!$J$8:$J$21)),_xlfn.IFS(Calculs!Q57=Calculs!R57,_xlfn.IFS(F78&gt;Calculs!Q57,"U insuffisant",AND(F78&lt;=Calculs!Q57,OR(G78="non",G78=0)),Calculs!S57,AND(F78&lt;=Calculs!Q57,G78="oui"),Calculs!T57),Calculs!Q57&lt;&gt;Calculs!R57,_xlfn.IFS(F78&gt;Calculs!Q57,"U insuffisant",AND(F78&lt;=Calculs!Q57,F78&gt;Calculs!R57,OR(G78="non",G78=0)),Calculs!S57,AND(F78&lt;=Calculs!Q57,F78&gt;Calculs!R57,G78="oui"),Calculs!T57,AND(F78&lt;=Calculs!R57,OR(G78="non",G78=0)),Calculs!U57,AND(F78&lt;=Calculs!R57,G78="oui"),Calculs!V57))))</f>
        <v>0</v>
      </c>
      <c r="I78" s="58">
        <f>IF(OR(H78="U insuffisant",H78="U incohérent"),0,H78*'Encodage données'!E119)</f>
        <v>0</v>
      </c>
      <c r="J78" s="116"/>
      <c r="K78" s="116"/>
    </row>
    <row r="79" spans="1:11" x14ac:dyDescent="0.25">
      <c r="A79" s="116"/>
      <c r="B79" s="116"/>
      <c r="C79" s="131" t="str">
        <f t="shared" si="0"/>
        <v xml:space="preserve"> </v>
      </c>
      <c r="D79" s="55">
        <v>0</v>
      </c>
      <c r="E79" s="228">
        <v>0</v>
      </c>
      <c r="F79" s="32">
        <v>0</v>
      </c>
      <c r="G79" s="54">
        <f>IF(E79="Pas de modification","-",'Encodage données'!J120)</f>
        <v>0</v>
      </c>
      <c r="H79" s="220" cm="1">
        <f t="array" ref="H79" xml:space="preserve"> IF(E79='Données Giant'!$A$22,0,_xlfn.IFS(E79=0,0,AND(E79="Pas de modification",AND(F79&gt; _xlfn.XLOOKUP('Encodage données'!$H120,'Données Giant'!$A$8:$A$21,'Données Giant'!$J$8:$J$21),F79&lt;= _xlfn.XLOOKUP('Encodage données'!$H120,'Données Giant'!$A$8:$A$21,'Données Giant'!$K$8:$K$21))),0,F79&lt;= _xlfn.XLOOKUP('Encodage données'!$H120,'Données Giant'!$A$8:$A$21,'Données Giant'!$J$8:$J$21),"U incohérent",F79&gt; _xlfn.XLOOKUP('Encodage données'!$H120,'Données Giant'!$A$8:$A$21,'Données Giant'!$K$8:$K$21), "U incohérent",AND(F79&lt;= _xlfn.XLOOKUP('Encodage données'!$H120,'Données Giant'!$A$8:$A$21,'Données Giant'!$K$8:$K$21),F79&gt; _xlfn.XLOOKUP('Encodage données'!$H120,'Données Giant'!$A$8:$A$21,'Données Giant'!$J$8:$J$21)),_xlfn.IFS(Calculs!Q58=Calculs!R58,_xlfn.IFS(F79&gt;Calculs!Q58,"U insuffisant",AND(F79&lt;=Calculs!Q58,OR(G79="non",G79=0)),Calculs!S58,AND(F79&lt;=Calculs!Q58,G79="oui"),Calculs!T58),Calculs!Q58&lt;&gt;Calculs!R58,_xlfn.IFS(F79&gt;Calculs!Q58,"U insuffisant",AND(F79&lt;=Calculs!Q58,F79&gt;Calculs!R58,OR(G79="non",G79=0)),Calculs!S58,AND(F79&lt;=Calculs!Q58,F79&gt;Calculs!R58,G79="oui"),Calculs!T58,AND(F79&lt;=Calculs!R58,OR(G79="non",G79=0)),Calculs!U58,AND(F79&lt;=Calculs!R58,G79="oui"),Calculs!V58))))</f>
        <v>0</v>
      </c>
      <c r="I79" s="58">
        <f>IF(OR(H79="U insuffisant",H79="U incohérent"),0,H79*'Encodage données'!E120)</f>
        <v>0</v>
      </c>
      <c r="J79" s="116"/>
      <c r="K79" s="116"/>
    </row>
    <row r="80" spans="1:11" x14ac:dyDescent="0.25">
      <c r="A80" s="116"/>
      <c r="B80" s="116"/>
      <c r="C80" s="131" t="str">
        <f t="shared" si="0"/>
        <v xml:space="preserve"> </v>
      </c>
      <c r="D80" s="55">
        <v>0</v>
      </c>
      <c r="E80" s="228">
        <v>0</v>
      </c>
      <c r="F80" s="32">
        <v>0</v>
      </c>
      <c r="G80" s="54">
        <f>IF(E80="Pas de modification","-",'Encodage données'!J121)</f>
        <v>0</v>
      </c>
      <c r="H80" s="220" cm="1">
        <f t="array" ref="H80" xml:space="preserve"> IF(E80='Données Giant'!$A$22,0,_xlfn.IFS(E80=0,0,AND(E80="Pas de modification",AND(F80&gt; _xlfn.XLOOKUP('Encodage données'!$H121,'Données Giant'!$A$8:$A$21,'Données Giant'!$J$8:$J$21),F80&lt;= _xlfn.XLOOKUP('Encodage données'!$H121,'Données Giant'!$A$8:$A$21,'Données Giant'!$K$8:$K$21))),0,F80&lt;= _xlfn.XLOOKUP('Encodage données'!$H121,'Données Giant'!$A$8:$A$21,'Données Giant'!$J$8:$J$21),"U incohérent",F80&gt; _xlfn.XLOOKUP('Encodage données'!$H121,'Données Giant'!$A$8:$A$21,'Données Giant'!$K$8:$K$21), "U incohérent",AND(F80&lt;= _xlfn.XLOOKUP('Encodage données'!$H121,'Données Giant'!$A$8:$A$21,'Données Giant'!$K$8:$K$21),F80&gt; _xlfn.XLOOKUP('Encodage données'!$H121,'Données Giant'!$A$8:$A$21,'Données Giant'!$J$8:$J$21)),_xlfn.IFS(Calculs!Q59=Calculs!R59,_xlfn.IFS(F80&gt;Calculs!Q59,"U insuffisant",AND(F80&lt;=Calculs!Q59,OR(G80="non",G80=0)),Calculs!S59,AND(F80&lt;=Calculs!Q59,G80="oui"),Calculs!T59),Calculs!Q59&lt;&gt;Calculs!R59,_xlfn.IFS(F80&gt;Calculs!Q59,"U insuffisant",AND(F80&lt;=Calculs!Q59,F80&gt;Calculs!R59,OR(G80="non",G80=0)),Calculs!S59,AND(F80&lt;=Calculs!Q59,F80&gt;Calculs!R59,G80="oui"),Calculs!T59,AND(F80&lt;=Calculs!R59,OR(G80="non",G80=0)),Calculs!U59,AND(F80&lt;=Calculs!R59,G80="oui"),Calculs!V59))))</f>
        <v>0</v>
      </c>
      <c r="I80" s="58">
        <f>IF(OR(H80="U insuffisant",H80="U incohérent"),0,H80*'Encodage données'!E121)</f>
        <v>0</v>
      </c>
      <c r="J80" s="116"/>
      <c r="K80" s="116"/>
    </row>
    <row r="81" spans="1:11" x14ac:dyDescent="0.25">
      <c r="A81" s="116"/>
      <c r="B81" s="116"/>
      <c r="C81" s="131" t="str">
        <f t="shared" si="0"/>
        <v xml:space="preserve"> </v>
      </c>
      <c r="D81" s="55">
        <v>0</v>
      </c>
      <c r="E81" s="228">
        <v>0</v>
      </c>
      <c r="F81" s="32">
        <v>0</v>
      </c>
      <c r="G81" s="54">
        <f>IF(E81="Pas de modification","-",'Encodage données'!J122)</f>
        <v>0</v>
      </c>
      <c r="H81" s="220" cm="1">
        <f t="array" ref="H81" xml:space="preserve"> IF(E81='Données Giant'!$A$22,0,_xlfn.IFS(E81=0,0,AND(E81="Pas de modification",AND(F81&gt; _xlfn.XLOOKUP('Encodage données'!$H122,'Données Giant'!$A$8:$A$21,'Données Giant'!$J$8:$J$21),F81&lt;= _xlfn.XLOOKUP('Encodage données'!$H122,'Données Giant'!$A$8:$A$21,'Données Giant'!$K$8:$K$21))),0,F81&lt;= _xlfn.XLOOKUP('Encodage données'!$H122,'Données Giant'!$A$8:$A$21,'Données Giant'!$J$8:$J$21),"U incohérent",F81&gt; _xlfn.XLOOKUP('Encodage données'!$H122,'Données Giant'!$A$8:$A$21,'Données Giant'!$K$8:$K$21), "U incohérent",AND(F81&lt;= _xlfn.XLOOKUP('Encodage données'!$H122,'Données Giant'!$A$8:$A$21,'Données Giant'!$K$8:$K$21),F81&gt; _xlfn.XLOOKUP('Encodage données'!$H122,'Données Giant'!$A$8:$A$21,'Données Giant'!$J$8:$J$21)),_xlfn.IFS(Calculs!Q60=Calculs!R60,_xlfn.IFS(F81&gt;Calculs!Q60,"U insuffisant",AND(F81&lt;=Calculs!Q60,OR(G81="non",G81=0)),Calculs!S60,AND(F81&lt;=Calculs!Q60,G81="oui"),Calculs!T60),Calculs!Q60&lt;&gt;Calculs!R60,_xlfn.IFS(F81&gt;Calculs!Q60,"U insuffisant",AND(F81&lt;=Calculs!Q60,F81&gt;Calculs!R60,OR(G81="non",G81=0)),Calculs!S60,AND(F81&lt;=Calculs!Q60,F81&gt;Calculs!R60,G81="oui"),Calculs!T60,AND(F81&lt;=Calculs!R60,OR(G81="non",G81=0)),Calculs!U60,AND(F81&lt;=Calculs!R60,G81="oui"),Calculs!V60))))</f>
        <v>0</v>
      </c>
      <c r="I81" s="58">
        <f>IF(OR(H81="U insuffisant",H81="U incohérent"),0,H81*'Encodage données'!E122)</f>
        <v>0</v>
      </c>
      <c r="J81" s="116"/>
      <c r="K81" s="116"/>
    </row>
    <row r="82" spans="1:11" x14ac:dyDescent="0.25">
      <c r="A82" s="116"/>
      <c r="B82" s="116"/>
      <c r="C82" s="131" t="str">
        <f t="shared" si="0"/>
        <v xml:space="preserve"> </v>
      </c>
      <c r="D82" s="55">
        <v>0</v>
      </c>
      <c r="E82" s="228">
        <v>0</v>
      </c>
      <c r="F82" s="32">
        <v>0</v>
      </c>
      <c r="G82" s="54">
        <f>IF(E82="Pas de modification","-",'Encodage données'!J123)</f>
        <v>0</v>
      </c>
      <c r="H82" s="220" cm="1">
        <f t="array" ref="H82" xml:space="preserve"> IF(E82='Données Giant'!$A$22,0,_xlfn.IFS(E82=0,0,AND(E82="Pas de modification",AND(F82&gt; _xlfn.XLOOKUP('Encodage données'!$H123,'Données Giant'!$A$8:$A$21,'Données Giant'!$J$8:$J$21),F82&lt;= _xlfn.XLOOKUP('Encodage données'!$H123,'Données Giant'!$A$8:$A$21,'Données Giant'!$K$8:$K$21))),0,F82&lt;= _xlfn.XLOOKUP('Encodage données'!$H123,'Données Giant'!$A$8:$A$21,'Données Giant'!$J$8:$J$21),"U incohérent",F82&gt; _xlfn.XLOOKUP('Encodage données'!$H123,'Données Giant'!$A$8:$A$21,'Données Giant'!$K$8:$K$21), "U incohérent",AND(F82&lt;= _xlfn.XLOOKUP('Encodage données'!$H123,'Données Giant'!$A$8:$A$21,'Données Giant'!$K$8:$K$21),F82&gt; _xlfn.XLOOKUP('Encodage données'!$H123,'Données Giant'!$A$8:$A$21,'Données Giant'!$J$8:$J$21)),_xlfn.IFS(Calculs!Q61=Calculs!R61,_xlfn.IFS(F82&gt;Calculs!Q61,"U insuffisant",AND(F82&lt;=Calculs!Q61,OR(G82="non",G82=0)),Calculs!S61,AND(F82&lt;=Calculs!Q61,G82="oui"),Calculs!T61),Calculs!Q61&lt;&gt;Calculs!R61,_xlfn.IFS(F82&gt;Calculs!Q61,"U insuffisant",AND(F82&lt;=Calculs!Q61,F82&gt;Calculs!R61,OR(G82="non",G82=0)),Calculs!S61,AND(F82&lt;=Calculs!Q61,F82&gt;Calculs!R61,G82="oui"),Calculs!T61,AND(F82&lt;=Calculs!R61,OR(G82="non",G82=0)),Calculs!U61,AND(F82&lt;=Calculs!R61,G82="oui"),Calculs!V61))))</f>
        <v>0</v>
      </c>
      <c r="I82" s="58">
        <f>IF(OR(H82="U insuffisant",H82="U incohérent"),0,H82*'Encodage données'!E123)</f>
        <v>0</v>
      </c>
      <c r="J82" s="116"/>
      <c r="K82" s="116"/>
    </row>
    <row r="83" spans="1:11" x14ac:dyDescent="0.25">
      <c r="A83" s="116"/>
      <c r="B83" s="116"/>
      <c r="C83" s="131" t="str">
        <f t="shared" si="0"/>
        <v xml:space="preserve"> </v>
      </c>
      <c r="D83" s="55">
        <v>0</v>
      </c>
      <c r="E83" s="228">
        <v>0</v>
      </c>
      <c r="F83" s="32">
        <v>0</v>
      </c>
      <c r="G83" s="54">
        <f>IF(E83="Pas de modification","-",'Encodage données'!J124)</f>
        <v>0</v>
      </c>
      <c r="H83" s="220" cm="1">
        <f t="array" ref="H83" xml:space="preserve"> IF(E83='Données Giant'!$A$22,0,_xlfn.IFS(E83=0,0,AND(E83="Pas de modification",AND(F83&gt; _xlfn.XLOOKUP('Encodage données'!$H124,'Données Giant'!$A$8:$A$21,'Données Giant'!$J$8:$J$21),F83&lt;= _xlfn.XLOOKUP('Encodage données'!$H124,'Données Giant'!$A$8:$A$21,'Données Giant'!$K$8:$K$21))),0,F83&lt;= _xlfn.XLOOKUP('Encodage données'!$H124,'Données Giant'!$A$8:$A$21,'Données Giant'!$J$8:$J$21),"U incohérent",F83&gt; _xlfn.XLOOKUP('Encodage données'!$H124,'Données Giant'!$A$8:$A$21,'Données Giant'!$K$8:$K$21), "U incohérent",AND(F83&lt;= _xlfn.XLOOKUP('Encodage données'!$H124,'Données Giant'!$A$8:$A$21,'Données Giant'!$K$8:$K$21),F83&gt; _xlfn.XLOOKUP('Encodage données'!$H124,'Données Giant'!$A$8:$A$21,'Données Giant'!$J$8:$J$21)),_xlfn.IFS(Calculs!Q62=Calculs!R62,_xlfn.IFS(F83&gt;Calculs!Q62,"U insuffisant",AND(F83&lt;=Calculs!Q62,OR(G83="non",G83=0)),Calculs!S62,AND(F83&lt;=Calculs!Q62,G83="oui"),Calculs!T62),Calculs!Q62&lt;&gt;Calculs!R62,_xlfn.IFS(F83&gt;Calculs!Q62,"U insuffisant",AND(F83&lt;=Calculs!Q62,F83&gt;Calculs!R62,OR(G83="non",G83=0)),Calculs!S62,AND(F83&lt;=Calculs!Q62,F83&gt;Calculs!R62,G83="oui"),Calculs!T62,AND(F83&lt;=Calculs!R62,OR(G83="non",G83=0)),Calculs!U62,AND(F83&lt;=Calculs!R62,G83="oui"),Calculs!V62))))</f>
        <v>0</v>
      </c>
      <c r="I83" s="58">
        <f>IF(OR(H83="U insuffisant",H83="U incohérent"),0,H83*'Encodage données'!E124)</f>
        <v>0</v>
      </c>
      <c r="J83" s="116"/>
      <c r="K83" s="116"/>
    </row>
    <row r="84" spans="1:11" x14ac:dyDescent="0.25">
      <c r="A84" s="116"/>
      <c r="B84" s="116"/>
      <c r="C84" s="131" t="str">
        <f t="shared" si="0"/>
        <v xml:space="preserve"> </v>
      </c>
      <c r="D84" s="55">
        <v>0</v>
      </c>
      <c r="E84" s="228">
        <v>0</v>
      </c>
      <c r="F84" s="32">
        <v>0</v>
      </c>
      <c r="G84" s="54">
        <f>IF(E84="Pas de modification","-",'Encodage données'!J125)</f>
        <v>0</v>
      </c>
      <c r="H84" s="220" cm="1">
        <f t="array" ref="H84" xml:space="preserve"> IF(E84='Données Giant'!$A$22,0,_xlfn.IFS(E84=0,0,AND(E84="Pas de modification",AND(F84&gt; _xlfn.XLOOKUP('Encodage données'!$H125,'Données Giant'!$A$8:$A$21,'Données Giant'!$J$8:$J$21),F84&lt;= _xlfn.XLOOKUP('Encodage données'!$H125,'Données Giant'!$A$8:$A$21,'Données Giant'!$K$8:$K$21))),0,F84&lt;= _xlfn.XLOOKUP('Encodage données'!$H125,'Données Giant'!$A$8:$A$21,'Données Giant'!$J$8:$J$21),"U incohérent",F84&gt; _xlfn.XLOOKUP('Encodage données'!$H125,'Données Giant'!$A$8:$A$21,'Données Giant'!$K$8:$K$21), "U incohérent",AND(F84&lt;= _xlfn.XLOOKUP('Encodage données'!$H125,'Données Giant'!$A$8:$A$21,'Données Giant'!$K$8:$K$21),F84&gt; _xlfn.XLOOKUP('Encodage données'!$H125,'Données Giant'!$A$8:$A$21,'Données Giant'!$J$8:$J$21)),_xlfn.IFS(Calculs!Q63=Calculs!R63,_xlfn.IFS(F84&gt;Calculs!Q63,"U insuffisant",AND(F84&lt;=Calculs!Q63,OR(G84="non",G84=0)),Calculs!S63,AND(F84&lt;=Calculs!Q63,G84="oui"),Calculs!T63),Calculs!Q63&lt;&gt;Calculs!R63,_xlfn.IFS(F84&gt;Calculs!Q63,"U insuffisant",AND(F84&lt;=Calculs!Q63,F84&gt;Calculs!R63,OR(G84="non",G84=0)),Calculs!S63,AND(F84&lt;=Calculs!Q63,F84&gt;Calculs!R63,G84="oui"),Calculs!T63,AND(F84&lt;=Calculs!R63,OR(G84="non",G84=0)),Calculs!U63,AND(F84&lt;=Calculs!R63,G84="oui"),Calculs!V63))))</f>
        <v>0</v>
      </c>
      <c r="I84" s="58">
        <f>IF(OR(H84="U insuffisant",H84="U incohérent"),0,H84*'Encodage données'!E125)</f>
        <v>0</v>
      </c>
      <c r="J84" s="116"/>
      <c r="K84" s="116"/>
    </row>
    <row r="85" spans="1:11" x14ac:dyDescent="0.25">
      <c r="A85" s="116"/>
      <c r="B85" s="116"/>
      <c r="C85" s="131" t="str">
        <f t="shared" si="0"/>
        <v xml:space="preserve"> </v>
      </c>
      <c r="D85" s="55">
        <v>0</v>
      </c>
      <c r="E85" s="228">
        <v>0</v>
      </c>
      <c r="F85" s="32">
        <v>0</v>
      </c>
      <c r="G85" s="54">
        <f>IF(E85="Pas de modification","-",'Encodage données'!J126)</f>
        <v>0</v>
      </c>
      <c r="H85" s="220" cm="1">
        <f t="array" ref="H85" xml:space="preserve"> IF(E85='Données Giant'!$A$22,0,_xlfn.IFS(E85=0,0,AND(E85="Pas de modification",AND(F85&gt; _xlfn.XLOOKUP('Encodage données'!$H126,'Données Giant'!$A$8:$A$21,'Données Giant'!$J$8:$J$21),F85&lt;= _xlfn.XLOOKUP('Encodage données'!$H126,'Données Giant'!$A$8:$A$21,'Données Giant'!$K$8:$K$21))),0,F85&lt;= _xlfn.XLOOKUP('Encodage données'!$H126,'Données Giant'!$A$8:$A$21,'Données Giant'!$J$8:$J$21),"U incohérent",F85&gt; _xlfn.XLOOKUP('Encodage données'!$H126,'Données Giant'!$A$8:$A$21,'Données Giant'!$K$8:$K$21), "U incohérent",AND(F85&lt;= _xlfn.XLOOKUP('Encodage données'!$H126,'Données Giant'!$A$8:$A$21,'Données Giant'!$K$8:$K$21),F85&gt; _xlfn.XLOOKUP('Encodage données'!$H126,'Données Giant'!$A$8:$A$21,'Données Giant'!$J$8:$J$21)),_xlfn.IFS(Calculs!Q64=Calculs!R64,_xlfn.IFS(F85&gt;Calculs!Q64,"U insuffisant",AND(F85&lt;=Calculs!Q64,OR(G85="non",G85=0)),Calculs!S64,AND(F85&lt;=Calculs!Q64,G85="oui"),Calculs!T64),Calculs!Q64&lt;&gt;Calculs!R64,_xlfn.IFS(F85&gt;Calculs!Q64,"U insuffisant",AND(F85&lt;=Calculs!Q64,F85&gt;Calculs!R64,OR(G85="non",G85=0)),Calculs!S64,AND(F85&lt;=Calculs!Q64,F85&gt;Calculs!R64,G85="oui"),Calculs!T64,AND(F85&lt;=Calculs!R64,OR(G85="non",G85=0)),Calculs!U64,AND(F85&lt;=Calculs!R64,G85="oui"),Calculs!V64))))</f>
        <v>0</v>
      </c>
      <c r="I85" s="58">
        <f>IF(OR(H85="U insuffisant",H85="U incohérent"),0,H85*'Encodage données'!E126)</f>
        <v>0</v>
      </c>
      <c r="J85" s="116"/>
      <c r="K85" s="116"/>
    </row>
    <row r="86" spans="1:11" x14ac:dyDescent="0.25">
      <c r="A86" s="116"/>
      <c r="B86" s="116"/>
      <c r="C86" s="131" t="str">
        <f t="shared" si="0"/>
        <v xml:space="preserve"> </v>
      </c>
      <c r="D86" s="55">
        <v>0</v>
      </c>
      <c r="E86" s="228">
        <v>0</v>
      </c>
      <c r="F86" s="32">
        <v>0</v>
      </c>
      <c r="G86" s="54">
        <f>IF(E86="Pas de modification","-",'Encodage données'!J127)</f>
        <v>0</v>
      </c>
      <c r="H86" s="220" cm="1">
        <f t="array" ref="H86" xml:space="preserve"> IF(E86='Données Giant'!$A$22,0,_xlfn.IFS(E86=0,0,AND(E86="Pas de modification",AND(F86&gt; _xlfn.XLOOKUP('Encodage données'!$H127,'Données Giant'!$A$8:$A$21,'Données Giant'!$J$8:$J$21),F86&lt;= _xlfn.XLOOKUP('Encodage données'!$H127,'Données Giant'!$A$8:$A$21,'Données Giant'!$K$8:$K$21))),0,F86&lt;= _xlfn.XLOOKUP('Encodage données'!$H127,'Données Giant'!$A$8:$A$21,'Données Giant'!$J$8:$J$21),"U incohérent",F86&gt; _xlfn.XLOOKUP('Encodage données'!$H127,'Données Giant'!$A$8:$A$21,'Données Giant'!$K$8:$K$21), "U incohérent",AND(F86&lt;= _xlfn.XLOOKUP('Encodage données'!$H127,'Données Giant'!$A$8:$A$21,'Données Giant'!$K$8:$K$21),F86&gt; _xlfn.XLOOKUP('Encodage données'!$H127,'Données Giant'!$A$8:$A$21,'Données Giant'!$J$8:$J$21)),_xlfn.IFS(Calculs!Q65=Calculs!R65,_xlfn.IFS(F86&gt;Calculs!Q65,"U insuffisant",AND(F86&lt;=Calculs!Q65,OR(G86="non",G86=0)),Calculs!S65,AND(F86&lt;=Calculs!Q65,G86="oui"),Calculs!T65),Calculs!Q65&lt;&gt;Calculs!R65,_xlfn.IFS(F86&gt;Calculs!Q65,"U insuffisant",AND(F86&lt;=Calculs!Q65,F86&gt;Calculs!R65,OR(G86="non",G86=0)),Calculs!S65,AND(F86&lt;=Calculs!Q65,F86&gt;Calculs!R65,G86="oui"),Calculs!T65,AND(F86&lt;=Calculs!R65,OR(G86="non",G86=0)),Calculs!U65,AND(F86&lt;=Calculs!R65,G86="oui"),Calculs!V65))))</f>
        <v>0</v>
      </c>
      <c r="I86" s="58">
        <f>IF(OR(H86="U insuffisant",H86="U incohérent"),0,H86*'Encodage données'!E127)</f>
        <v>0</v>
      </c>
      <c r="J86" s="116"/>
      <c r="K86" s="116"/>
    </row>
    <row r="87" spans="1:11" x14ac:dyDescent="0.25">
      <c r="A87" s="116"/>
      <c r="B87" s="116"/>
      <c r="C87" s="131" t="str">
        <f t="shared" si="0"/>
        <v xml:space="preserve"> </v>
      </c>
      <c r="D87" s="55">
        <v>0</v>
      </c>
      <c r="E87" s="228">
        <v>0</v>
      </c>
      <c r="F87" s="32">
        <v>0</v>
      </c>
      <c r="G87" s="54">
        <f>IF(E87="Pas de modification","-",'Encodage données'!J128)</f>
        <v>0</v>
      </c>
      <c r="H87" s="220" cm="1">
        <f t="array" ref="H87" xml:space="preserve"> IF(E87='Données Giant'!$A$22,0,_xlfn.IFS(E87=0,0,AND(E87="Pas de modification",AND(F87&gt; _xlfn.XLOOKUP('Encodage données'!$H128,'Données Giant'!$A$8:$A$21,'Données Giant'!$J$8:$J$21),F87&lt;= _xlfn.XLOOKUP('Encodage données'!$H128,'Données Giant'!$A$8:$A$21,'Données Giant'!$K$8:$K$21))),0,F87&lt;= _xlfn.XLOOKUP('Encodage données'!$H128,'Données Giant'!$A$8:$A$21,'Données Giant'!$J$8:$J$21),"U incohérent",F87&gt; _xlfn.XLOOKUP('Encodage données'!$H128,'Données Giant'!$A$8:$A$21,'Données Giant'!$K$8:$K$21), "U incohérent",AND(F87&lt;= _xlfn.XLOOKUP('Encodage données'!$H128,'Données Giant'!$A$8:$A$21,'Données Giant'!$K$8:$K$21),F87&gt; _xlfn.XLOOKUP('Encodage données'!$H128,'Données Giant'!$A$8:$A$21,'Données Giant'!$J$8:$J$21)),_xlfn.IFS(Calculs!Q66=Calculs!R66,_xlfn.IFS(F87&gt;Calculs!Q66,"U insuffisant",AND(F87&lt;=Calculs!Q66,OR(G87="non",G87=0)),Calculs!S66,AND(F87&lt;=Calculs!Q66,G87="oui"),Calculs!T66),Calculs!Q66&lt;&gt;Calculs!R66,_xlfn.IFS(F87&gt;Calculs!Q66,"U insuffisant",AND(F87&lt;=Calculs!Q66,F87&gt;Calculs!R66,OR(G87="non",G87=0)),Calculs!S66,AND(F87&lt;=Calculs!Q66,F87&gt;Calculs!R66,G87="oui"),Calculs!T66,AND(F87&lt;=Calculs!R66,OR(G87="non",G87=0)),Calculs!U66,AND(F87&lt;=Calculs!R66,G87="oui"),Calculs!V66))))</f>
        <v>0</v>
      </c>
      <c r="I87" s="58">
        <f>IF(OR(H87="U insuffisant",H87="U incohérent"),0,H87*'Encodage données'!E128)</f>
        <v>0</v>
      </c>
      <c r="J87" s="116"/>
      <c r="K87" s="116"/>
    </row>
    <row r="88" spans="1:11" x14ac:dyDescent="0.25">
      <c r="A88" s="116"/>
      <c r="B88" s="116"/>
      <c r="C88" s="131" t="str">
        <f t="shared" si="0"/>
        <v xml:space="preserve"> </v>
      </c>
      <c r="D88" s="55">
        <v>0</v>
      </c>
      <c r="E88" s="228">
        <v>0</v>
      </c>
      <c r="F88" s="32">
        <v>0</v>
      </c>
      <c r="G88" s="54">
        <f>IF(E88="Pas de modification","-",'Encodage données'!J129)</f>
        <v>0</v>
      </c>
      <c r="H88" s="220" cm="1">
        <f t="array" ref="H88" xml:space="preserve"> IF(E88='Données Giant'!$A$22,0,_xlfn.IFS(E88=0,0,AND(E88="Pas de modification",AND(F88&gt; _xlfn.XLOOKUP('Encodage données'!$H129,'Données Giant'!$A$8:$A$21,'Données Giant'!$J$8:$J$21),F88&lt;= _xlfn.XLOOKUP('Encodage données'!$H129,'Données Giant'!$A$8:$A$21,'Données Giant'!$K$8:$K$21))),0,F88&lt;= _xlfn.XLOOKUP('Encodage données'!$H129,'Données Giant'!$A$8:$A$21,'Données Giant'!$J$8:$J$21),"U incohérent",F88&gt; _xlfn.XLOOKUP('Encodage données'!$H129,'Données Giant'!$A$8:$A$21,'Données Giant'!$K$8:$K$21), "U incohérent",AND(F88&lt;= _xlfn.XLOOKUP('Encodage données'!$H129,'Données Giant'!$A$8:$A$21,'Données Giant'!$K$8:$K$21),F88&gt; _xlfn.XLOOKUP('Encodage données'!$H129,'Données Giant'!$A$8:$A$21,'Données Giant'!$J$8:$J$21)),_xlfn.IFS(Calculs!Q67=Calculs!R67,_xlfn.IFS(F88&gt;Calculs!Q67,"U insuffisant",AND(F88&lt;=Calculs!Q67,OR(G88="non",G88=0)),Calculs!S67,AND(F88&lt;=Calculs!Q67,G88="oui"),Calculs!T67),Calculs!Q67&lt;&gt;Calculs!R67,_xlfn.IFS(F88&gt;Calculs!Q67,"U insuffisant",AND(F88&lt;=Calculs!Q67,F88&gt;Calculs!R67,OR(G88="non",G88=0)),Calculs!S67,AND(F88&lt;=Calculs!Q67,F88&gt;Calculs!R67,G88="oui"),Calculs!T67,AND(F88&lt;=Calculs!R67,OR(G88="non",G88=0)),Calculs!U67,AND(F88&lt;=Calculs!R67,G88="oui"),Calculs!V67))))</f>
        <v>0</v>
      </c>
      <c r="I88" s="58">
        <f>IF(OR(H88="U insuffisant",H88="U incohérent"),0,H88*'Encodage données'!E129)</f>
        <v>0</v>
      </c>
      <c r="J88" s="116"/>
      <c r="K88" s="116"/>
    </row>
    <row r="89" spans="1:11" x14ac:dyDescent="0.25">
      <c r="A89" s="116"/>
      <c r="B89" s="116"/>
      <c r="C89" s="131" t="str">
        <f t="shared" ref="C89:C141" si="1">IF(H89="U insuffisant","U est insuffisant pour la prime !",IF(H89="U incohérent","U est incohérent ! "," "))</f>
        <v xml:space="preserve"> </v>
      </c>
      <c r="D89" s="55">
        <v>0</v>
      </c>
      <c r="E89" s="228">
        <v>0</v>
      </c>
      <c r="F89" s="32">
        <v>0</v>
      </c>
      <c r="G89" s="54">
        <f>IF(E89="Pas de modification","-",'Encodage données'!J130)</f>
        <v>0</v>
      </c>
      <c r="H89" s="220" cm="1">
        <f t="array" ref="H89" xml:space="preserve"> IF(E89='Données Giant'!$A$22,0,_xlfn.IFS(E89=0,0,AND(E89="Pas de modification",AND(F89&gt; _xlfn.XLOOKUP('Encodage données'!$H130,'Données Giant'!$A$8:$A$21,'Données Giant'!$J$8:$J$21),F89&lt;= _xlfn.XLOOKUP('Encodage données'!$H130,'Données Giant'!$A$8:$A$21,'Données Giant'!$K$8:$K$21))),0,F89&lt;= _xlfn.XLOOKUP('Encodage données'!$H130,'Données Giant'!$A$8:$A$21,'Données Giant'!$J$8:$J$21),"U incohérent",F89&gt; _xlfn.XLOOKUP('Encodage données'!$H130,'Données Giant'!$A$8:$A$21,'Données Giant'!$K$8:$K$21), "U incohérent",AND(F89&lt;= _xlfn.XLOOKUP('Encodage données'!$H130,'Données Giant'!$A$8:$A$21,'Données Giant'!$K$8:$K$21),F89&gt; _xlfn.XLOOKUP('Encodage données'!$H130,'Données Giant'!$A$8:$A$21,'Données Giant'!$J$8:$J$21)),_xlfn.IFS(Calculs!Q68=Calculs!R68,_xlfn.IFS(F89&gt;Calculs!Q68,"U insuffisant",AND(F89&lt;=Calculs!Q68,OR(G89="non",G89=0)),Calculs!S68,AND(F89&lt;=Calculs!Q68,G89="oui"),Calculs!T68),Calculs!Q68&lt;&gt;Calculs!R68,_xlfn.IFS(F89&gt;Calculs!Q68,"U insuffisant",AND(F89&lt;=Calculs!Q68,F89&gt;Calculs!R68,OR(G89="non",G89=0)),Calculs!S68,AND(F89&lt;=Calculs!Q68,F89&gt;Calculs!R68,G89="oui"),Calculs!T68,AND(F89&lt;=Calculs!R68,OR(G89="non",G89=0)),Calculs!U68,AND(F89&lt;=Calculs!R68,G89="oui"),Calculs!V68))))</f>
        <v>0</v>
      </c>
      <c r="I89" s="58">
        <f>IF(OR(H89="U insuffisant",H89="U incohérent"),0,H89*'Encodage données'!E130)</f>
        <v>0</v>
      </c>
      <c r="J89" s="116"/>
      <c r="K89" s="116"/>
    </row>
    <row r="90" spans="1:11" x14ac:dyDescent="0.25">
      <c r="A90" s="116"/>
      <c r="B90" s="116"/>
      <c r="C90" s="131" t="str">
        <f t="shared" si="1"/>
        <v xml:space="preserve"> </v>
      </c>
      <c r="D90" s="55">
        <v>0</v>
      </c>
      <c r="E90" s="228">
        <v>0</v>
      </c>
      <c r="F90" s="32">
        <v>0</v>
      </c>
      <c r="G90" s="54">
        <f>IF(E90="Pas de modification","-",'Encodage données'!J131)</f>
        <v>0</v>
      </c>
      <c r="H90" s="220" cm="1">
        <f t="array" ref="H90" xml:space="preserve"> IF(E90='Données Giant'!$A$22,0,_xlfn.IFS(E90=0,0,AND(E90="Pas de modification",AND(F90&gt; _xlfn.XLOOKUP('Encodage données'!$H131,'Données Giant'!$A$8:$A$21,'Données Giant'!$J$8:$J$21),F90&lt;= _xlfn.XLOOKUP('Encodage données'!$H131,'Données Giant'!$A$8:$A$21,'Données Giant'!$K$8:$K$21))),0,F90&lt;= _xlfn.XLOOKUP('Encodage données'!$H131,'Données Giant'!$A$8:$A$21,'Données Giant'!$J$8:$J$21),"U incohérent",F90&gt; _xlfn.XLOOKUP('Encodage données'!$H131,'Données Giant'!$A$8:$A$21,'Données Giant'!$K$8:$K$21), "U incohérent",AND(F90&lt;= _xlfn.XLOOKUP('Encodage données'!$H131,'Données Giant'!$A$8:$A$21,'Données Giant'!$K$8:$K$21),F90&gt; _xlfn.XLOOKUP('Encodage données'!$H131,'Données Giant'!$A$8:$A$21,'Données Giant'!$J$8:$J$21)),_xlfn.IFS(Calculs!Q69=Calculs!R69,_xlfn.IFS(F90&gt;Calculs!Q69,"U insuffisant",AND(F90&lt;=Calculs!Q69,OR(G90="non",G90=0)),Calculs!S69,AND(F90&lt;=Calculs!Q69,G90="oui"),Calculs!T69),Calculs!Q69&lt;&gt;Calculs!R69,_xlfn.IFS(F90&gt;Calculs!Q69,"U insuffisant",AND(F90&lt;=Calculs!Q69,F90&gt;Calculs!R69,OR(G90="non",G90=0)),Calculs!S69,AND(F90&lt;=Calculs!Q69,F90&gt;Calculs!R69,G90="oui"),Calculs!T69,AND(F90&lt;=Calculs!R69,OR(G90="non",G90=0)),Calculs!U69,AND(F90&lt;=Calculs!R69,G90="oui"),Calculs!V69))))</f>
        <v>0</v>
      </c>
      <c r="I90" s="58">
        <f>IF(OR(H90="U insuffisant",H90="U incohérent"),0,H90*'Encodage données'!E131)</f>
        <v>0</v>
      </c>
      <c r="J90" s="116"/>
      <c r="K90" s="116"/>
    </row>
    <row r="91" spans="1:11" x14ac:dyDescent="0.25">
      <c r="A91" s="116"/>
      <c r="B91" s="116"/>
      <c r="C91" s="131" t="str">
        <f t="shared" si="1"/>
        <v xml:space="preserve"> </v>
      </c>
      <c r="D91" s="55">
        <v>0</v>
      </c>
      <c r="E91" s="228">
        <v>0</v>
      </c>
      <c r="F91" s="32">
        <v>0</v>
      </c>
      <c r="G91" s="54">
        <f>IF(E91="Pas de modification","-",'Encodage données'!J132)</f>
        <v>0</v>
      </c>
      <c r="H91" s="220" cm="1">
        <f t="array" ref="H91" xml:space="preserve"> IF(E91='Données Giant'!$A$22,0,_xlfn.IFS(E91=0,0,AND(E91="Pas de modification",AND(F91&gt; _xlfn.XLOOKUP('Encodage données'!$H132,'Données Giant'!$A$8:$A$21,'Données Giant'!$J$8:$J$21),F91&lt;= _xlfn.XLOOKUP('Encodage données'!$H132,'Données Giant'!$A$8:$A$21,'Données Giant'!$K$8:$K$21))),0,F91&lt;= _xlfn.XLOOKUP('Encodage données'!$H132,'Données Giant'!$A$8:$A$21,'Données Giant'!$J$8:$J$21),"U incohérent",F91&gt; _xlfn.XLOOKUP('Encodage données'!$H132,'Données Giant'!$A$8:$A$21,'Données Giant'!$K$8:$K$21), "U incohérent",AND(F91&lt;= _xlfn.XLOOKUP('Encodage données'!$H132,'Données Giant'!$A$8:$A$21,'Données Giant'!$K$8:$K$21),F91&gt; _xlfn.XLOOKUP('Encodage données'!$H132,'Données Giant'!$A$8:$A$21,'Données Giant'!$J$8:$J$21)),_xlfn.IFS(Calculs!Q70=Calculs!R70,_xlfn.IFS(F91&gt;Calculs!Q70,"U insuffisant",AND(F91&lt;=Calculs!Q70,OR(G91="non",G91=0)),Calculs!S70,AND(F91&lt;=Calculs!Q70,G91="oui"),Calculs!T70),Calculs!Q70&lt;&gt;Calculs!R70,_xlfn.IFS(F91&gt;Calculs!Q70,"U insuffisant",AND(F91&lt;=Calculs!Q70,F91&gt;Calculs!R70,OR(G91="non",G91=0)),Calculs!S70,AND(F91&lt;=Calculs!Q70,F91&gt;Calculs!R70,G91="oui"),Calculs!T70,AND(F91&lt;=Calculs!R70,OR(G91="non",G91=0)),Calculs!U70,AND(F91&lt;=Calculs!R70,G91="oui"),Calculs!V70))))</f>
        <v>0</v>
      </c>
      <c r="I91" s="58">
        <f>IF(OR(H91="U insuffisant",H91="U incohérent"),0,H91*'Encodage données'!E132)</f>
        <v>0</v>
      </c>
      <c r="J91" s="116"/>
      <c r="K91" s="116"/>
    </row>
    <row r="92" spans="1:11" x14ac:dyDescent="0.25">
      <c r="A92" s="116"/>
      <c r="B92" s="116"/>
      <c r="C92" s="131" t="str">
        <f t="shared" si="1"/>
        <v xml:space="preserve"> </v>
      </c>
      <c r="D92" s="55">
        <v>0</v>
      </c>
      <c r="E92" s="228">
        <v>0</v>
      </c>
      <c r="F92" s="32">
        <v>0</v>
      </c>
      <c r="G92" s="54">
        <f>IF(E92="Pas de modification","-",'Encodage données'!J133)</f>
        <v>0</v>
      </c>
      <c r="H92" s="220" cm="1">
        <f t="array" ref="H92" xml:space="preserve"> IF(E92='Données Giant'!$A$22,0,_xlfn.IFS(E92=0,0,AND(E92="Pas de modification",AND(F92&gt; _xlfn.XLOOKUP('Encodage données'!$H133,'Données Giant'!$A$8:$A$21,'Données Giant'!$J$8:$J$21),F92&lt;= _xlfn.XLOOKUP('Encodage données'!$H133,'Données Giant'!$A$8:$A$21,'Données Giant'!$K$8:$K$21))),0,F92&lt;= _xlfn.XLOOKUP('Encodage données'!$H133,'Données Giant'!$A$8:$A$21,'Données Giant'!$J$8:$J$21),"U incohérent",F92&gt; _xlfn.XLOOKUP('Encodage données'!$H133,'Données Giant'!$A$8:$A$21,'Données Giant'!$K$8:$K$21), "U incohérent",AND(F92&lt;= _xlfn.XLOOKUP('Encodage données'!$H133,'Données Giant'!$A$8:$A$21,'Données Giant'!$K$8:$K$21),F92&gt; _xlfn.XLOOKUP('Encodage données'!$H133,'Données Giant'!$A$8:$A$21,'Données Giant'!$J$8:$J$21)),_xlfn.IFS(Calculs!Q71=Calculs!R71,_xlfn.IFS(F92&gt;Calculs!Q71,"U insuffisant",AND(F92&lt;=Calculs!Q71,OR(G92="non",G92=0)),Calculs!S71,AND(F92&lt;=Calculs!Q71,G92="oui"),Calculs!T71),Calculs!Q71&lt;&gt;Calculs!R71,_xlfn.IFS(F92&gt;Calculs!Q71,"U insuffisant",AND(F92&lt;=Calculs!Q71,F92&gt;Calculs!R71,OR(G92="non",G92=0)),Calculs!S71,AND(F92&lt;=Calculs!Q71,F92&gt;Calculs!R71,G92="oui"),Calculs!T71,AND(F92&lt;=Calculs!R71,OR(G92="non",G92=0)),Calculs!U71,AND(F92&lt;=Calculs!R71,G92="oui"),Calculs!V71))))</f>
        <v>0</v>
      </c>
      <c r="I92" s="58">
        <f>IF(OR(H92="U insuffisant",H92="U incohérent"),0,H92*'Encodage données'!E133)</f>
        <v>0</v>
      </c>
      <c r="J92" s="116"/>
      <c r="K92" s="116"/>
    </row>
    <row r="93" spans="1:11" x14ac:dyDescent="0.25">
      <c r="A93" s="116"/>
      <c r="B93" s="116"/>
      <c r="C93" s="131" t="str">
        <f t="shared" si="1"/>
        <v xml:space="preserve"> </v>
      </c>
      <c r="D93" s="55">
        <v>0</v>
      </c>
      <c r="E93" s="228">
        <v>0</v>
      </c>
      <c r="F93" s="32">
        <v>0</v>
      </c>
      <c r="G93" s="54">
        <f>IF(E93="Pas de modification","-",'Encodage données'!J134)</f>
        <v>0</v>
      </c>
      <c r="H93" s="220" cm="1">
        <f t="array" ref="H93" xml:space="preserve"> IF(E93='Données Giant'!$A$22,0,_xlfn.IFS(E93=0,0,AND(E93="Pas de modification",AND(F93&gt; _xlfn.XLOOKUP('Encodage données'!$H134,'Données Giant'!$A$8:$A$21,'Données Giant'!$J$8:$J$21),F93&lt;= _xlfn.XLOOKUP('Encodage données'!$H134,'Données Giant'!$A$8:$A$21,'Données Giant'!$K$8:$K$21))),0,F93&lt;= _xlfn.XLOOKUP('Encodage données'!$H134,'Données Giant'!$A$8:$A$21,'Données Giant'!$J$8:$J$21),"U incohérent",F93&gt; _xlfn.XLOOKUP('Encodage données'!$H134,'Données Giant'!$A$8:$A$21,'Données Giant'!$K$8:$K$21), "U incohérent",AND(F93&lt;= _xlfn.XLOOKUP('Encodage données'!$H134,'Données Giant'!$A$8:$A$21,'Données Giant'!$K$8:$K$21),F93&gt; _xlfn.XLOOKUP('Encodage données'!$H134,'Données Giant'!$A$8:$A$21,'Données Giant'!$J$8:$J$21)),_xlfn.IFS(Calculs!Q72=Calculs!R72,_xlfn.IFS(F93&gt;Calculs!Q72,"U insuffisant",AND(F93&lt;=Calculs!Q72,OR(G93="non",G93=0)),Calculs!S72,AND(F93&lt;=Calculs!Q72,G93="oui"),Calculs!T72),Calculs!Q72&lt;&gt;Calculs!R72,_xlfn.IFS(F93&gt;Calculs!Q72,"U insuffisant",AND(F93&lt;=Calculs!Q72,F93&gt;Calculs!R72,OR(G93="non",G93=0)),Calculs!S72,AND(F93&lt;=Calculs!Q72,F93&gt;Calculs!R72,G93="oui"),Calculs!T72,AND(F93&lt;=Calculs!R72,OR(G93="non",G93=0)),Calculs!U72,AND(F93&lt;=Calculs!R72,G93="oui"),Calculs!V72))))</f>
        <v>0</v>
      </c>
      <c r="I93" s="58">
        <f>IF(OR(H93="U insuffisant",H93="U incohérent"),0,H93*'Encodage données'!E134)</f>
        <v>0</v>
      </c>
      <c r="J93" s="116"/>
      <c r="K93" s="116"/>
    </row>
    <row r="94" spans="1:11" x14ac:dyDescent="0.25">
      <c r="A94" s="116"/>
      <c r="B94" s="116"/>
      <c r="C94" s="131" t="str">
        <f t="shared" si="1"/>
        <v xml:space="preserve"> </v>
      </c>
      <c r="D94" s="55">
        <v>0</v>
      </c>
      <c r="E94" s="228">
        <v>0</v>
      </c>
      <c r="F94" s="32">
        <v>0</v>
      </c>
      <c r="G94" s="54">
        <f>IF(E94="Pas de modification","-",'Encodage données'!J135)</f>
        <v>0</v>
      </c>
      <c r="H94" s="220" cm="1">
        <f t="array" ref="H94" xml:space="preserve"> IF(E94='Données Giant'!$A$22,0,_xlfn.IFS(E94=0,0,AND(E94="Pas de modification",AND(F94&gt; _xlfn.XLOOKUP('Encodage données'!$H135,'Données Giant'!$A$8:$A$21,'Données Giant'!$J$8:$J$21),F94&lt;= _xlfn.XLOOKUP('Encodage données'!$H135,'Données Giant'!$A$8:$A$21,'Données Giant'!$K$8:$K$21))),0,F94&lt;= _xlfn.XLOOKUP('Encodage données'!$H135,'Données Giant'!$A$8:$A$21,'Données Giant'!$J$8:$J$21),"U incohérent",F94&gt; _xlfn.XLOOKUP('Encodage données'!$H135,'Données Giant'!$A$8:$A$21,'Données Giant'!$K$8:$K$21), "U incohérent",AND(F94&lt;= _xlfn.XLOOKUP('Encodage données'!$H135,'Données Giant'!$A$8:$A$21,'Données Giant'!$K$8:$K$21),F94&gt; _xlfn.XLOOKUP('Encodage données'!$H135,'Données Giant'!$A$8:$A$21,'Données Giant'!$J$8:$J$21)),_xlfn.IFS(Calculs!Q73=Calculs!R73,_xlfn.IFS(F94&gt;Calculs!Q73,"U insuffisant",AND(F94&lt;=Calculs!Q73,OR(G94="non",G94=0)),Calculs!S73,AND(F94&lt;=Calculs!Q73,G94="oui"),Calculs!T73),Calculs!Q73&lt;&gt;Calculs!R73,_xlfn.IFS(F94&gt;Calculs!Q73,"U insuffisant",AND(F94&lt;=Calculs!Q73,F94&gt;Calculs!R73,OR(G94="non",G94=0)),Calculs!S73,AND(F94&lt;=Calculs!Q73,F94&gt;Calculs!R73,G94="oui"),Calculs!T73,AND(F94&lt;=Calculs!R73,OR(G94="non",G94=0)),Calculs!U73,AND(F94&lt;=Calculs!R73,G94="oui"),Calculs!V73))))</f>
        <v>0</v>
      </c>
      <c r="I94" s="58">
        <f>IF(OR(H94="U insuffisant",H94="U incohérent"),0,H94*'Encodage données'!E135)</f>
        <v>0</v>
      </c>
      <c r="J94" s="116"/>
      <c r="K94" s="116"/>
    </row>
    <row r="95" spans="1:11" x14ac:dyDescent="0.25">
      <c r="A95" s="116"/>
      <c r="B95" s="116"/>
      <c r="C95" s="131" t="str">
        <f t="shared" si="1"/>
        <v xml:space="preserve"> </v>
      </c>
      <c r="D95" s="55">
        <v>0</v>
      </c>
      <c r="E95" s="228">
        <v>0</v>
      </c>
      <c r="F95" s="32">
        <v>0</v>
      </c>
      <c r="G95" s="54">
        <f>IF(E95="Pas de modification","-",'Encodage données'!J136)</f>
        <v>0</v>
      </c>
      <c r="H95" s="220" cm="1">
        <f t="array" ref="H95" xml:space="preserve"> IF(E95='Données Giant'!$A$22,0,_xlfn.IFS(E95=0,0,AND(E95="Pas de modification",AND(F95&gt; _xlfn.XLOOKUP('Encodage données'!$H136,'Données Giant'!$A$8:$A$21,'Données Giant'!$J$8:$J$21),F95&lt;= _xlfn.XLOOKUP('Encodage données'!$H136,'Données Giant'!$A$8:$A$21,'Données Giant'!$K$8:$K$21))),0,F95&lt;= _xlfn.XLOOKUP('Encodage données'!$H136,'Données Giant'!$A$8:$A$21,'Données Giant'!$J$8:$J$21),"U incohérent",F95&gt; _xlfn.XLOOKUP('Encodage données'!$H136,'Données Giant'!$A$8:$A$21,'Données Giant'!$K$8:$K$21), "U incohérent",AND(F95&lt;= _xlfn.XLOOKUP('Encodage données'!$H136,'Données Giant'!$A$8:$A$21,'Données Giant'!$K$8:$K$21),F95&gt; _xlfn.XLOOKUP('Encodage données'!$H136,'Données Giant'!$A$8:$A$21,'Données Giant'!$J$8:$J$21)),_xlfn.IFS(Calculs!Q74=Calculs!R74,_xlfn.IFS(F95&gt;Calculs!Q74,"U insuffisant",AND(F95&lt;=Calculs!Q74,OR(G95="non",G95=0)),Calculs!S74,AND(F95&lt;=Calculs!Q74,G95="oui"),Calculs!T74),Calculs!Q74&lt;&gt;Calculs!R74,_xlfn.IFS(F95&gt;Calculs!Q74,"U insuffisant",AND(F95&lt;=Calculs!Q74,F95&gt;Calculs!R74,OR(G95="non",G95=0)),Calculs!S74,AND(F95&lt;=Calculs!Q74,F95&gt;Calculs!R74,G95="oui"),Calculs!T74,AND(F95&lt;=Calculs!R74,OR(G95="non",G95=0)),Calculs!U74,AND(F95&lt;=Calculs!R74,G95="oui"),Calculs!V74))))</f>
        <v>0</v>
      </c>
      <c r="I95" s="58">
        <f>IF(OR(H95="U insuffisant",H95="U incohérent"),0,H95*'Encodage données'!E136)</f>
        <v>0</v>
      </c>
      <c r="J95" s="116"/>
      <c r="K95" s="116"/>
    </row>
    <row r="96" spans="1:11" x14ac:dyDescent="0.25">
      <c r="A96" s="116"/>
      <c r="B96" s="116"/>
      <c r="C96" s="131" t="str">
        <f t="shared" si="1"/>
        <v xml:space="preserve"> </v>
      </c>
      <c r="D96" s="55">
        <v>0</v>
      </c>
      <c r="E96" s="228">
        <v>0</v>
      </c>
      <c r="F96" s="32">
        <v>0</v>
      </c>
      <c r="G96" s="54">
        <f>IF(E96="Pas de modification","-",'Encodage données'!J137)</f>
        <v>0</v>
      </c>
      <c r="H96" s="220" cm="1">
        <f t="array" ref="H96" xml:space="preserve"> IF(E96='Données Giant'!$A$22,0,_xlfn.IFS(E96=0,0,AND(E96="Pas de modification",AND(F96&gt; _xlfn.XLOOKUP('Encodage données'!$H137,'Données Giant'!$A$8:$A$21,'Données Giant'!$J$8:$J$21),F96&lt;= _xlfn.XLOOKUP('Encodage données'!$H137,'Données Giant'!$A$8:$A$21,'Données Giant'!$K$8:$K$21))),0,F96&lt;= _xlfn.XLOOKUP('Encodage données'!$H137,'Données Giant'!$A$8:$A$21,'Données Giant'!$J$8:$J$21),"U incohérent",F96&gt; _xlfn.XLOOKUP('Encodage données'!$H137,'Données Giant'!$A$8:$A$21,'Données Giant'!$K$8:$K$21), "U incohérent",AND(F96&lt;= _xlfn.XLOOKUP('Encodage données'!$H137,'Données Giant'!$A$8:$A$21,'Données Giant'!$K$8:$K$21),F96&gt; _xlfn.XLOOKUP('Encodage données'!$H137,'Données Giant'!$A$8:$A$21,'Données Giant'!$J$8:$J$21)),_xlfn.IFS(Calculs!Q75=Calculs!R75,_xlfn.IFS(F96&gt;Calculs!Q75,"U insuffisant",AND(F96&lt;=Calculs!Q75,OR(G96="non",G96=0)),Calculs!S75,AND(F96&lt;=Calculs!Q75,G96="oui"),Calculs!T75),Calculs!Q75&lt;&gt;Calculs!R75,_xlfn.IFS(F96&gt;Calculs!Q75,"U insuffisant",AND(F96&lt;=Calculs!Q75,F96&gt;Calculs!R75,OR(G96="non",G96=0)),Calculs!S75,AND(F96&lt;=Calculs!Q75,F96&gt;Calculs!R75,G96="oui"),Calculs!T75,AND(F96&lt;=Calculs!R75,OR(G96="non",G96=0)),Calculs!U75,AND(F96&lt;=Calculs!R75,G96="oui"),Calculs!V75))))</f>
        <v>0</v>
      </c>
      <c r="I96" s="58">
        <f>IF(OR(H96="U insuffisant",H96="U incohérent"),0,H96*'Encodage données'!E137)</f>
        <v>0</v>
      </c>
      <c r="J96" s="116"/>
      <c r="K96" s="116"/>
    </row>
    <row r="97" spans="1:11" x14ac:dyDescent="0.25">
      <c r="A97" s="116"/>
      <c r="B97" s="116"/>
      <c r="C97" s="131" t="str">
        <f t="shared" si="1"/>
        <v xml:space="preserve"> </v>
      </c>
      <c r="D97" s="55">
        <v>0</v>
      </c>
      <c r="E97" s="228">
        <v>0</v>
      </c>
      <c r="F97" s="32">
        <v>0</v>
      </c>
      <c r="G97" s="54">
        <f>IF(E97="Pas de modification","-",'Encodage données'!J138)</f>
        <v>0</v>
      </c>
      <c r="H97" s="220" cm="1">
        <f t="array" ref="H97" xml:space="preserve"> IF(E97='Données Giant'!$A$22,0,_xlfn.IFS(E97=0,0,AND(E97="Pas de modification",AND(F97&gt; _xlfn.XLOOKUP('Encodage données'!$H138,'Données Giant'!$A$8:$A$21,'Données Giant'!$J$8:$J$21),F97&lt;= _xlfn.XLOOKUP('Encodage données'!$H138,'Données Giant'!$A$8:$A$21,'Données Giant'!$K$8:$K$21))),0,F97&lt;= _xlfn.XLOOKUP('Encodage données'!$H138,'Données Giant'!$A$8:$A$21,'Données Giant'!$J$8:$J$21),"U incohérent",F97&gt; _xlfn.XLOOKUP('Encodage données'!$H138,'Données Giant'!$A$8:$A$21,'Données Giant'!$K$8:$K$21), "U incohérent",AND(F97&lt;= _xlfn.XLOOKUP('Encodage données'!$H138,'Données Giant'!$A$8:$A$21,'Données Giant'!$K$8:$K$21),F97&gt; _xlfn.XLOOKUP('Encodage données'!$H138,'Données Giant'!$A$8:$A$21,'Données Giant'!$J$8:$J$21)),_xlfn.IFS(Calculs!Q76=Calculs!R76,_xlfn.IFS(F97&gt;Calculs!Q76,"U insuffisant",AND(F97&lt;=Calculs!Q76,OR(G97="non",G97=0)),Calculs!S76,AND(F97&lt;=Calculs!Q76,G97="oui"),Calculs!T76),Calculs!Q76&lt;&gt;Calculs!R76,_xlfn.IFS(F97&gt;Calculs!Q76,"U insuffisant",AND(F97&lt;=Calculs!Q76,F97&gt;Calculs!R76,OR(G97="non",G97=0)),Calculs!S76,AND(F97&lt;=Calculs!Q76,F97&gt;Calculs!R76,G97="oui"),Calculs!T76,AND(F97&lt;=Calculs!R76,OR(G97="non",G97=0)),Calculs!U76,AND(F97&lt;=Calculs!R76,G97="oui"),Calculs!V76))))</f>
        <v>0</v>
      </c>
      <c r="I97" s="58">
        <f>IF(OR(H97="U insuffisant",H97="U incohérent"),0,H97*'Encodage données'!E138)</f>
        <v>0</v>
      </c>
      <c r="J97" s="116"/>
      <c r="K97" s="116"/>
    </row>
    <row r="98" spans="1:11" x14ac:dyDescent="0.25">
      <c r="A98" s="116"/>
      <c r="B98" s="116"/>
      <c r="C98" s="131" t="str">
        <f t="shared" si="1"/>
        <v xml:space="preserve"> </v>
      </c>
      <c r="D98" s="55">
        <v>0</v>
      </c>
      <c r="E98" s="228">
        <v>0</v>
      </c>
      <c r="F98" s="32">
        <v>0</v>
      </c>
      <c r="G98" s="54">
        <f>IF(E98="Pas de modification","-",'Encodage données'!J139)</f>
        <v>0</v>
      </c>
      <c r="H98" s="220" cm="1">
        <f t="array" ref="H98" xml:space="preserve"> IF(E98='Données Giant'!$A$22,0,_xlfn.IFS(E98=0,0,AND(E98="Pas de modification",AND(F98&gt; _xlfn.XLOOKUP('Encodage données'!$H139,'Données Giant'!$A$8:$A$21,'Données Giant'!$J$8:$J$21),F98&lt;= _xlfn.XLOOKUP('Encodage données'!$H139,'Données Giant'!$A$8:$A$21,'Données Giant'!$K$8:$K$21))),0,F98&lt;= _xlfn.XLOOKUP('Encodage données'!$H139,'Données Giant'!$A$8:$A$21,'Données Giant'!$J$8:$J$21),"U incohérent",F98&gt; _xlfn.XLOOKUP('Encodage données'!$H139,'Données Giant'!$A$8:$A$21,'Données Giant'!$K$8:$K$21), "U incohérent",AND(F98&lt;= _xlfn.XLOOKUP('Encodage données'!$H139,'Données Giant'!$A$8:$A$21,'Données Giant'!$K$8:$K$21),F98&gt; _xlfn.XLOOKUP('Encodage données'!$H139,'Données Giant'!$A$8:$A$21,'Données Giant'!$J$8:$J$21)),_xlfn.IFS(Calculs!Q77=Calculs!R77,_xlfn.IFS(F98&gt;Calculs!Q77,"U insuffisant",AND(F98&lt;=Calculs!Q77,OR(G98="non",G98=0)),Calculs!S77,AND(F98&lt;=Calculs!Q77,G98="oui"),Calculs!T77),Calculs!Q77&lt;&gt;Calculs!R77,_xlfn.IFS(F98&gt;Calculs!Q77,"U insuffisant",AND(F98&lt;=Calculs!Q77,F98&gt;Calculs!R77,OR(G98="non",G98=0)),Calculs!S77,AND(F98&lt;=Calculs!Q77,F98&gt;Calculs!R77,G98="oui"),Calculs!T77,AND(F98&lt;=Calculs!R77,OR(G98="non",G98=0)),Calculs!U77,AND(F98&lt;=Calculs!R77,G98="oui"),Calculs!V77))))</f>
        <v>0</v>
      </c>
      <c r="I98" s="58">
        <f>IF(OR(H98="U insuffisant",H98="U incohérent"),0,H98*'Encodage données'!E139)</f>
        <v>0</v>
      </c>
      <c r="J98" s="116"/>
      <c r="K98" s="116"/>
    </row>
    <row r="99" spans="1:11" x14ac:dyDescent="0.25">
      <c r="A99" s="116"/>
      <c r="B99" s="116"/>
      <c r="C99" s="131" t="str">
        <f t="shared" si="1"/>
        <v xml:space="preserve"> </v>
      </c>
      <c r="D99" s="55">
        <v>0</v>
      </c>
      <c r="E99" s="228">
        <v>0</v>
      </c>
      <c r="F99" s="32">
        <v>0</v>
      </c>
      <c r="G99" s="54">
        <f>IF(E99="Pas de modification","-",'Encodage données'!J140)</f>
        <v>0</v>
      </c>
      <c r="H99" s="220" cm="1">
        <f t="array" ref="H99" xml:space="preserve"> IF(E99='Données Giant'!$A$22,0,_xlfn.IFS(E99=0,0,AND(E99="Pas de modification",AND(F99&gt; _xlfn.XLOOKUP('Encodage données'!$H140,'Données Giant'!$A$8:$A$21,'Données Giant'!$J$8:$J$21),F99&lt;= _xlfn.XLOOKUP('Encodage données'!$H140,'Données Giant'!$A$8:$A$21,'Données Giant'!$K$8:$K$21))),0,F99&lt;= _xlfn.XLOOKUP('Encodage données'!$H140,'Données Giant'!$A$8:$A$21,'Données Giant'!$J$8:$J$21),"U incohérent",F99&gt; _xlfn.XLOOKUP('Encodage données'!$H140,'Données Giant'!$A$8:$A$21,'Données Giant'!$K$8:$K$21), "U incohérent",AND(F99&lt;= _xlfn.XLOOKUP('Encodage données'!$H140,'Données Giant'!$A$8:$A$21,'Données Giant'!$K$8:$K$21),F99&gt; _xlfn.XLOOKUP('Encodage données'!$H140,'Données Giant'!$A$8:$A$21,'Données Giant'!$J$8:$J$21)),_xlfn.IFS(Calculs!Q78=Calculs!R78,_xlfn.IFS(F99&gt;Calculs!Q78,"U insuffisant",AND(F99&lt;=Calculs!Q78,OR(G99="non",G99=0)),Calculs!S78,AND(F99&lt;=Calculs!Q78,G99="oui"),Calculs!T78),Calculs!Q78&lt;&gt;Calculs!R78,_xlfn.IFS(F99&gt;Calculs!Q78,"U insuffisant",AND(F99&lt;=Calculs!Q78,F99&gt;Calculs!R78,OR(G99="non",G99=0)),Calculs!S78,AND(F99&lt;=Calculs!Q78,F99&gt;Calculs!R78,G99="oui"),Calculs!T78,AND(F99&lt;=Calculs!R78,OR(G99="non",G99=0)),Calculs!U78,AND(F99&lt;=Calculs!R78,G99="oui"),Calculs!V78))))</f>
        <v>0</v>
      </c>
      <c r="I99" s="58">
        <f>IF(OR(H99="U insuffisant",H99="U incohérent"),0,H99*'Encodage données'!E140)</f>
        <v>0</v>
      </c>
      <c r="J99" s="116"/>
      <c r="K99" s="116"/>
    </row>
    <row r="100" spans="1:11" x14ac:dyDescent="0.25">
      <c r="A100" s="116"/>
      <c r="B100" s="116"/>
      <c r="C100" s="131" t="str">
        <f t="shared" si="1"/>
        <v xml:space="preserve"> </v>
      </c>
      <c r="D100" s="55">
        <v>0</v>
      </c>
      <c r="E100" s="228">
        <v>0</v>
      </c>
      <c r="F100" s="32">
        <v>0</v>
      </c>
      <c r="G100" s="54">
        <f>IF(E100="Pas de modification","-",'Encodage données'!J141)</f>
        <v>0</v>
      </c>
      <c r="H100" s="220" cm="1">
        <f t="array" ref="H100" xml:space="preserve"> IF(E100='Données Giant'!$A$22,0,_xlfn.IFS(E100=0,0,AND(E100="Pas de modification",AND(F100&gt; _xlfn.XLOOKUP('Encodage données'!$H141,'Données Giant'!$A$8:$A$21,'Données Giant'!$J$8:$J$21),F100&lt;= _xlfn.XLOOKUP('Encodage données'!$H141,'Données Giant'!$A$8:$A$21,'Données Giant'!$K$8:$K$21))),0,F100&lt;= _xlfn.XLOOKUP('Encodage données'!$H141,'Données Giant'!$A$8:$A$21,'Données Giant'!$J$8:$J$21),"U incohérent",F100&gt; _xlfn.XLOOKUP('Encodage données'!$H141,'Données Giant'!$A$8:$A$21,'Données Giant'!$K$8:$K$21), "U incohérent",AND(F100&lt;= _xlfn.XLOOKUP('Encodage données'!$H141,'Données Giant'!$A$8:$A$21,'Données Giant'!$K$8:$K$21),F100&gt; _xlfn.XLOOKUP('Encodage données'!$H141,'Données Giant'!$A$8:$A$21,'Données Giant'!$J$8:$J$21)),_xlfn.IFS(Calculs!Q79=Calculs!R79,_xlfn.IFS(F100&gt;Calculs!Q79,"U insuffisant",AND(F100&lt;=Calculs!Q79,OR(G100="non",G100=0)),Calculs!S79,AND(F100&lt;=Calculs!Q79,G100="oui"),Calculs!T79),Calculs!Q79&lt;&gt;Calculs!R79,_xlfn.IFS(F100&gt;Calculs!Q79,"U insuffisant",AND(F100&lt;=Calculs!Q79,F100&gt;Calculs!R79,OR(G100="non",G100=0)),Calculs!S79,AND(F100&lt;=Calculs!Q79,F100&gt;Calculs!R79,G100="oui"),Calculs!T79,AND(F100&lt;=Calculs!R79,OR(G100="non",G100=0)),Calculs!U79,AND(F100&lt;=Calculs!R79,G100="oui"),Calculs!V79))))</f>
        <v>0</v>
      </c>
      <c r="I100" s="58">
        <f>IF(OR(H100="U insuffisant",H100="U incohérent"),0,H100*'Encodage données'!E141)</f>
        <v>0</v>
      </c>
      <c r="J100" s="116"/>
      <c r="K100" s="116"/>
    </row>
    <row r="101" spans="1:11" x14ac:dyDescent="0.25">
      <c r="A101" s="116"/>
      <c r="B101" s="116"/>
      <c r="C101" s="131" t="str">
        <f t="shared" si="1"/>
        <v xml:space="preserve"> </v>
      </c>
      <c r="D101" s="55">
        <v>0</v>
      </c>
      <c r="E101" s="228">
        <v>0</v>
      </c>
      <c r="F101" s="32">
        <v>0</v>
      </c>
      <c r="G101" s="54">
        <f>IF(E101="Pas de modification","-",'Encodage données'!J142)</f>
        <v>0</v>
      </c>
      <c r="H101" s="220" cm="1">
        <f t="array" ref="H101" xml:space="preserve"> IF(E101='Données Giant'!$A$22,0,_xlfn.IFS(E101=0,0,AND(E101="Pas de modification",AND(F101&gt; _xlfn.XLOOKUP('Encodage données'!$H142,'Données Giant'!$A$8:$A$21,'Données Giant'!$J$8:$J$21),F101&lt;= _xlfn.XLOOKUP('Encodage données'!$H142,'Données Giant'!$A$8:$A$21,'Données Giant'!$K$8:$K$21))),0,F101&lt;= _xlfn.XLOOKUP('Encodage données'!$H142,'Données Giant'!$A$8:$A$21,'Données Giant'!$J$8:$J$21),"U incohérent",F101&gt; _xlfn.XLOOKUP('Encodage données'!$H142,'Données Giant'!$A$8:$A$21,'Données Giant'!$K$8:$K$21), "U incohérent",AND(F101&lt;= _xlfn.XLOOKUP('Encodage données'!$H142,'Données Giant'!$A$8:$A$21,'Données Giant'!$K$8:$K$21),F101&gt; _xlfn.XLOOKUP('Encodage données'!$H142,'Données Giant'!$A$8:$A$21,'Données Giant'!$J$8:$J$21)),_xlfn.IFS(Calculs!Q80=Calculs!R80,_xlfn.IFS(F101&gt;Calculs!Q80,"U insuffisant",AND(F101&lt;=Calculs!Q80,OR(G101="non",G101=0)),Calculs!S80,AND(F101&lt;=Calculs!Q80,G101="oui"),Calculs!T80),Calculs!Q80&lt;&gt;Calculs!R80,_xlfn.IFS(F101&gt;Calculs!Q80,"U insuffisant",AND(F101&lt;=Calculs!Q80,F101&gt;Calculs!R80,OR(G101="non",G101=0)),Calculs!S80,AND(F101&lt;=Calculs!Q80,F101&gt;Calculs!R80,G101="oui"),Calculs!T80,AND(F101&lt;=Calculs!R80,OR(G101="non",G101=0)),Calculs!U80,AND(F101&lt;=Calculs!R80,G101="oui"),Calculs!V80))))</f>
        <v>0</v>
      </c>
      <c r="I101" s="58">
        <f>IF(OR(H101="U insuffisant",H101="U incohérent"),0,H101*'Encodage données'!E142)</f>
        <v>0</v>
      </c>
      <c r="J101" s="116"/>
      <c r="K101" s="116"/>
    </row>
    <row r="102" spans="1:11" x14ac:dyDescent="0.25">
      <c r="A102" s="116"/>
      <c r="B102" s="116"/>
      <c r="C102" s="131" t="str">
        <f t="shared" si="1"/>
        <v xml:space="preserve"> </v>
      </c>
      <c r="D102" s="55">
        <v>0</v>
      </c>
      <c r="E102" s="228">
        <v>0</v>
      </c>
      <c r="F102" s="32">
        <v>0</v>
      </c>
      <c r="G102" s="54">
        <f>IF(E102="Pas de modification","-",'Encodage données'!J143)</f>
        <v>0</v>
      </c>
      <c r="H102" s="220" cm="1">
        <f t="array" ref="H102" xml:space="preserve"> IF(E102='Données Giant'!$A$22,0,_xlfn.IFS(E102=0,0,AND(E102="Pas de modification",AND(F102&gt; _xlfn.XLOOKUP('Encodage données'!$H143,'Données Giant'!$A$8:$A$21,'Données Giant'!$J$8:$J$21),F102&lt;= _xlfn.XLOOKUP('Encodage données'!$H143,'Données Giant'!$A$8:$A$21,'Données Giant'!$K$8:$K$21))),0,F102&lt;= _xlfn.XLOOKUP('Encodage données'!$H143,'Données Giant'!$A$8:$A$21,'Données Giant'!$J$8:$J$21),"U incohérent",F102&gt; _xlfn.XLOOKUP('Encodage données'!$H143,'Données Giant'!$A$8:$A$21,'Données Giant'!$K$8:$K$21), "U incohérent",AND(F102&lt;= _xlfn.XLOOKUP('Encodage données'!$H143,'Données Giant'!$A$8:$A$21,'Données Giant'!$K$8:$K$21),F102&gt; _xlfn.XLOOKUP('Encodage données'!$H143,'Données Giant'!$A$8:$A$21,'Données Giant'!$J$8:$J$21)),_xlfn.IFS(Calculs!Q81=Calculs!R81,_xlfn.IFS(F102&gt;Calculs!Q81,"U insuffisant",AND(F102&lt;=Calculs!Q81,OR(G102="non",G102=0)),Calculs!S81,AND(F102&lt;=Calculs!Q81,G102="oui"),Calculs!T81),Calculs!Q81&lt;&gt;Calculs!R81,_xlfn.IFS(F102&gt;Calculs!Q81,"U insuffisant",AND(F102&lt;=Calculs!Q81,F102&gt;Calculs!R81,OR(G102="non",G102=0)),Calculs!S81,AND(F102&lt;=Calculs!Q81,F102&gt;Calculs!R81,G102="oui"),Calculs!T81,AND(F102&lt;=Calculs!R81,OR(G102="non",G102=0)),Calculs!U81,AND(F102&lt;=Calculs!R81,G102="oui"),Calculs!V81))))</f>
        <v>0</v>
      </c>
      <c r="I102" s="58">
        <f>IF(OR(H102="U insuffisant",H102="U incohérent"),0,H102*'Encodage données'!E143)</f>
        <v>0</v>
      </c>
      <c r="J102" s="116"/>
      <c r="K102" s="116"/>
    </row>
    <row r="103" spans="1:11" x14ac:dyDescent="0.25">
      <c r="A103" s="116"/>
      <c r="B103" s="116"/>
      <c r="C103" s="131" t="str">
        <f t="shared" si="1"/>
        <v xml:space="preserve"> </v>
      </c>
      <c r="D103" s="55">
        <v>0</v>
      </c>
      <c r="E103" s="228">
        <v>0</v>
      </c>
      <c r="F103" s="32">
        <v>0</v>
      </c>
      <c r="G103" s="54">
        <f>IF(E103="Pas de modification","-",'Encodage données'!J144)</f>
        <v>0</v>
      </c>
      <c r="H103" s="220" cm="1">
        <f t="array" ref="H103" xml:space="preserve"> IF(E103='Données Giant'!$A$22,0,_xlfn.IFS(E103=0,0,AND(E103="Pas de modification",AND(F103&gt; _xlfn.XLOOKUP('Encodage données'!$H144,'Données Giant'!$A$8:$A$21,'Données Giant'!$J$8:$J$21),F103&lt;= _xlfn.XLOOKUP('Encodage données'!$H144,'Données Giant'!$A$8:$A$21,'Données Giant'!$K$8:$K$21))),0,F103&lt;= _xlfn.XLOOKUP('Encodage données'!$H144,'Données Giant'!$A$8:$A$21,'Données Giant'!$J$8:$J$21),"U incohérent",F103&gt; _xlfn.XLOOKUP('Encodage données'!$H144,'Données Giant'!$A$8:$A$21,'Données Giant'!$K$8:$K$21), "U incohérent",AND(F103&lt;= _xlfn.XLOOKUP('Encodage données'!$H144,'Données Giant'!$A$8:$A$21,'Données Giant'!$K$8:$K$21),F103&gt; _xlfn.XLOOKUP('Encodage données'!$H144,'Données Giant'!$A$8:$A$21,'Données Giant'!$J$8:$J$21)),_xlfn.IFS(Calculs!Q82=Calculs!R82,_xlfn.IFS(F103&gt;Calculs!Q82,"U insuffisant",AND(F103&lt;=Calculs!Q82,OR(G103="non",G103=0)),Calculs!S82,AND(F103&lt;=Calculs!Q82,G103="oui"),Calculs!T82),Calculs!Q82&lt;&gt;Calculs!R82,_xlfn.IFS(F103&gt;Calculs!Q82,"U insuffisant",AND(F103&lt;=Calculs!Q82,F103&gt;Calculs!R82,OR(G103="non",G103=0)),Calculs!S82,AND(F103&lt;=Calculs!Q82,F103&gt;Calculs!R82,G103="oui"),Calculs!T82,AND(F103&lt;=Calculs!R82,OR(G103="non",G103=0)),Calculs!U82,AND(F103&lt;=Calculs!R82,G103="oui"),Calculs!V82))))</f>
        <v>0</v>
      </c>
      <c r="I103" s="58">
        <f>IF(OR(H103="U insuffisant",H103="U incohérent"),0,H103*'Encodage données'!E144)</f>
        <v>0</v>
      </c>
      <c r="J103" s="116"/>
      <c r="K103" s="116"/>
    </row>
    <row r="104" spans="1:11" x14ac:dyDescent="0.25">
      <c r="A104" s="116"/>
      <c r="B104" s="116"/>
      <c r="C104" s="131" t="str">
        <f t="shared" si="1"/>
        <v xml:space="preserve"> </v>
      </c>
      <c r="D104" s="55">
        <v>0</v>
      </c>
      <c r="E104" s="228">
        <v>0</v>
      </c>
      <c r="F104" s="32">
        <v>0</v>
      </c>
      <c r="G104" s="54">
        <f>IF(E104="Pas de modification","-",'Encodage données'!J145)</f>
        <v>0</v>
      </c>
      <c r="H104" s="220" cm="1">
        <f t="array" ref="H104" xml:space="preserve"> IF(E104='Données Giant'!$A$22,0,_xlfn.IFS(E104=0,0,AND(E104="Pas de modification",AND(F104&gt; _xlfn.XLOOKUP('Encodage données'!$H145,'Données Giant'!$A$8:$A$21,'Données Giant'!$J$8:$J$21),F104&lt;= _xlfn.XLOOKUP('Encodage données'!$H145,'Données Giant'!$A$8:$A$21,'Données Giant'!$K$8:$K$21))),0,F104&lt;= _xlfn.XLOOKUP('Encodage données'!$H145,'Données Giant'!$A$8:$A$21,'Données Giant'!$J$8:$J$21),"U incohérent",F104&gt; _xlfn.XLOOKUP('Encodage données'!$H145,'Données Giant'!$A$8:$A$21,'Données Giant'!$K$8:$K$21), "U incohérent",AND(F104&lt;= _xlfn.XLOOKUP('Encodage données'!$H145,'Données Giant'!$A$8:$A$21,'Données Giant'!$K$8:$K$21),F104&gt; _xlfn.XLOOKUP('Encodage données'!$H145,'Données Giant'!$A$8:$A$21,'Données Giant'!$J$8:$J$21)),_xlfn.IFS(Calculs!Q83=Calculs!R83,_xlfn.IFS(F104&gt;Calculs!Q83,"U insuffisant",AND(F104&lt;=Calculs!Q83,OR(G104="non",G104=0)),Calculs!S83,AND(F104&lt;=Calculs!Q83,G104="oui"),Calculs!T83),Calculs!Q83&lt;&gt;Calculs!R83,_xlfn.IFS(F104&gt;Calculs!Q83,"U insuffisant",AND(F104&lt;=Calculs!Q83,F104&gt;Calculs!R83,OR(G104="non",G104=0)),Calculs!S83,AND(F104&lt;=Calculs!Q83,F104&gt;Calculs!R83,G104="oui"),Calculs!T83,AND(F104&lt;=Calculs!R83,OR(G104="non",G104=0)),Calculs!U83,AND(F104&lt;=Calculs!R83,G104="oui"),Calculs!V83))))</f>
        <v>0</v>
      </c>
      <c r="I104" s="58">
        <f>IF(OR(H104="U insuffisant",H104="U incohérent"),0,H104*'Encodage données'!E145)</f>
        <v>0</v>
      </c>
      <c r="J104" s="116"/>
      <c r="K104" s="116"/>
    </row>
    <row r="105" spans="1:11" x14ac:dyDescent="0.25">
      <c r="A105" s="116"/>
      <c r="B105" s="116"/>
      <c r="C105" s="131" t="str">
        <f t="shared" si="1"/>
        <v xml:space="preserve"> </v>
      </c>
      <c r="D105" s="55">
        <v>0</v>
      </c>
      <c r="E105" s="228">
        <v>0</v>
      </c>
      <c r="F105" s="32">
        <v>0</v>
      </c>
      <c r="G105" s="54">
        <f>IF(E105="Pas de modification","-",'Encodage données'!J146)</f>
        <v>0</v>
      </c>
      <c r="H105" s="220" cm="1">
        <f t="array" ref="H105" xml:space="preserve"> IF(E105='Données Giant'!$A$22,0,_xlfn.IFS(E105=0,0,AND(E105="Pas de modification",AND(F105&gt; _xlfn.XLOOKUP('Encodage données'!$H146,'Données Giant'!$A$8:$A$21,'Données Giant'!$J$8:$J$21),F105&lt;= _xlfn.XLOOKUP('Encodage données'!$H146,'Données Giant'!$A$8:$A$21,'Données Giant'!$K$8:$K$21))),0,F105&lt;= _xlfn.XLOOKUP('Encodage données'!$H146,'Données Giant'!$A$8:$A$21,'Données Giant'!$J$8:$J$21),"U incohérent",F105&gt; _xlfn.XLOOKUP('Encodage données'!$H146,'Données Giant'!$A$8:$A$21,'Données Giant'!$K$8:$K$21), "U incohérent",AND(F105&lt;= _xlfn.XLOOKUP('Encodage données'!$H146,'Données Giant'!$A$8:$A$21,'Données Giant'!$K$8:$K$21),F105&gt; _xlfn.XLOOKUP('Encodage données'!$H146,'Données Giant'!$A$8:$A$21,'Données Giant'!$J$8:$J$21)),_xlfn.IFS(Calculs!Q84=Calculs!R84,_xlfn.IFS(F105&gt;Calculs!Q84,"U insuffisant",AND(F105&lt;=Calculs!Q84,OR(G105="non",G105=0)),Calculs!S84,AND(F105&lt;=Calculs!Q84,G105="oui"),Calculs!T84),Calculs!Q84&lt;&gt;Calculs!R84,_xlfn.IFS(F105&gt;Calculs!Q84,"U insuffisant",AND(F105&lt;=Calculs!Q84,F105&gt;Calculs!R84,OR(G105="non",G105=0)),Calculs!S84,AND(F105&lt;=Calculs!Q84,F105&gt;Calculs!R84,G105="oui"),Calculs!T84,AND(F105&lt;=Calculs!R84,OR(G105="non",G105=0)),Calculs!U84,AND(F105&lt;=Calculs!R84,G105="oui"),Calculs!V84))))</f>
        <v>0</v>
      </c>
      <c r="I105" s="58">
        <f>IF(OR(H105="U insuffisant",H105="U incohérent"),0,H105*'Encodage données'!E146)</f>
        <v>0</v>
      </c>
      <c r="J105" s="116"/>
      <c r="K105" s="116"/>
    </row>
    <row r="106" spans="1:11" x14ac:dyDescent="0.25">
      <c r="A106" s="116"/>
      <c r="B106" s="116"/>
      <c r="C106" s="131" t="str">
        <f t="shared" si="1"/>
        <v xml:space="preserve"> </v>
      </c>
      <c r="D106" s="55">
        <v>0</v>
      </c>
      <c r="E106" s="228">
        <v>0</v>
      </c>
      <c r="F106" s="32">
        <v>0</v>
      </c>
      <c r="G106" s="54">
        <f>IF(E106="Pas de modification","-",'Encodage données'!J147)</f>
        <v>0</v>
      </c>
      <c r="H106" s="220" cm="1">
        <f t="array" ref="H106" xml:space="preserve"> IF(E106='Données Giant'!$A$22,0,_xlfn.IFS(E106=0,0,AND(E106="Pas de modification",AND(F106&gt; _xlfn.XLOOKUP('Encodage données'!$H147,'Données Giant'!$A$8:$A$21,'Données Giant'!$J$8:$J$21),F106&lt;= _xlfn.XLOOKUP('Encodage données'!$H147,'Données Giant'!$A$8:$A$21,'Données Giant'!$K$8:$K$21))),0,F106&lt;= _xlfn.XLOOKUP('Encodage données'!$H147,'Données Giant'!$A$8:$A$21,'Données Giant'!$J$8:$J$21),"U incohérent",F106&gt; _xlfn.XLOOKUP('Encodage données'!$H147,'Données Giant'!$A$8:$A$21,'Données Giant'!$K$8:$K$21), "U incohérent",AND(F106&lt;= _xlfn.XLOOKUP('Encodage données'!$H147,'Données Giant'!$A$8:$A$21,'Données Giant'!$K$8:$K$21),F106&gt; _xlfn.XLOOKUP('Encodage données'!$H147,'Données Giant'!$A$8:$A$21,'Données Giant'!$J$8:$J$21)),_xlfn.IFS(Calculs!Q85=Calculs!R85,_xlfn.IFS(F106&gt;Calculs!Q85,"U insuffisant",AND(F106&lt;=Calculs!Q85,OR(G106="non",G106=0)),Calculs!S85,AND(F106&lt;=Calculs!Q85,G106="oui"),Calculs!T85),Calculs!Q85&lt;&gt;Calculs!R85,_xlfn.IFS(F106&gt;Calculs!Q85,"U insuffisant",AND(F106&lt;=Calculs!Q85,F106&gt;Calculs!R85,OR(G106="non",G106=0)),Calculs!S85,AND(F106&lt;=Calculs!Q85,F106&gt;Calculs!R85,G106="oui"),Calculs!T85,AND(F106&lt;=Calculs!R85,OR(G106="non",G106=0)),Calculs!U85,AND(F106&lt;=Calculs!R85,G106="oui"),Calculs!V85))))</f>
        <v>0</v>
      </c>
      <c r="I106" s="58">
        <f>IF(OR(H106="U insuffisant",H106="U incohérent"),0,H106*'Encodage données'!E147)</f>
        <v>0</v>
      </c>
      <c r="J106" s="116"/>
      <c r="K106" s="116"/>
    </row>
    <row r="107" spans="1:11" x14ac:dyDescent="0.25">
      <c r="A107" s="116"/>
      <c r="B107" s="116"/>
      <c r="C107" s="131" t="str">
        <f t="shared" si="1"/>
        <v xml:space="preserve"> </v>
      </c>
      <c r="D107" s="55">
        <v>0</v>
      </c>
      <c r="E107" s="228">
        <v>0</v>
      </c>
      <c r="F107" s="32">
        <v>0</v>
      </c>
      <c r="G107" s="54">
        <f>IF(E107="Pas de modification","-",'Encodage données'!J148)</f>
        <v>0</v>
      </c>
      <c r="H107" s="220" cm="1">
        <f t="array" ref="H107" xml:space="preserve"> IF(E107='Données Giant'!$A$22,0,_xlfn.IFS(E107=0,0,AND(E107="Pas de modification",AND(F107&gt; _xlfn.XLOOKUP('Encodage données'!$H148,'Données Giant'!$A$8:$A$21,'Données Giant'!$J$8:$J$21),F107&lt;= _xlfn.XLOOKUP('Encodage données'!$H148,'Données Giant'!$A$8:$A$21,'Données Giant'!$K$8:$K$21))),0,F107&lt;= _xlfn.XLOOKUP('Encodage données'!$H148,'Données Giant'!$A$8:$A$21,'Données Giant'!$J$8:$J$21),"U incohérent",F107&gt; _xlfn.XLOOKUP('Encodage données'!$H148,'Données Giant'!$A$8:$A$21,'Données Giant'!$K$8:$K$21), "U incohérent",AND(F107&lt;= _xlfn.XLOOKUP('Encodage données'!$H148,'Données Giant'!$A$8:$A$21,'Données Giant'!$K$8:$K$21),F107&gt; _xlfn.XLOOKUP('Encodage données'!$H148,'Données Giant'!$A$8:$A$21,'Données Giant'!$J$8:$J$21)),_xlfn.IFS(Calculs!Q86=Calculs!R86,_xlfn.IFS(F107&gt;Calculs!Q86,"U insuffisant",AND(F107&lt;=Calculs!Q86,OR(G107="non",G107=0)),Calculs!S86,AND(F107&lt;=Calculs!Q86,G107="oui"),Calculs!T86),Calculs!Q86&lt;&gt;Calculs!R86,_xlfn.IFS(F107&gt;Calculs!Q86,"U insuffisant",AND(F107&lt;=Calculs!Q86,F107&gt;Calculs!R86,OR(G107="non",G107=0)),Calculs!S86,AND(F107&lt;=Calculs!Q86,F107&gt;Calculs!R86,G107="oui"),Calculs!T86,AND(F107&lt;=Calculs!R86,OR(G107="non",G107=0)),Calculs!U86,AND(F107&lt;=Calculs!R86,G107="oui"),Calculs!V86))))</f>
        <v>0</v>
      </c>
      <c r="I107" s="58">
        <f>IF(OR(H107="U insuffisant",H107="U incohérent"),0,H107*'Encodage données'!E148)</f>
        <v>0</v>
      </c>
      <c r="J107" s="116"/>
      <c r="K107" s="116"/>
    </row>
    <row r="108" spans="1:11" x14ac:dyDescent="0.25">
      <c r="A108" s="116"/>
      <c r="B108" s="116"/>
      <c r="C108" s="131" t="str">
        <f t="shared" si="1"/>
        <v xml:space="preserve"> </v>
      </c>
      <c r="D108" s="55">
        <v>0</v>
      </c>
      <c r="E108" s="228">
        <v>0</v>
      </c>
      <c r="F108" s="32">
        <v>0</v>
      </c>
      <c r="G108" s="54">
        <f>IF(E108="Pas de modification","-",'Encodage données'!J149)</f>
        <v>0</v>
      </c>
      <c r="H108" s="220" cm="1">
        <f t="array" ref="H108" xml:space="preserve"> IF(E108='Données Giant'!$A$22,0,_xlfn.IFS(E108=0,0,AND(E108="Pas de modification",AND(F108&gt; _xlfn.XLOOKUP('Encodage données'!$H149,'Données Giant'!$A$8:$A$21,'Données Giant'!$J$8:$J$21),F108&lt;= _xlfn.XLOOKUP('Encodage données'!$H149,'Données Giant'!$A$8:$A$21,'Données Giant'!$K$8:$K$21))),0,F108&lt;= _xlfn.XLOOKUP('Encodage données'!$H149,'Données Giant'!$A$8:$A$21,'Données Giant'!$J$8:$J$21),"U incohérent",F108&gt; _xlfn.XLOOKUP('Encodage données'!$H149,'Données Giant'!$A$8:$A$21,'Données Giant'!$K$8:$K$21), "U incohérent",AND(F108&lt;= _xlfn.XLOOKUP('Encodage données'!$H149,'Données Giant'!$A$8:$A$21,'Données Giant'!$K$8:$K$21),F108&gt; _xlfn.XLOOKUP('Encodage données'!$H149,'Données Giant'!$A$8:$A$21,'Données Giant'!$J$8:$J$21)),_xlfn.IFS(Calculs!Q87=Calculs!R87,_xlfn.IFS(F108&gt;Calculs!Q87,"U insuffisant",AND(F108&lt;=Calculs!Q87,OR(G108="non",G108=0)),Calculs!S87,AND(F108&lt;=Calculs!Q87,G108="oui"),Calculs!T87),Calculs!Q87&lt;&gt;Calculs!R87,_xlfn.IFS(F108&gt;Calculs!Q87,"U insuffisant",AND(F108&lt;=Calculs!Q87,F108&gt;Calculs!R87,OR(G108="non",G108=0)),Calculs!S87,AND(F108&lt;=Calculs!Q87,F108&gt;Calculs!R87,G108="oui"),Calculs!T87,AND(F108&lt;=Calculs!R87,OR(G108="non",G108=0)),Calculs!U87,AND(F108&lt;=Calculs!R87,G108="oui"),Calculs!V87))))</f>
        <v>0</v>
      </c>
      <c r="I108" s="58">
        <f>IF(OR(H108="U insuffisant",H108="U incohérent"),0,H108*'Encodage données'!E149)</f>
        <v>0</v>
      </c>
      <c r="J108" s="116"/>
      <c r="K108" s="116"/>
    </row>
    <row r="109" spans="1:11" x14ac:dyDescent="0.25">
      <c r="A109" s="116"/>
      <c r="B109" s="116"/>
      <c r="C109" s="131" t="str">
        <f t="shared" si="1"/>
        <v xml:space="preserve"> </v>
      </c>
      <c r="D109" s="55">
        <v>0</v>
      </c>
      <c r="E109" s="228">
        <v>0</v>
      </c>
      <c r="F109" s="32">
        <v>0</v>
      </c>
      <c r="G109" s="54">
        <f>IF(E109="Pas de modification","-",'Encodage données'!J150)</f>
        <v>0</v>
      </c>
      <c r="H109" s="220" cm="1">
        <f t="array" ref="H109" xml:space="preserve"> IF(E109='Données Giant'!$A$22,0,_xlfn.IFS(E109=0,0,AND(E109="Pas de modification",AND(F109&gt; _xlfn.XLOOKUP('Encodage données'!$H150,'Données Giant'!$A$8:$A$21,'Données Giant'!$J$8:$J$21),F109&lt;= _xlfn.XLOOKUP('Encodage données'!$H150,'Données Giant'!$A$8:$A$21,'Données Giant'!$K$8:$K$21))),0,F109&lt;= _xlfn.XLOOKUP('Encodage données'!$H150,'Données Giant'!$A$8:$A$21,'Données Giant'!$J$8:$J$21),"U incohérent",F109&gt; _xlfn.XLOOKUP('Encodage données'!$H150,'Données Giant'!$A$8:$A$21,'Données Giant'!$K$8:$K$21), "U incohérent",AND(F109&lt;= _xlfn.XLOOKUP('Encodage données'!$H150,'Données Giant'!$A$8:$A$21,'Données Giant'!$K$8:$K$21),F109&gt; _xlfn.XLOOKUP('Encodage données'!$H150,'Données Giant'!$A$8:$A$21,'Données Giant'!$J$8:$J$21)),_xlfn.IFS(Calculs!Q88=Calculs!R88,_xlfn.IFS(F109&gt;Calculs!Q88,"U insuffisant",AND(F109&lt;=Calculs!Q88,OR(G109="non",G109=0)),Calculs!S88,AND(F109&lt;=Calculs!Q88,G109="oui"),Calculs!T88),Calculs!Q88&lt;&gt;Calculs!R88,_xlfn.IFS(F109&gt;Calculs!Q88,"U insuffisant",AND(F109&lt;=Calculs!Q88,F109&gt;Calculs!R88,OR(G109="non",G109=0)),Calculs!S88,AND(F109&lt;=Calculs!Q88,F109&gt;Calculs!R88,G109="oui"),Calculs!T88,AND(F109&lt;=Calculs!R88,OR(G109="non",G109=0)),Calculs!U88,AND(F109&lt;=Calculs!R88,G109="oui"),Calculs!V88))))</f>
        <v>0</v>
      </c>
      <c r="I109" s="58">
        <f>IF(OR(H109="U insuffisant",H109="U incohérent"),0,H109*'Encodage données'!E150)</f>
        <v>0</v>
      </c>
      <c r="J109" s="116"/>
      <c r="K109" s="116"/>
    </row>
    <row r="110" spans="1:11" x14ac:dyDescent="0.25">
      <c r="A110" s="116"/>
      <c r="B110" s="116"/>
      <c r="C110" s="131" t="str">
        <f t="shared" si="1"/>
        <v xml:space="preserve"> </v>
      </c>
      <c r="D110" s="55">
        <v>0</v>
      </c>
      <c r="E110" s="228">
        <v>0</v>
      </c>
      <c r="F110" s="32">
        <v>0</v>
      </c>
      <c r="G110" s="54">
        <f>IF(E110="Pas de modification","-",'Encodage données'!J151)</f>
        <v>0</v>
      </c>
      <c r="H110" s="220" cm="1">
        <f t="array" ref="H110" xml:space="preserve"> IF(E110='Données Giant'!$A$22,0,_xlfn.IFS(E110=0,0,AND(E110="Pas de modification",AND(F110&gt; _xlfn.XLOOKUP('Encodage données'!$H151,'Données Giant'!$A$8:$A$21,'Données Giant'!$J$8:$J$21),F110&lt;= _xlfn.XLOOKUP('Encodage données'!$H151,'Données Giant'!$A$8:$A$21,'Données Giant'!$K$8:$K$21))),0,F110&lt;= _xlfn.XLOOKUP('Encodage données'!$H151,'Données Giant'!$A$8:$A$21,'Données Giant'!$J$8:$J$21),"U incohérent",F110&gt; _xlfn.XLOOKUP('Encodage données'!$H151,'Données Giant'!$A$8:$A$21,'Données Giant'!$K$8:$K$21), "U incohérent",AND(F110&lt;= _xlfn.XLOOKUP('Encodage données'!$H151,'Données Giant'!$A$8:$A$21,'Données Giant'!$K$8:$K$21),F110&gt; _xlfn.XLOOKUP('Encodage données'!$H151,'Données Giant'!$A$8:$A$21,'Données Giant'!$J$8:$J$21)),_xlfn.IFS(Calculs!Q89=Calculs!R89,_xlfn.IFS(F110&gt;Calculs!Q89,"U insuffisant",AND(F110&lt;=Calculs!Q89,OR(G110="non",G110=0)),Calculs!S89,AND(F110&lt;=Calculs!Q89,G110="oui"),Calculs!T89),Calculs!Q89&lt;&gt;Calculs!R89,_xlfn.IFS(F110&gt;Calculs!Q89,"U insuffisant",AND(F110&lt;=Calculs!Q89,F110&gt;Calculs!R89,OR(G110="non",G110=0)),Calculs!S89,AND(F110&lt;=Calculs!Q89,F110&gt;Calculs!R89,G110="oui"),Calculs!T89,AND(F110&lt;=Calculs!R89,OR(G110="non",G110=0)),Calculs!U89,AND(F110&lt;=Calculs!R89,G110="oui"),Calculs!V89))))</f>
        <v>0</v>
      </c>
      <c r="I110" s="58">
        <f>IF(OR(H110="U insuffisant",H110="U incohérent"),0,H110*'Encodage données'!E151)</f>
        <v>0</v>
      </c>
      <c r="J110" s="116"/>
      <c r="K110" s="116"/>
    </row>
    <row r="111" spans="1:11" x14ac:dyDescent="0.25">
      <c r="A111" s="116"/>
      <c r="B111" s="116"/>
      <c r="C111" s="131" t="str">
        <f t="shared" si="1"/>
        <v xml:space="preserve"> </v>
      </c>
      <c r="D111" s="55">
        <v>0</v>
      </c>
      <c r="E111" s="228">
        <v>0</v>
      </c>
      <c r="F111" s="32">
        <v>0</v>
      </c>
      <c r="G111" s="54">
        <f>IF(E111="Pas de modification","-",'Encodage données'!J152)</f>
        <v>0</v>
      </c>
      <c r="H111" s="220" cm="1">
        <f t="array" ref="H111" xml:space="preserve"> IF(E111='Données Giant'!$A$22,0,_xlfn.IFS(E111=0,0,AND(E111="Pas de modification",AND(F111&gt; _xlfn.XLOOKUP('Encodage données'!$H152,'Données Giant'!$A$8:$A$21,'Données Giant'!$J$8:$J$21),F111&lt;= _xlfn.XLOOKUP('Encodage données'!$H152,'Données Giant'!$A$8:$A$21,'Données Giant'!$K$8:$K$21))),0,F111&lt;= _xlfn.XLOOKUP('Encodage données'!$H152,'Données Giant'!$A$8:$A$21,'Données Giant'!$J$8:$J$21),"U incohérent",F111&gt; _xlfn.XLOOKUP('Encodage données'!$H152,'Données Giant'!$A$8:$A$21,'Données Giant'!$K$8:$K$21), "U incohérent",AND(F111&lt;= _xlfn.XLOOKUP('Encodage données'!$H152,'Données Giant'!$A$8:$A$21,'Données Giant'!$K$8:$K$21),F111&gt; _xlfn.XLOOKUP('Encodage données'!$H152,'Données Giant'!$A$8:$A$21,'Données Giant'!$J$8:$J$21)),_xlfn.IFS(Calculs!Q90=Calculs!R90,_xlfn.IFS(F111&gt;Calculs!Q90,"U insuffisant",AND(F111&lt;=Calculs!Q90,OR(G111="non",G111=0)),Calculs!S90,AND(F111&lt;=Calculs!Q90,G111="oui"),Calculs!T90),Calculs!Q90&lt;&gt;Calculs!R90,_xlfn.IFS(F111&gt;Calculs!Q90,"U insuffisant",AND(F111&lt;=Calculs!Q90,F111&gt;Calculs!R90,OR(G111="non",G111=0)),Calculs!S90,AND(F111&lt;=Calculs!Q90,F111&gt;Calculs!R90,G111="oui"),Calculs!T90,AND(F111&lt;=Calculs!R90,OR(G111="non",G111=0)),Calculs!U90,AND(F111&lt;=Calculs!R90,G111="oui"),Calculs!V90))))</f>
        <v>0</v>
      </c>
      <c r="I111" s="58">
        <f>IF(OR(H111="U insuffisant",H111="U incohérent"),0,H111*'Encodage données'!E152)</f>
        <v>0</v>
      </c>
      <c r="J111" s="116"/>
      <c r="K111" s="116"/>
    </row>
    <row r="112" spans="1:11" x14ac:dyDescent="0.25">
      <c r="A112" s="116"/>
      <c r="B112" s="116"/>
      <c r="C112" s="131" t="str">
        <f t="shared" si="1"/>
        <v xml:space="preserve"> </v>
      </c>
      <c r="D112" s="55">
        <v>0</v>
      </c>
      <c r="E112" s="228">
        <v>0</v>
      </c>
      <c r="F112" s="32">
        <v>0</v>
      </c>
      <c r="G112" s="54">
        <f>IF(E112="Pas de modification","-",'Encodage données'!J153)</f>
        <v>0</v>
      </c>
      <c r="H112" s="220" cm="1">
        <f t="array" ref="H112" xml:space="preserve"> IF(E112='Données Giant'!$A$22,0,_xlfn.IFS(E112=0,0,AND(E112="Pas de modification",AND(F112&gt; _xlfn.XLOOKUP('Encodage données'!$H153,'Données Giant'!$A$8:$A$21,'Données Giant'!$J$8:$J$21),F112&lt;= _xlfn.XLOOKUP('Encodage données'!$H153,'Données Giant'!$A$8:$A$21,'Données Giant'!$K$8:$K$21))),0,F112&lt;= _xlfn.XLOOKUP('Encodage données'!$H153,'Données Giant'!$A$8:$A$21,'Données Giant'!$J$8:$J$21),"U incohérent",F112&gt; _xlfn.XLOOKUP('Encodage données'!$H153,'Données Giant'!$A$8:$A$21,'Données Giant'!$K$8:$K$21), "U incohérent",AND(F112&lt;= _xlfn.XLOOKUP('Encodage données'!$H153,'Données Giant'!$A$8:$A$21,'Données Giant'!$K$8:$K$21),F112&gt; _xlfn.XLOOKUP('Encodage données'!$H153,'Données Giant'!$A$8:$A$21,'Données Giant'!$J$8:$J$21)),_xlfn.IFS(Calculs!Q91=Calculs!R91,_xlfn.IFS(F112&gt;Calculs!Q91,"U insuffisant",AND(F112&lt;=Calculs!Q91,OR(G112="non",G112=0)),Calculs!S91,AND(F112&lt;=Calculs!Q91,G112="oui"),Calculs!T91),Calculs!Q91&lt;&gt;Calculs!R91,_xlfn.IFS(F112&gt;Calculs!Q91,"U insuffisant",AND(F112&lt;=Calculs!Q91,F112&gt;Calculs!R91,OR(G112="non",G112=0)),Calculs!S91,AND(F112&lt;=Calculs!Q91,F112&gt;Calculs!R91,G112="oui"),Calculs!T91,AND(F112&lt;=Calculs!R91,OR(G112="non",G112=0)),Calculs!U91,AND(F112&lt;=Calculs!R91,G112="oui"),Calculs!V91))))</f>
        <v>0</v>
      </c>
      <c r="I112" s="58">
        <f>IF(OR(H112="U insuffisant",H112="U incohérent"),0,H112*'Encodage données'!E153)</f>
        <v>0</v>
      </c>
      <c r="J112" s="116"/>
      <c r="K112" s="116"/>
    </row>
    <row r="113" spans="1:11" x14ac:dyDescent="0.25">
      <c r="A113" s="116"/>
      <c r="B113" s="116"/>
      <c r="C113" s="131" t="str">
        <f t="shared" si="1"/>
        <v xml:space="preserve"> </v>
      </c>
      <c r="D113" s="55">
        <v>0</v>
      </c>
      <c r="E113" s="228">
        <v>0</v>
      </c>
      <c r="F113" s="32">
        <v>0</v>
      </c>
      <c r="G113" s="54">
        <f>IF(E113="Pas de modification","-",'Encodage données'!J154)</f>
        <v>0</v>
      </c>
      <c r="H113" s="220" cm="1">
        <f t="array" ref="H113" xml:space="preserve"> IF(E113='Données Giant'!$A$22,0,_xlfn.IFS(E113=0,0,AND(E113="Pas de modification",AND(F113&gt; _xlfn.XLOOKUP('Encodage données'!$H154,'Données Giant'!$A$8:$A$21,'Données Giant'!$J$8:$J$21),F113&lt;= _xlfn.XLOOKUP('Encodage données'!$H154,'Données Giant'!$A$8:$A$21,'Données Giant'!$K$8:$K$21))),0,F113&lt;= _xlfn.XLOOKUP('Encodage données'!$H154,'Données Giant'!$A$8:$A$21,'Données Giant'!$J$8:$J$21),"U incohérent",F113&gt; _xlfn.XLOOKUP('Encodage données'!$H154,'Données Giant'!$A$8:$A$21,'Données Giant'!$K$8:$K$21), "U incohérent",AND(F113&lt;= _xlfn.XLOOKUP('Encodage données'!$H154,'Données Giant'!$A$8:$A$21,'Données Giant'!$K$8:$K$21),F113&gt; _xlfn.XLOOKUP('Encodage données'!$H154,'Données Giant'!$A$8:$A$21,'Données Giant'!$J$8:$J$21)),_xlfn.IFS(Calculs!Q92=Calculs!R92,_xlfn.IFS(F113&gt;Calculs!Q92,"U insuffisant",AND(F113&lt;=Calculs!Q92,OR(G113="non",G113=0)),Calculs!S92,AND(F113&lt;=Calculs!Q92,G113="oui"),Calculs!T92),Calculs!Q92&lt;&gt;Calculs!R92,_xlfn.IFS(F113&gt;Calculs!Q92,"U insuffisant",AND(F113&lt;=Calculs!Q92,F113&gt;Calculs!R92,OR(G113="non",G113=0)),Calculs!S92,AND(F113&lt;=Calculs!Q92,F113&gt;Calculs!R92,G113="oui"),Calculs!T92,AND(F113&lt;=Calculs!R92,OR(G113="non",G113=0)),Calculs!U92,AND(F113&lt;=Calculs!R92,G113="oui"),Calculs!V92))))</f>
        <v>0</v>
      </c>
      <c r="I113" s="58">
        <f>IF(OR(H113="U insuffisant",H113="U incohérent"),0,H113*'Encodage données'!E154)</f>
        <v>0</v>
      </c>
      <c r="J113" s="116"/>
      <c r="K113" s="116"/>
    </row>
    <row r="114" spans="1:11" x14ac:dyDescent="0.25">
      <c r="A114" s="116"/>
      <c r="B114" s="116"/>
      <c r="C114" s="131" t="str">
        <f t="shared" si="1"/>
        <v xml:space="preserve"> </v>
      </c>
      <c r="D114" s="55">
        <v>0</v>
      </c>
      <c r="E114" s="228">
        <v>0</v>
      </c>
      <c r="F114" s="32">
        <v>0</v>
      </c>
      <c r="G114" s="54">
        <f>IF(E114="Pas de modification","-",'Encodage données'!J155)</f>
        <v>0</v>
      </c>
      <c r="H114" s="220" cm="1">
        <f t="array" ref="H114" xml:space="preserve"> IF(E114='Données Giant'!$A$22,0,_xlfn.IFS(E114=0,0,AND(E114="Pas de modification",AND(F114&gt; _xlfn.XLOOKUP('Encodage données'!$H155,'Données Giant'!$A$8:$A$21,'Données Giant'!$J$8:$J$21),F114&lt;= _xlfn.XLOOKUP('Encodage données'!$H155,'Données Giant'!$A$8:$A$21,'Données Giant'!$K$8:$K$21))),0,F114&lt;= _xlfn.XLOOKUP('Encodage données'!$H155,'Données Giant'!$A$8:$A$21,'Données Giant'!$J$8:$J$21),"U incohérent",F114&gt; _xlfn.XLOOKUP('Encodage données'!$H155,'Données Giant'!$A$8:$A$21,'Données Giant'!$K$8:$K$21), "U incohérent",AND(F114&lt;= _xlfn.XLOOKUP('Encodage données'!$H155,'Données Giant'!$A$8:$A$21,'Données Giant'!$K$8:$K$21),F114&gt; _xlfn.XLOOKUP('Encodage données'!$H155,'Données Giant'!$A$8:$A$21,'Données Giant'!$J$8:$J$21)),_xlfn.IFS(Calculs!Q93=Calculs!R93,_xlfn.IFS(F114&gt;Calculs!Q93,"U insuffisant",AND(F114&lt;=Calculs!Q93,OR(G114="non",G114=0)),Calculs!S93,AND(F114&lt;=Calculs!Q93,G114="oui"),Calculs!T93),Calculs!Q93&lt;&gt;Calculs!R93,_xlfn.IFS(F114&gt;Calculs!Q93,"U insuffisant",AND(F114&lt;=Calculs!Q93,F114&gt;Calculs!R93,OR(G114="non",G114=0)),Calculs!S93,AND(F114&lt;=Calculs!Q93,F114&gt;Calculs!R93,G114="oui"),Calculs!T93,AND(F114&lt;=Calculs!R93,OR(G114="non",G114=0)),Calculs!U93,AND(F114&lt;=Calculs!R93,G114="oui"),Calculs!V93))))</f>
        <v>0</v>
      </c>
      <c r="I114" s="58">
        <f>IF(OR(H114="U insuffisant",H114="U incohérent"),0,H114*'Encodage données'!E155)</f>
        <v>0</v>
      </c>
      <c r="J114" s="116"/>
      <c r="K114" s="116"/>
    </row>
    <row r="115" spans="1:11" x14ac:dyDescent="0.25">
      <c r="A115" s="116"/>
      <c r="B115" s="116"/>
      <c r="C115" s="131" t="str">
        <f t="shared" si="1"/>
        <v xml:space="preserve"> </v>
      </c>
      <c r="D115" s="55">
        <v>0</v>
      </c>
      <c r="E115" s="228">
        <v>0</v>
      </c>
      <c r="F115" s="32">
        <v>0</v>
      </c>
      <c r="G115" s="54">
        <f>IF(E115="Pas de modification","-",'Encodage données'!J156)</f>
        <v>0</v>
      </c>
      <c r="H115" s="220" cm="1">
        <f t="array" ref="H115" xml:space="preserve"> IF(E115='Données Giant'!$A$22,0,_xlfn.IFS(E115=0,0,AND(E115="Pas de modification",AND(F115&gt; _xlfn.XLOOKUP('Encodage données'!$H156,'Données Giant'!$A$8:$A$21,'Données Giant'!$J$8:$J$21),F115&lt;= _xlfn.XLOOKUP('Encodage données'!$H156,'Données Giant'!$A$8:$A$21,'Données Giant'!$K$8:$K$21))),0,F115&lt;= _xlfn.XLOOKUP('Encodage données'!$H156,'Données Giant'!$A$8:$A$21,'Données Giant'!$J$8:$J$21),"U incohérent",F115&gt; _xlfn.XLOOKUP('Encodage données'!$H156,'Données Giant'!$A$8:$A$21,'Données Giant'!$K$8:$K$21), "U incohérent",AND(F115&lt;= _xlfn.XLOOKUP('Encodage données'!$H156,'Données Giant'!$A$8:$A$21,'Données Giant'!$K$8:$K$21),F115&gt; _xlfn.XLOOKUP('Encodage données'!$H156,'Données Giant'!$A$8:$A$21,'Données Giant'!$J$8:$J$21)),_xlfn.IFS(Calculs!Q94=Calculs!R94,_xlfn.IFS(F115&gt;Calculs!Q94,"U insuffisant",AND(F115&lt;=Calculs!Q94,OR(G115="non",G115=0)),Calculs!S94,AND(F115&lt;=Calculs!Q94,G115="oui"),Calculs!T94),Calculs!Q94&lt;&gt;Calculs!R94,_xlfn.IFS(F115&gt;Calculs!Q94,"U insuffisant",AND(F115&lt;=Calculs!Q94,F115&gt;Calculs!R94,OR(G115="non",G115=0)),Calculs!S94,AND(F115&lt;=Calculs!Q94,F115&gt;Calculs!R94,G115="oui"),Calculs!T94,AND(F115&lt;=Calculs!R94,OR(G115="non",G115=0)),Calculs!U94,AND(F115&lt;=Calculs!R94,G115="oui"),Calculs!V94))))</f>
        <v>0</v>
      </c>
      <c r="I115" s="58">
        <f>IF(OR(H115="U insuffisant",H115="U incohérent"),0,H115*'Encodage données'!E156)</f>
        <v>0</v>
      </c>
      <c r="J115" s="116"/>
      <c r="K115" s="116"/>
    </row>
    <row r="116" spans="1:11" x14ac:dyDescent="0.25">
      <c r="A116" s="116"/>
      <c r="B116" s="116"/>
      <c r="C116" s="131" t="str">
        <f t="shared" si="1"/>
        <v xml:space="preserve"> </v>
      </c>
      <c r="D116" s="55">
        <v>0</v>
      </c>
      <c r="E116" s="228">
        <v>0</v>
      </c>
      <c r="F116" s="32">
        <v>0</v>
      </c>
      <c r="G116" s="54">
        <f>IF(E116="Pas de modification","-",'Encodage données'!J157)</f>
        <v>0</v>
      </c>
      <c r="H116" s="220" cm="1">
        <f t="array" ref="H116" xml:space="preserve"> IF(E116='Données Giant'!$A$22,0,_xlfn.IFS(E116=0,0,AND(E116="Pas de modification",AND(F116&gt; _xlfn.XLOOKUP('Encodage données'!$H157,'Données Giant'!$A$8:$A$21,'Données Giant'!$J$8:$J$21),F116&lt;= _xlfn.XLOOKUP('Encodage données'!$H157,'Données Giant'!$A$8:$A$21,'Données Giant'!$K$8:$K$21))),0,F116&lt;= _xlfn.XLOOKUP('Encodage données'!$H157,'Données Giant'!$A$8:$A$21,'Données Giant'!$J$8:$J$21),"U incohérent",F116&gt; _xlfn.XLOOKUP('Encodage données'!$H157,'Données Giant'!$A$8:$A$21,'Données Giant'!$K$8:$K$21), "U incohérent",AND(F116&lt;= _xlfn.XLOOKUP('Encodage données'!$H157,'Données Giant'!$A$8:$A$21,'Données Giant'!$K$8:$K$21),F116&gt; _xlfn.XLOOKUP('Encodage données'!$H157,'Données Giant'!$A$8:$A$21,'Données Giant'!$J$8:$J$21)),_xlfn.IFS(Calculs!Q95=Calculs!R95,_xlfn.IFS(F116&gt;Calculs!Q95,"U insuffisant",AND(F116&lt;=Calculs!Q95,OR(G116="non",G116=0)),Calculs!S95,AND(F116&lt;=Calculs!Q95,G116="oui"),Calculs!T95),Calculs!Q95&lt;&gt;Calculs!R95,_xlfn.IFS(F116&gt;Calculs!Q95,"U insuffisant",AND(F116&lt;=Calculs!Q95,F116&gt;Calculs!R95,OR(G116="non",G116=0)),Calculs!S95,AND(F116&lt;=Calculs!Q95,F116&gt;Calculs!R95,G116="oui"),Calculs!T95,AND(F116&lt;=Calculs!R95,OR(G116="non",G116=0)),Calculs!U95,AND(F116&lt;=Calculs!R95,G116="oui"),Calculs!V95))))</f>
        <v>0</v>
      </c>
      <c r="I116" s="58">
        <f>IF(OR(H116="U insuffisant",H116="U incohérent"),0,H116*'Encodage données'!E157)</f>
        <v>0</v>
      </c>
      <c r="J116" s="116"/>
      <c r="K116" s="116"/>
    </row>
    <row r="117" spans="1:11" x14ac:dyDescent="0.25">
      <c r="A117" s="116"/>
      <c r="B117" s="116"/>
      <c r="C117" s="131" t="str">
        <f t="shared" si="1"/>
        <v xml:space="preserve"> </v>
      </c>
      <c r="D117" s="55">
        <v>0</v>
      </c>
      <c r="E117" s="228">
        <v>0</v>
      </c>
      <c r="F117" s="32">
        <v>0</v>
      </c>
      <c r="G117" s="54">
        <f>IF(E117="Pas de modification","-",'Encodage données'!J158)</f>
        <v>0</v>
      </c>
      <c r="H117" s="220" cm="1">
        <f t="array" ref="H117" xml:space="preserve"> IF(E117='Données Giant'!$A$22,0,_xlfn.IFS(E117=0,0,AND(E117="Pas de modification",AND(F117&gt; _xlfn.XLOOKUP('Encodage données'!$H158,'Données Giant'!$A$8:$A$21,'Données Giant'!$J$8:$J$21),F117&lt;= _xlfn.XLOOKUP('Encodage données'!$H158,'Données Giant'!$A$8:$A$21,'Données Giant'!$K$8:$K$21))),0,F117&lt;= _xlfn.XLOOKUP('Encodage données'!$H158,'Données Giant'!$A$8:$A$21,'Données Giant'!$J$8:$J$21),"U incohérent",F117&gt; _xlfn.XLOOKUP('Encodage données'!$H158,'Données Giant'!$A$8:$A$21,'Données Giant'!$K$8:$K$21), "U incohérent",AND(F117&lt;= _xlfn.XLOOKUP('Encodage données'!$H158,'Données Giant'!$A$8:$A$21,'Données Giant'!$K$8:$K$21),F117&gt; _xlfn.XLOOKUP('Encodage données'!$H158,'Données Giant'!$A$8:$A$21,'Données Giant'!$J$8:$J$21)),_xlfn.IFS(Calculs!Q96=Calculs!R96,_xlfn.IFS(F117&gt;Calculs!Q96,"U insuffisant",AND(F117&lt;=Calculs!Q96,OR(G117="non",G117=0)),Calculs!S96,AND(F117&lt;=Calculs!Q96,G117="oui"),Calculs!T96),Calculs!Q96&lt;&gt;Calculs!R96,_xlfn.IFS(F117&gt;Calculs!Q96,"U insuffisant",AND(F117&lt;=Calculs!Q96,F117&gt;Calculs!R96,OR(G117="non",G117=0)),Calculs!S96,AND(F117&lt;=Calculs!Q96,F117&gt;Calculs!R96,G117="oui"),Calculs!T96,AND(F117&lt;=Calculs!R96,OR(G117="non",G117=0)),Calculs!U96,AND(F117&lt;=Calculs!R96,G117="oui"),Calculs!V96))))</f>
        <v>0</v>
      </c>
      <c r="I117" s="58">
        <f>IF(OR(H117="U insuffisant",H117="U incohérent"),0,H117*'Encodage données'!E158)</f>
        <v>0</v>
      </c>
      <c r="J117" s="116"/>
      <c r="K117" s="116"/>
    </row>
    <row r="118" spans="1:11" x14ac:dyDescent="0.25">
      <c r="A118" s="116"/>
      <c r="B118" s="116"/>
      <c r="C118" s="131" t="str">
        <f t="shared" si="1"/>
        <v xml:space="preserve"> </v>
      </c>
      <c r="D118" s="55">
        <v>0</v>
      </c>
      <c r="E118" s="228">
        <v>0</v>
      </c>
      <c r="F118" s="32">
        <v>0</v>
      </c>
      <c r="G118" s="54">
        <f>IF(E118="Pas de modification","-",'Encodage données'!J159)</f>
        <v>0</v>
      </c>
      <c r="H118" s="220" cm="1">
        <f t="array" ref="H118" xml:space="preserve"> IF(E118='Données Giant'!$A$22,0,_xlfn.IFS(E118=0,0,AND(E118="Pas de modification",AND(F118&gt; _xlfn.XLOOKUP('Encodage données'!$H159,'Données Giant'!$A$8:$A$21,'Données Giant'!$J$8:$J$21),F118&lt;= _xlfn.XLOOKUP('Encodage données'!$H159,'Données Giant'!$A$8:$A$21,'Données Giant'!$K$8:$K$21))),0,F118&lt;= _xlfn.XLOOKUP('Encodage données'!$H159,'Données Giant'!$A$8:$A$21,'Données Giant'!$J$8:$J$21),"U incohérent",F118&gt; _xlfn.XLOOKUP('Encodage données'!$H159,'Données Giant'!$A$8:$A$21,'Données Giant'!$K$8:$K$21), "U incohérent",AND(F118&lt;= _xlfn.XLOOKUP('Encodage données'!$H159,'Données Giant'!$A$8:$A$21,'Données Giant'!$K$8:$K$21),F118&gt; _xlfn.XLOOKUP('Encodage données'!$H159,'Données Giant'!$A$8:$A$21,'Données Giant'!$J$8:$J$21)),_xlfn.IFS(Calculs!Q97=Calculs!R97,_xlfn.IFS(F118&gt;Calculs!Q97,"U insuffisant",AND(F118&lt;=Calculs!Q97,OR(G118="non",G118=0)),Calculs!S97,AND(F118&lt;=Calculs!Q97,G118="oui"),Calculs!T97),Calculs!Q97&lt;&gt;Calculs!R97,_xlfn.IFS(F118&gt;Calculs!Q97,"U insuffisant",AND(F118&lt;=Calculs!Q97,F118&gt;Calculs!R97,OR(G118="non",G118=0)),Calculs!S97,AND(F118&lt;=Calculs!Q97,F118&gt;Calculs!R97,G118="oui"),Calculs!T97,AND(F118&lt;=Calculs!R97,OR(G118="non",G118=0)),Calculs!U97,AND(F118&lt;=Calculs!R97,G118="oui"),Calculs!V97))))</f>
        <v>0</v>
      </c>
      <c r="I118" s="58">
        <f>IF(OR(H118="U insuffisant",H118="U incohérent"),0,H118*'Encodage données'!E159)</f>
        <v>0</v>
      </c>
      <c r="J118" s="116"/>
      <c r="K118" s="116"/>
    </row>
    <row r="119" spans="1:11" x14ac:dyDescent="0.25">
      <c r="A119" s="116"/>
      <c r="B119" s="116"/>
      <c r="C119" s="131" t="str">
        <f t="shared" si="1"/>
        <v xml:space="preserve"> </v>
      </c>
      <c r="D119" s="55">
        <v>0</v>
      </c>
      <c r="E119" s="228">
        <v>0</v>
      </c>
      <c r="F119" s="32">
        <v>0</v>
      </c>
      <c r="G119" s="54">
        <f>IF(E119="Pas de modification","-",'Encodage données'!J160)</f>
        <v>0</v>
      </c>
      <c r="H119" s="220" cm="1">
        <f t="array" ref="H119" xml:space="preserve"> IF(E119='Données Giant'!$A$22,0,_xlfn.IFS(E119=0,0,AND(E119="Pas de modification",AND(F119&gt; _xlfn.XLOOKUP('Encodage données'!$H160,'Données Giant'!$A$8:$A$21,'Données Giant'!$J$8:$J$21),F119&lt;= _xlfn.XLOOKUP('Encodage données'!$H160,'Données Giant'!$A$8:$A$21,'Données Giant'!$K$8:$K$21))),0,F119&lt;= _xlfn.XLOOKUP('Encodage données'!$H160,'Données Giant'!$A$8:$A$21,'Données Giant'!$J$8:$J$21),"U incohérent",F119&gt; _xlfn.XLOOKUP('Encodage données'!$H160,'Données Giant'!$A$8:$A$21,'Données Giant'!$K$8:$K$21), "U incohérent",AND(F119&lt;= _xlfn.XLOOKUP('Encodage données'!$H160,'Données Giant'!$A$8:$A$21,'Données Giant'!$K$8:$K$21),F119&gt; _xlfn.XLOOKUP('Encodage données'!$H160,'Données Giant'!$A$8:$A$21,'Données Giant'!$J$8:$J$21)),_xlfn.IFS(Calculs!Q98=Calculs!R98,_xlfn.IFS(F119&gt;Calculs!Q98,"U insuffisant",AND(F119&lt;=Calculs!Q98,OR(G119="non",G119=0)),Calculs!S98,AND(F119&lt;=Calculs!Q98,G119="oui"),Calculs!T98),Calculs!Q98&lt;&gt;Calculs!R98,_xlfn.IFS(F119&gt;Calculs!Q98,"U insuffisant",AND(F119&lt;=Calculs!Q98,F119&gt;Calculs!R98,OR(G119="non",G119=0)),Calculs!S98,AND(F119&lt;=Calculs!Q98,F119&gt;Calculs!R98,G119="oui"),Calculs!T98,AND(F119&lt;=Calculs!R98,OR(G119="non",G119=0)),Calculs!U98,AND(F119&lt;=Calculs!R98,G119="oui"),Calculs!V98))))</f>
        <v>0</v>
      </c>
      <c r="I119" s="58">
        <f>IF(OR(H119="U insuffisant",H119="U incohérent"),0,H119*'Encodage données'!E160)</f>
        <v>0</v>
      </c>
      <c r="J119" s="116"/>
      <c r="K119" s="116"/>
    </row>
    <row r="120" spans="1:11" x14ac:dyDescent="0.25">
      <c r="A120" s="116"/>
      <c r="B120" s="116"/>
      <c r="C120" s="131" t="str">
        <f t="shared" si="1"/>
        <v xml:space="preserve"> </v>
      </c>
      <c r="D120" s="55">
        <v>0</v>
      </c>
      <c r="E120" s="228">
        <v>0</v>
      </c>
      <c r="F120" s="32">
        <v>0</v>
      </c>
      <c r="G120" s="54">
        <f>IF(E120="Pas de modification","-",'Encodage données'!J161)</f>
        <v>0</v>
      </c>
      <c r="H120" s="220" cm="1">
        <f t="array" ref="H120" xml:space="preserve"> IF(E120='Données Giant'!$A$22,0,_xlfn.IFS(E120=0,0,AND(E120="Pas de modification",AND(F120&gt; _xlfn.XLOOKUP('Encodage données'!$H161,'Données Giant'!$A$8:$A$21,'Données Giant'!$J$8:$J$21),F120&lt;= _xlfn.XLOOKUP('Encodage données'!$H161,'Données Giant'!$A$8:$A$21,'Données Giant'!$K$8:$K$21))),0,F120&lt;= _xlfn.XLOOKUP('Encodage données'!$H161,'Données Giant'!$A$8:$A$21,'Données Giant'!$J$8:$J$21),"U incohérent",F120&gt; _xlfn.XLOOKUP('Encodage données'!$H161,'Données Giant'!$A$8:$A$21,'Données Giant'!$K$8:$K$21), "U incohérent",AND(F120&lt;= _xlfn.XLOOKUP('Encodage données'!$H161,'Données Giant'!$A$8:$A$21,'Données Giant'!$K$8:$K$21),F120&gt; _xlfn.XLOOKUP('Encodage données'!$H161,'Données Giant'!$A$8:$A$21,'Données Giant'!$J$8:$J$21)),_xlfn.IFS(Calculs!Q99=Calculs!R99,_xlfn.IFS(F120&gt;Calculs!Q99,"U insuffisant",AND(F120&lt;=Calculs!Q99,OR(G120="non",G120=0)),Calculs!S99,AND(F120&lt;=Calculs!Q99,G120="oui"),Calculs!T99),Calculs!Q99&lt;&gt;Calculs!R99,_xlfn.IFS(F120&gt;Calculs!Q99,"U insuffisant",AND(F120&lt;=Calculs!Q99,F120&gt;Calculs!R99,OR(G120="non",G120=0)),Calculs!S99,AND(F120&lt;=Calculs!Q99,F120&gt;Calculs!R99,G120="oui"),Calculs!T99,AND(F120&lt;=Calculs!R99,OR(G120="non",G120=0)),Calculs!U99,AND(F120&lt;=Calculs!R99,G120="oui"),Calculs!V99))))</f>
        <v>0</v>
      </c>
      <c r="I120" s="58">
        <f>IF(OR(H120="U insuffisant",H120="U incohérent"),0,H120*'Encodage données'!E161)</f>
        <v>0</v>
      </c>
      <c r="J120" s="116"/>
      <c r="K120" s="116"/>
    </row>
    <row r="121" spans="1:11" x14ac:dyDescent="0.25">
      <c r="A121" s="116"/>
      <c r="B121" s="116"/>
      <c r="C121" s="131" t="str">
        <f t="shared" si="1"/>
        <v xml:space="preserve"> </v>
      </c>
      <c r="D121" s="55">
        <v>0</v>
      </c>
      <c r="E121" s="228">
        <v>0</v>
      </c>
      <c r="F121" s="32">
        <v>0</v>
      </c>
      <c r="G121" s="54">
        <f>IF(E121="Pas de modification","-",'Encodage données'!J162)</f>
        <v>0</v>
      </c>
      <c r="H121" s="220" cm="1">
        <f t="array" ref="H121" xml:space="preserve"> IF(E121='Données Giant'!$A$22,0,_xlfn.IFS(E121=0,0,AND(E121="Pas de modification",AND(F121&gt; _xlfn.XLOOKUP('Encodage données'!$H162,'Données Giant'!$A$8:$A$21,'Données Giant'!$J$8:$J$21),F121&lt;= _xlfn.XLOOKUP('Encodage données'!$H162,'Données Giant'!$A$8:$A$21,'Données Giant'!$K$8:$K$21))),0,F121&lt;= _xlfn.XLOOKUP('Encodage données'!$H162,'Données Giant'!$A$8:$A$21,'Données Giant'!$J$8:$J$21),"U incohérent",F121&gt; _xlfn.XLOOKUP('Encodage données'!$H162,'Données Giant'!$A$8:$A$21,'Données Giant'!$K$8:$K$21), "U incohérent",AND(F121&lt;= _xlfn.XLOOKUP('Encodage données'!$H162,'Données Giant'!$A$8:$A$21,'Données Giant'!$K$8:$K$21),F121&gt; _xlfn.XLOOKUP('Encodage données'!$H162,'Données Giant'!$A$8:$A$21,'Données Giant'!$J$8:$J$21)),_xlfn.IFS(Calculs!Q100=Calculs!R100,_xlfn.IFS(F121&gt;Calculs!Q100,"U insuffisant",AND(F121&lt;=Calculs!Q100,OR(G121="non",G121=0)),Calculs!S100,AND(F121&lt;=Calculs!Q100,G121="oui"),Calculs!T100),Calculs!Q100&lt;&gt;Calculs!R100,_xlfn.IFS(F121&gt;Calculs!Q100,"U insuffisant",AND(F121&lt;=Calculs!Q100,F121&gt;Calculs!R100,OR(G121="non",G121=0)),Calculs!S100,AND(F121&lt;=Calculs!Q100,F121&gt;Calculs!R100,G121="oui"),Calculs!T100,AND(F121&lt;=Calculs!R100,OR(G121="non",G121=0)),Calculs!U100,AND(F121&lt;=Calculs!R100,G121="oui"),Calculs!V100))))</f>
        <v>0</v>
      </c>
      <c r="I121" s="58">
        <f>IF(OR(H121="U insuffisant",H121="U incohérent"),0,H121*'Encodage données'!E162)</f>
        <v>0</v>
      </c>
      <c r="J121" s="116"/>
      <c r="K121" s="116"/>
    </row>
    <row r="122" spans="1:11" x14ac:dyDescent="0.25">
      <c r="A122" s="116"/>
      <c r="B122" s="116"/>
      <c r="C122" s="131" t="str">
        <f t="shared" si="1"/>
        <v xml:space="preserve"> </v>
      </c>
      <c r="D122" s="55">
        <v>0</v>
      </c>
      <c r="E122" s="228">
        <v>0</v>
      </c>
      <c r="F122" s="32">
        <v>0</v>
      </c>
      <c r="G122" s="54">
        <f>IF(E122="Pas de modification","-",'Encodage données'!J163)</f>
        <v>0</v>
      </c>
      <c r="H122" s="220" cm="1">
        <f t="array" ref="H122" xml:space="preserve"> IF(E122='Données Giant'!$A$22,0,_xlfn.IFS(E122=0,0,AND(E122="Pas de modification",AND(F122&gt; _xlfn.XLOOKUP('Encodage données'!$H163,'Données Giant'!$A$8:$A$21,'Données Giant'!$J$8:$J$21),F122&lt;= _xlfn.XLOOKUP('Encodage données'!$H163,'Données Giant'!$A$8:$A$21,'Données Giant'!$K$8:$K$21))),0,F122&lt;= _xlfn.XLOOKUP('Encodage données'!$H163,'Données Giant'!$A$8:$A$21,'Données Giant'!$J$8:$J$21),"U incohérent",F122&gt; _xlfn.XLOOKUP('Encodage données'!$H163,'Données Giant'!$A$8:$A$21,'Données Giant'!$K$8:$K$21), "U incohérent",AND(F122&lt;= _xlfn.XLOOKUP('Encodage données'!$H163,'Données Giant'!$A$8:$A$21,'Données Giant'!$K$8:$K$21),F122&gt; _xlfn.XLOOKUP('Encodage données'!$H163,'Données Giant'!$A$8:$A$21,'Données Giant'!$J$8:$J$21)),_xlfn.IFS(Calculs!Q101=Calculs!R101,_xlfn.IFS(F122&gt;Calculs!Q101,"U insuffisant",AND(F122&lt;=Calculs!Q101,OR(G122="non",G122=0)),Calculs!S101,AND(F122&lt;=Calculs!Q101,G122="oui"),Calculs!T101),Calculs!Q101&lt;&gt;Calculs!R101,_xlfn.IFS(F122&gt;Calculs!Q101,"U insuffisant",AND(F122&lt;=Calculs!Q101,F122&gt;Calculs!R101,OR(G122="non",G122=0)),Calculs!S101,AND(F122&lt;=Calculs!Q101,F122&gt;Calculs!R101,G122="oui"),Calculs!T101,AND(F122&lt;=Calculs!R101,OR(G122="non",G122=0)),Calculs!U101,AND(F122&lt;=Calculs!R101,G122="oui"),Calculs!V101))))</f>
        <v>0</v>
      </c>
      <c r="I122" s="58">
        <f>IF(OR(H122="U insuffisant",H122="U incohérent"),0,H122*'Encodage données'!E163)</f>
        <v>0</v>
      </c>
      <c r="J122" s="116"/>
      <c r="K122" s="116"/>
    </row>
    <row r="123" spans="1:11" x14ac:dyDescent="0.25">
      <c r="A123" s="116"/>
      <c r="B123" s="116"/>
      <c r="C123" s="131" t="str">
        <f t="shared" si="1"/>
        <v xml:space="preserve"> </v>
      </c>
      <c r="D123" s="55">
        <v>0</v>
      </c>
      <c r="E123" s="228">
        <v>0</v>
      </c>
      <c r="F123" s="32">
        <v>0</v>
      </c>
      <c r="G123" s="54">
        <f>IF(E123="Pas de modification","-",'Encodage données'!J164)</f>
        <v>0</v>
      </c>
      <c r="H123" s="220" cm="1">
        <f t="array" ref="H123" xml:space="preserve"> IF(E123='Données Giant'!$A$22,0,_xlfn.IFS(E123=0,0,AND(E123="Pas de modification",AND(F123&gt; _xlfn.XLOOKUP('Encodage données'!$H164,'Données Giant'!$A$8:$A$21,'Données Giant'!$J$8:$J$21),F123&lt;= _xlfn.XLOOKUP('Encodage données'!$H164,'Données Giant'!$A$8:$A$21,'Données Giant'!$K$8:$K$21))),0,F123&lt;= _xlfn.XLOOKUP('Encodage données'!$H164,'Données Giant'!$A$8:$A$21,'Données Giant'!$J$8:$J$21),"U incohérent",F123&gt; _xlfn.XLOOKUP('Encodage données'!$H164,'Données Giant'!$A$8:$A$21,'Données Giant'!$K$8:$K$21), "U incohérent",AND(F123&lt;= _xlfn.XLOOKUP('Encodage données'!$H164,'Données Giant'!$A$8:$A$21,'Données Giant'!$K$8:$K$21),F123&gt; _xlfn.XLOOKUP('Encodage données'!$H164,'Données Giant'!$A$8:$A$21,'Données Giant'!$J$8:$J$21)),_xlfn.IFS(Calculs!Q102=Calculs!R102,_xlfn.IFS(F123&gt;Calculs!Q102,"U insuffisant",AND(F123&lt;=Calculs!Q102,OR(G123="non",G123=0)),Calculs!S102,AND(F123&lt;=Calculs!Q102,G123="oui"),Calculs!T102),Calculs!Q102&lt;&gt;Calculs!R102,_xlfn.IFS(F123&gt;Calculs!Q102,"U insuffisant",AND(F123&lt;=Calculs!Q102,F123&gt;Calculs!R102,OR(G123="non",G123=0)),Calculs!S102,AND(F123&lt;=Calculs!Q102,F123&gt;Calculs!R102,G123="oui"),Calculs!T102,AND(F123&lt;=Calculs!R102,OR(G123="non",G123=0)),Calculs!U102,AND(F123&lt;=Calculs!R102,G123="oui"),Calculs!V102))))</f>
        <v>0</v>
      </c>
      <c r="I123" s="58">
        <f>IF(OR(H123="U insuffisant",H123="U incohérent"),0,H123*'Encodage données'!E164)</f>
        <v>0</v>
      </c>
      <c r="J123" s="116"/>
      <c r="K123" s="116"/>
    </row>
    <row r="124" spans="1:11" x14ac:dyDescent="0.25">
      <c r="A124" s="116"/>
      <c r="B124" s="116"/>
      <c r="C124" s="131" t="str">
        <f t="shared" si="1"/>
        <v xml:space="preserve"> </v>
      </c>
      <c r="D124" s="55">
        <v>0</v>
      </c>
      <c r="E124" s="228">
        <v>0</v>
      </c>
      <c r="F124" s="32">
        <v>0</v>
      </c>
      <c r="G124" s="54">
        <f>IF(E124="Pas de modification","-",'Encodage données'!J165)</f>
        <v>0</v>
      </c>
      <c r="H124" s="220" cm="1">
        <f t="array" ref="H124" xml:space="preserve"> IF(E124='Données Giant'!$A$22,0,_xlfn.IFS(E124=0,0,AND(E124="Pas de modification",AND(F124&gt; _xlfn.XLOOKUP('Encodage données'!$H165,'Données Giant'!$A$8:$A$21,'Données Giant'!$J$8:$J$21),F124&lt;= _xlfn.XLOOKUP('Encodage données'!$H165,'Données Giant'!$A$8:$A$21,'Données Giant'!$K$8:$K$21))),0,F124&lt;= _xlfn.XLOOKUP('Encodage données'!$H165,'Données Giant'!$A$8:$A$21,'Données Giant'!$J$8:$J$21),"U incohérent",F124&gt; _xlfn.XLOOKUP('Encodage données'!$H165,'Données Giant'!$A$8:$A$21,'Données Giant'!$K$8:$K$21), "U incohérent",AND(F124&lt;= _xlfn.XLOOKUP('Encodage données'!$H165,'Données Giant'!$A$8:$A$21,'Données Giant'!$K$8:$K$21),F124&gt; _xlfn.XLOOKUP('Encodage données'!$H165,'Données Giant'!$A$8:$A$21,'Données Giant'!$J$8:$J$21)),_xlfn.IFS(Calculs!Q103=Calculs!R103,_xlfn.IFS(F124&gt;Calculs!Q103,"U insuffisant",AND(F124&lt;=Calculs!Q103,OR(G124="non",G124=0)),Calculs!S103,AND(F124&lt;=Calculs!Q103,G124="oui"),Calculs!T103),Calculs!Q103&lt;&gt;Calculs!R103,_xlfn.IFS(F124&gt;Calculs!Q103,"U insuffisant",AND(F124&lt;=Calculs!Q103,F124&gt;Calculs!R103,OR(G124="non",G124=0)),Calculs!S103,AND(F124&lt;=Calculs!Q103,F124&gt;Calculs!R103,G124="oui"),Calculs!T103,AND(F124&lt;=Calculs!R103,OR(G124="non",G124=0)),Calculs!U103,AND(F124&lt;=Calculs!R103,G124="oui"),Calculs!V103))))</f>
        <v>0</v>
      </c>
      <c r="I124" s="58">
        <f>IF(OR(H124="U insuffisant",H124="U incohérent"),0,H124*'Encodage données'!E165)</f>
        <v>0</v>
      </c>
      <c r="J124" s="116"/>
      <c r="K124" s="116"/>
    </row>
    <row r="125" spans="1:11" x14ac:dyDescent="0.25">
      <c r="A125" s="116"/>
      <c r="B125" s="116"/>
      <c r="C125" s="131" t="str">
        <f t="shared" si="1"/>
        <v xml:space="preserve"> </v>
      </c>
      <c r="D125" s="55">
        <v>0</v>
      </c>
      <c r="E125" s="228">
        <v>0</v>
      </c>
      <c r="F125" s="32">
        <v>0</v>
      </c>
      <c r="G125" s="54">
        <f>IF(E125="Pas de modification","-",'Encodage données'!J166)</f>
        <v>0</v>
      </c>
      <c r="H125" s="220" cm="1">
        <f t="array" ref="H125" xml:space="preserve"> IF(E125='Données Giant'!$A$22,0,_xlfn.IFS(E125=0,0,AND(E125="Pas de modification",AND(F125&gt; _xlfn.XLOOKUP('Encodage données'!$H166,'Données Giant'!$A$8:$A$21,'Données Giant'!$J$8:$J$21),F125&lt;= _xlfn.XLOOKUP('Encodage données'!$H166,'Données Giant'!$A$8:$A$21,'Données Giant'!$K$8:$K$21))),0,F125&lt;= _xlfn.XLOOKUP('Encodage données'!$H166,'Données Giant'!$A$8:$A$21,'Données Giant'!$J$8:$J$21),"U incohérent",F125&gt; _xlfn.XLOOKUP('Encodage données'!$H166,'Données Giant'!$A$8:$A$21,'Données Giant'!$K$8:$K$21), "U incohérent",AND(F125&lt;= _xlfn.XLOOKUP('Encodage données'!$H166,'Données Giant'!$A$8:$A$21,'Données Giant'!$K$8:$K$21),F125&gt; _xlfn.XLOOKUP('Encodage données'!$H166,'Données Giant'!$A$8:$A$21,'Données Giant'!$J$8:$J$21)),_xlfn.IFS(Calculs!Q104=Calculs!R104,_xlfn.IFS(F125&gt;Calculs!Q104,"U insuffisant",AND(F125&lt;=Calculs!Q104,OR(G125="non",G125=0)),Calculs!S104,AND(F125&lt;=Calculs!Q104,G125="oui"),Calculs!T104),Calculs!Q104&lt;&gt;Calculs!R104,_xlfn.IFS(F125&gt;Calculs!Q104,"U insuffisant",AND(F125&lt;=Calculs!Q104,F125&gt;Calculs!R104,OR(G125="non",G125=0)),Calculs!S104,AND(F125&lt;=Calculs!Q104,F125&gt;Calculs!R104,G125="oui"),Calculs!T104,AND(F125&lt;=Calculs!R104,OR(G125="non",G125=0)),Calculs!U104,AND(F125&lt;=Calculs!R104,G125="oui"),Calculs!V104))))</f>
        <v>0</v>
      </c>
      <c r="I125" s="58">
        <f>IF(OR(H125="U insuffisant",H125="U incohérent"),0,H125*'Encodage données'!E166)</f>
        <v>0</v>
      </c>
      <c r="J125" s="116"/>
      <c r="K125" s="116"/>
    </row>
    <row r="126" spans="1:11" x14ac:dyDescent="0.25">
      <c r="A126" s="116"/>
      <c r="B126" s="116"/>
      <c r="C126" s="131" t="str">
        <f t="shared" si="1"/>
        <v xml:space="preserve"> </v>
      </c>
      <c r="D126" s="55">
        <v>0</v>
      </c>
      <c r="E126" s="228">
        <v>0</v>
      </c>
      <c r="F126" s="32">
        <v>0</v>
      </c>
      <c r="G126" s="54">
        <f>IF(E126="Pas de modification","-",'Encodage données'!J167)</f>
        <v>0</v>
      </c>
      <c r="H126" s="220" cm="1">
        <f t="array" ref="H126" xml:space="preserve"> IF(E126='Données Giant'!$A$22,0,_xlfn.IFS(E126=0,0,AND(E126="Pas de modification",AND(F126&gt; _xlfn.XLOOKUP('Encodage données'!$H167,'Données Giant'!$A$8:$A$21,'Données Giant'!$J$8:$J$21),F126&lt;= _xlfn.XLOOKUP('Encodage données'!$H167,'Données Giant'!$A$8:$A$21,'Données Giant'!$K$8:$K$21))),0,F126&lt;= _xlfn.XLOOKUP('Encodage données'!$H167,'Données Giant'!$A$8:$A$21,'Données Giant'!$J$8:$J$21),"U incohérent",F126&gt; _xlfn.XLOOKUP('Encodage données'!$H167,'Données Giant'!$A$8:$A$21,'Données Giant'!$K$8:$K$21), "U incohérent",AND(F126&lt;= _xlfn.XLOOKUP('Encodage données'!$H167,'Données Giant'!$A$8:$A$21,'Données Giant'!$K$8:$K$21),F126&gt; _xlfn.XLOOKUP('Encodage données'!$H167,'Données Giant'!$A$8:$A$21,'Données Giant'!$J$8:$J$21)),_xlfn.IFS(Calculs!Q105=Calculs!R105,_xlfn.IFS(F126&gt;Calculs!Q105,"U insuffisant",AND(F126&lt;=Calculs!Q105,OR(G126="non",G126=0)),Calculs!S105,AND(F126&lt;=Calculs!Q105,G126="oui"),Calculs!T105),Calculs!Q105&lt;&gt;Calculs!R105,_xlfn.IFS(F126&gt;Calculs!Q105,"U insuffisant",AND(F126&lt;=Calculs!Q105,F126&gt;Calculs!R105,OR(G126="non",G126=0)),Calculs!S105,AND(F126&lt;=Calculs!Q105,F126&gt;Calculs!R105,G126="oui"),Calculs!T105,AND(F126&lt;=Calculs!R105,OR(G126="non",G126=0)),Calculs!U105,AND(F126&lt;=Calculs!R105,G126="oui"),Calculs!V105))))</f>
        <v>0</v>
      </c>
      <c r="I126" s="58">
        <f>IF(OR(H126="U insuffisant",H126="U incohérent"),0,H126*'Encodage données'!E167)</f>
        <v>0</v>
      </c>
      <c r="J126" s="116"/>
      <c r="K126" s="116"/>
    </row>
    <row r="127" spans="1:11" x14ac:dyDescent="0.25">
      <c r="A127" s="116"/>
      <c r="B127" s="116"/>
      <c r="C127" s="131" t="str">
        <f t="shared" si="1"/>
        <v xml:space="preserve"> </v>
      </c>
      <c r="D127" s="55">
        <v>0</v>
      </c>
      <c r="E127" s="228">
        <v>0</v>
      </c>
      <c r="F127" s="32">
        <v>0</v>
      </c>
      <c r="G127" s="54">
        <f>IF(E127="Pas de modification","-",'Encodage données'!J168)</f>
        <v>0</v>
      </c>
      <c r="H127" s="220" cm="1">
        <f t="array" ref="H127" xml:space="preserve"> IF(E127='Données Giant'!$A$22,0,_xlfn.IFS(E127=0,0,AND(E127="Pas de modification",AND(F127&gt; _xlfn.XLOOKUP('Encodage données'!$H168,'Données Giant'!$A$8:$A$21,'Données Giant'!$J$8:$J$21),F127&lt;= _xlfn.XLOOKUP('Encodage données'!$H168,'Données Giant'!$A$8:$A$21,'Données Giant'!$K$8:$K$21))),0,F127&lt;= _xlfn.XLOOKUP('Encodage données'!$H168,'Données Giant'!$A$8:$A$21,'Données Giant'!$J$8:$J$21),"U incohérent",F127&gt; _xlfn.XLOOKUP('Encodage données'!$H168,'Données Giant'!$A$8:$A$21,'Données Giant'!$K$8:$K$21), "U incohérent",AND(F127&lt;= _xlfn.XLOOKUP('Encodage données'!$H168,'Données Giant'!$A$8:$A$21,'Données Giant'!$K$8:$K$21),F127&gt; _xlfn.XLOOKUP('Encodage données'!$H168,'Données Giant'!$A$8:$A$21,'Données Giant'!$J$8:$J$21)),_xlfn.IFS(Calculs!Q106=Calculs!R106,_xlfn.IFS(F127&gt;Calculs!Q106,"U insuffisant",AND(F127&lt;=Calculs!Q106,OR(G127="non",G127=0)),Calculs!S106,AND(F127&lt;=Calculs!Q106,G127="oui"),Calculs!T106),Calculs!Q106&lt;&gt;Calculs!R106,_xlfn.IFS(F127&gt;Calculs!Q106,"U insuffisant",AND(F127&lt;=Calculs!Q106,F127&gt;Calculs!R106,OR(G127="non",G127=0)),Calculs!S106,AND(F127&lt;=Calculs!Q106,F127&gt;Calculs!R106,G127="oui"),Calculs!T106,AND(F127&lt;=Calculs!R106,OR(G127="non",G127=0)),Calculs!U106,AND(F127&lt;=Calculs!R106,G127="oui"),Calculs!V106))))</f>
        <v>0</v>
      </c>
      <c r="I127" s="58">
        <f>IF(OR(H127="U insuffisant",H127="U incohérent"),0,H127*'Encodage données'!E168)</f>
        <v>0</v>
      </c>
      <c r="J127" s="116"/>
      <c r="K127" s="116"/>
    </row>
    <row r="128" spans="1:11" x14ac:dyDescent="0.25">
      <c r="A128" s="116"/>
      <c r="B128" s="116"/>
      <c r="C128" s="131" t="str">
        <f t="shared" si="1"/>
        <v xml:space="preserve"> </v>
      </c>
      <c r="D128" s="55">
        <v>0</v>
      </c>
      <c r="E128" s="228">
        <v>0</v>
      </c>
      <c r="F128" s="32">
        <v>0</v>
      </c>
      <c r="G128" s="54">
        <f>IF(E128="Pas de modification","-",'Encodage données'!J169)</f>
        <v>0</v>
      </c>
      <c r="H128" s="220" cm="1">
        <f t="array" ref="H128" xml:space="preserve"> IF(E128='Données Giant'!$A$22,0,_xlfn.IFS(E128=0,0,AND(E128="Pas de modification",AND(F128&gt; _xlfn.XLOOKUP('Encodage données'!$H169,'Données Giant'!$A$8:$A$21,'Données Giant'!$J$8:$J$21),F128&lt;= _xlfn.XLOOKUP('Encodage données'!$H169,'Données Giant'!$A$8:$A$21,'Données Giant'!$K$8:$K$21))),0,F128&lt;= _xlfn.XLOOKUP('Encodage données'!$H169,'Données Giant'!$A$8:$A$21,'Données Giant'!$J$8:$J$21),"U incohérent",F128&gt; _xlfn.XLOOKUP('Encodage données'!$H169,'Données Giant'!$A$8:$A$21,'Données Giant'!$K$8:$K$21), "U incohérent",AND(F128&lt;= _xlfn.XLOOKUP('Encodage données'!$H169,'Données Giant'!$A$8:$A$21,'Données Giant'!$K$8:$K$21),F128&gt; _xlfn.XLOOKUP('Encodage données'!$H169,'Données Giant'!$A$8:$A$21,'Données Giant'!$J$8:$J$21)),_xlfn.IFS(Calculs!Q107=Calculs!R107,_xlfn.IFS(F128&gt;Calculs!Q107,"U insuffisant",AND(F128&lt;=Calculs!Q107,OR(G128="non",G128=0)),Calculs!S107,AND(F128&lt;=Calculs!Q107,G128="oui"),Calculs!T107),Calculs!Q107&lt;&gt;Calculs!R107,_xlfn.IFS(F128&gt;Calculs!Q107,"U insuffisant",AND(F128&lt;=Calculs!Q107,F128&gt;Calculs!R107,OR(G128="non",G128=0)),Calculs!S107,AND(F128&lt;=Calculs!Q107,F128&gt;Calculs!R107,G128="oui"),Calculs!T107,AND(F128&lt;=Calculs!R107,OR(G128="non",G128=0)),Calculs!U107,AND(F128&lt;=Calculs!R107,G128="oui"),Calculs!V107))))</f>
        <v>0</v>
      </c>
      <c r="I128" s="58">
        <f>IF(OR(H128="U insuffisant",H128="U incohérent"),0,H128*'Encodage données'!E169)</f>
        <v>0</v>
      </c>
      <c r="J128" s="116"/>
      <c r="K128" s="116"/>
    </row>
    <row r="129" spans="1:11" x14ac:dyDescent="0.25">
      <c r="A129" s="116"/>
      <c r="B129" s="116"/>
      <c r="C129" s="131" t="str">
        <f t="shared" si="1"/>
        <v xml:space="preserve"> </v>
      </c>
      <c r="D129" s="55">
        <v>0</v>
      </c>
      <c r="E129" s="228">
        <v>0</v>
      </c>
      <c r="F129" s="32">
        <v>0</v>
      </c>
      <c r="G129" s="54">
        <f>IF(E129="Pas de modification","-",'Encodage données'!J170)</f>
        <v>0</v>
      </c>
      <c r="H129" s="220" cm="1">
        <f t="array" ref="H129" xml:space="preserve"> IF(E129='Données Giant'!$A$22,0,_xlfn.IFS(E129=0,0,AND(E129="Pas de modification",AND(F129&gt; _xlfn.XLOOKUP('Encodage données'!$H170,'Données Giant'!$A$8:$A$21,'Données Giant'!$J$8:$J$21),F129&lt;= _xlfn.XLOOKUP('Encodage données'!$H170,'Données Giant'!$A$8:$A$21,'Données Giant'!$K$8:$K$21))),0,F129&lt;= _xlfn.XLOOKUP('Encodage données'!$H170,'Données Giant'!$A$8:$A$21,'Données Giant'!$J$8:$J$21),"U incohérent",F129&gt; _xlfn.XLOOKUP('Encodage données'!$H170,'Données Giant'!$A$8:$A$21,'Données Giant'!$K$8:$K$21), "U incohérent",AND(F129&lt;= _xlfn.XLOOKUP('Encodage données'!$H170,'Données Giant'!$A$8:$A$21,'Données Giant'!$K$8:$K$21),F129&gt; _xlfn.XLOOKUP('Encodage données'!$H170,'Données Giant'!$A$8:$A$21,'Données Giant'!$J$8:$J$21)),_xlfn.IFS(Calculs!Q108=Calculs!R108,_xlfn.IFS(F129&gt;Calculs!Q108,"U insuffisant",AND(F129&lt;=Calculs!Q108,OR(G129="non",G129=0)),Calculs!S108,AND(F129&lt;=Calculs!Q108,G129="oui"),Calculs!T108),Calculs!Q108&lt;&gt;Calculs!R108,_xlfn.IFS(F129&gt;Calculs!Q108,"U insuffisant",AND(F129&lt;=Calculs!Q108,F129&gt;Calculs!R108,OR(G129="non",G129=0)),Calculs!S108,AND(F129&lt;=Calculs!Q108,F129&gt;Calculs!R108,G129="oui"),Calculs!T108,AND(F129&lt;=Calculs!R108,OR(G129="non",G129=0)),Calculs!U108,AND(F129&lt;=Calculs!R108,G129="oui"),Calculs!V108))))</f>
        <v>0</v>
      </c>
      <c r="I129" s="58">
        <f>IF(OR(H129="U insuffisant",H129="U incohérent"),0,H129*'Encodage données'!E170)</f>
        <v>0</v>
      </c>
      <c r="J129" s="116"/>
      <c r="K129" s="116"/>
    </row>
    <row r="130" spans="1:11" x14ac:dyDescent="0.25">
      <c r="A130" s="116"/>
      <c r="B130" s="116"/>
      <c r="C130" s="131" t="str">
        <f t="shared" si="1"/>
        <v xml:space="preserve"> </v>
      </c>
      <c r="D130" s="55">
        <v>0</v>
      </c>
      <c r="E130" s="228">
        <v>0</v>
      </c>
      <c r="F130" s="32">
        <v>0</v>
      </c>
      <c r="G130" s="54">
        <f>IF(E130="Pas de modification","-",'Encodage données'!J171)</f>
        <v>0</v>
      </c>
      <c r="H130" s="220" cm="1">
        <f t="array" ref="H130" xml:space="preserve"> IF(E130='Données Giant'!$A$22,0,_xlfn.IFS(E130=0,0,AND(E130="Pas de modification",AND(F130&gt; _xlfn.XLOOKUP('Encodage données'!$H171,'Données Giant'!$A$8:$A$21,'Données Giant'!$J$8:$J$21),F130&lt;= _xlfn.XLOOKUP('Encodage données'!$H171,'Données Giant'!$A$8:$A$21,'Données Giant'!$K$8:$K$21))),0,F130&lt;= _xlfn.XLOOKUP('Encodage données'!$H171,'Données Giant'!$A$8:$A$21,'Données Giant'!$J$8:$J$21),"U incohérent",F130&gt; _xlfn.XLOOKUP('Encodage données'!$H171,'Données Giant'!$A$8:$A$21,'Données Giant'!$K$8:$K$21), "U incohérent",AND(F130&lt;= _xlfn.XLOOKUP('Encodage données'!$H171,'Données Giant'!$A$8:$A$21,'Données Giant'!$K$8:$K$21),F130&gt; _xlfn.XLOOKUP('Encodage données'!$H171,'Données Giant'!$A$8:$A$21,'Données Giant'!$J$8:$J$21)),_xlfn.IFS(Calculs!Q109=Calculs!R109,_xlfn.IFS(F130&gt;Calculs!Q109,"U insuffisant",AND(F130&lt;=Calculs!Q109,OR(G130="non",G130=0)),Calculs!S109,AND(F130&lt;=Calculs!Q109,G130="oui"),Calculs!T109),Calculs!Q109&lt;&gt;Calculs!R109,_xlfn.IFS(F130&gt;Calculs!Q109,"U insuffisant",AND(F130&lt;=Calculs!Q109,F130&gt;Calculs!R109,OR(G130="non",G130=0)),Calculs!S109,AND(F130&lt;=Calculs!Q109,F130&gt;Calculs!R109,G130="oui"),Calculs!T109,AND(F130&lt;=Calculs!R109,OR(G130="non",G130=0)),Calculs!U109,AND(F130&lt;=Calculs!R109,G130="oui"),Calculs!V109))))</f>
        <v>0</v>
      </c>
      <c r="I130" s="58">
        <f>IF(OR(H130="U insuffisant",H130="U incohérent"),0,H130*'Encodage données'!E171)</f>
        <v>0</v>
      </c>
      <c r="J130" s="116"/>
      <c r="K130" s="116"/>
    </row>
    <row r="131" spans="1:11" x14ac:dyDescent="0.25">
      <c r="A131" s="116"/>
      <c r="B131" s="116"/>
      <c r="C131" s="131" t="str">
        <f t="shared" si="1"/>
        <v xml:space="preserve"> </v>
      </c>
      <c r="D131" s="55">
        <v>0</v>
      </c>
      <c r="E131" s="228">
        <v>0</v>
      </c>
      <c r="F131" s="32">
        <v>0</v>
      </c>
      <c r="G131" s="54">
        <f>IF(E131="Pas de modification","-",'Encodage données'!J172)</f>
        <v>0</v>
      </c>
      <c r="H131" s="220" cm="1">
        <f t="array" ref="H131" xml:space="preserve"> IF(E131='Données Giant'!$A$22,0,_xlfn.IFS(E131=0,0,AND(E131="Pas de modification",AND(F131&gt; _xlfn.XLOOKUP('Encodage données'!$H172,'Données Giant'!$A$8:$A$21,'Données Giant'!$J$8:$J$21),F131&lt;= _xlfn.XLOOKUP('Encodage données'!$H172,'Données Giant'!$A$8:$A$21,'Données Giant'!$K$8:$K$21))),0,F131&lt;= _xlfn.XLOOKUP('Encodage données'!$H172,'Données Giant'!$A$8:$A$21,'Données Giant'!$J$8:$J$21),"U incohérent",F131&gt; _xlfn.XLOOKUP('Encodage données'!$H172,'Données Giant'!$A$8:$A$21,'Données Giant'!$K$8:$K$21), "U incohérent",AND(F131&lt;= _xlfn.XLOOKUP('Encodage données'!$H172,'Données Giant'!$A$8:$A$21,'Données Giant'!$K$8:$K$21),F131&gt; _xlfn.XLOOKUP('Encodage données'!$H172,'Données Giant'!$A$8:$A$21,'Données Giant'!$J$8:$J$21)),_xlfn.IFS(Calculs!Q110=Calculs!R110,_xlfn.IFS(F131&gt;Calculs!Q110,"U insuffisant",AND(F131&lt;=Calculs!Q110,OR(G131="non",G131=0)),Calculs!S110,AND(F131&lt;=Calculs!Q110,G131="oui"),Calculs!T110),Calculs!Q110&lt;&gt;Calculs!R110,_xlfn.IFS(F131&gt;Calculs!Q110,"U insuffisant",AND(F131&lt;=Calculs!Q110,F131&gt;Calculs!R110,OR(G131="non",G131=0)),Calculs!S110,AND(F131&lt;=Calculs!Q110,F131&gt;Calculs!R110,G131="oui"),Calculs!T110,AND(F131&lt;=Calculs!R110,OR(G131="non",G131=0)),Calculs!U110,AND(F131&lt;=Calculs!R110,G131="oui"),Calculs!V110))))</f>
        <v>0</v>
      </c>
      <c r="I131" s="58">
        <f>IF(OR(H131="U insuffisant",H131="U incohérent"),0,H131*'Encodage données'!E172)</f>
        <v>0</v>
      </c>
      <c r="J131" s="116"/>
      <c r="K131" s="116"/>
    </row>
    <row r="132" spans="1:11" x14ac:dyDescent="0.25">
      <c r="A132" s="116"/>
      <c r="B132" s="116"/>
      <c r="C132" s="131" t="str">
        <f t="shared" si="1"/>
        <v xml:space="preserve"> </v>
      </c>
      <c r="D132" s="55">
        <v>0</v>
      </c>
      <c r="E132" s="228">
        <v>0</v>
      </c>
      <c r="F132" s="32">
        <v>0</v>
      </c>
      <c r="G132" s="54">
        <f>IF(E132="Pas de modification","-",'Encodage données'!J173)</f>
        <v>0</v>
      </c>
      <c r="H132" s="220" cm="1">
        <f t="array" ref="H132" xml:space="preserve"> IF(E132='Données Giant'!$A$22,0,_xlfn.IFS(E132=0,0,AND(E132="Pas de modification",AND(F132&gt; _xlfn.XLOOKUP('Encodage données'!$H173,'Données Giant'!$A$8:$A$21,'Données Giant'!$J$8:$J$21),F132&lt;= _xlfn.XLOOKUP('Encodage données'!$H173,'Données Giant'!$A$8:$A$21,'Données Giant'!$K$8:$K$21))),0,F132&lt;= _xlfn.XLOOKUP('Encodage données'!$H173,'Données Giant'!$A$8:$A$21,'Données Giant'!$J$8:$J$21),"U incohérent",F132&gt; _xlfn.XLOOKUP('Encodage données'!$H173,'Données Giant'!$A$8:$A$21,'Données Giant'!$K$8:$K$21), "U incohérent",AND(F132&lt;= _xlfn.XLOOKUP('Encodage données'!$H173,'Données Giant'!$A$8:$A$21,'Données Giant'!$K$8:$K$21),F132&gt; _xlfn.XLOOKUP('Encodage données'!$H173,'Données Giant'!$A$8:$A$21,'Données Giant'!$J$8:$J$21)),_xlfn.IFS(Calculs!Q111=Calculs!R111,_xlfn.IFS(F132&gt;Calculs!Q111,"U insuffisant",AND(F132&lt;=Calculs!Q111,OR(G132="non",G132=0)),Calculs!S111,AND(F132&lt;=Calculs!Q111,G132="oui"),Calculs!T111),Calculs!Q111&lt;&gt;Calculs!R111,_xlfn.IFS(F132&gt;Calculs!Q111,"U insuffisant",AND(F132&lt;=Calculs!Q111,F132&gt;Calculs!R111,OR(G132="non",G132=0)),Calculs!S111,AND(F132&lt;=Calculs!Q111,F132&gt;Calculs!R111,G132="oui"),Calculs!T111,AND(F132&lt;=Calculs!R111,OR(G132="non",G132=0)),Calculs!U111,AND(F132&lt;=Calculs!R111,G132="oui"),Calculs!V111))))</f>
        <v>0</v>
      </c>
      <c r="I132" s="58">
        <f>IF(OR(H132="U insuffisant",H132="U incohérent"),0,H132*'Encodage données'!E173)</f>
        <v>0</v>
      </c>
      <c r="J132" s="116"/>
      <c r="K132" s="116"/>
    </row>
    <row r="133" spans="1:11" x14ac:dyDescent="0.25">
      <c r="A133" s="116"/>
      <c r="B133" s="116"/>
      <c r="C133" s="131" t="str">
        <f t="shared" si="1"/>
        <v xml:space="preserve"> </v>
      </c>
      <c r="D133" s="55">
        <v>0</v>
      </c>
      <c r="E133" s="228">
        <v>0</v>
      </c>
      <c r="F133" s="32">
        <v>0</v>
      </c>
      <c r="G133" s="54">
        <f>IF(E133="Pas de modification","-",'Encodage données'!J174)</f>
        <v>0</v>
      </c>
      <c r="H133" s="220" cm="1">
        <f t="array" ref="H133" xml:space="preserve"> IF(E133='Données Giant'!$A$22,0,_xlfn.IFS(E133=0,0,AND(E133="Pas de modification",AND(F133&gt; _xlfn.XLOOKUP('Encodage données'!$H174,'Données Giant'!$A$8:$A$21,'Données Giant'!$J$8:$J$21),F133&lt;= _xlfn.XLOOKUP('Encodage données'!$H174,'Données Giant'!$A$8:$A$21,'Données Giant'!$K$8:$K$21))),0,F133&lt;= _xlfn.XLOOKUP('Encodage données'!$H174,'Données Giant'!$A$8:$A$21,'Données Giant'!$J$8:$J$21),"U incohérent",F133&gt; _xlfn.XLOOKUP('Encodage données'!$H174,'Données Giant'!$A$8:$A$21,'Données Giant'!$K$8:$K$21), "U incohérent",AND(F133&lt;= _xlfn.XLOOKUP('Encodage données'!$H174,'Données Giant'!$A$8:$A$21,'Données Giant'!$K$8:$K$21),F133&gt; _xlfn.XLOOKUP('Encodage données'!$H174,'Données Giant'!$A$8:$A$21,'Données Giant'!$J$8:$J$21)),_xlfn.IFS(Calculs!Q112=Calculs!R112,_xlfn.IFS(F133&gt;Calculs!Q112,"U insuffisant",AND(F133&lt;=Calculs!Q112,OR(G133="non",G133=0)),Calculs!S112,AND(F133&lt;=Calculs!Q112,G133="oui"),Calculs!T112),Calculs!Q112&lt;&gt;Calculs!R112,_xlfn.IFS(F133&gt;Calculs!Q112,"U insuffisant",AND(F133&lt;=Calculs!Q112,F133&gt;Calculs!R112,OR(G133="non",G133=0)),Calculs!S112,AND(F133&lt;=Calculs!Q112,F133&gt;Calculs!R112,G133="oui"),Calculs!T112,AND(F133&lt;=Calculs!R112,OR(G133="non",G133=0)),Calculs!U112,AND(F133&lt;=Calculs!R112,G133="oui"),Calculs!V112))))</f>
        <v>0</v>
      </c>
      <c r="I133" s="58">
        <f>IF(OR(H133="U insuffisant",H133="U incohérent"),0,H133*'Encodage données'!E174)</f>
        <v>0</v>
      </c>
      <c r="J133" s="116"/>
      <c r="K133" s="116"/>
    </row>
    <row r="134" spans="1:11" x14ac:dyDescent="0.25">
      <c r="A134" s="116"/>
      <c r="B134" s="116"/>
      <c r="C134" s="131" t="str">
        <f t="shared" si="1"/>
        <v xml:space="preserve"> </v>
      </c>
      <c r="D134" s="55">
        <v>0</v>
      </c>
      <c r="E134" s="228">
        <v>0</v>
      </c>
      <c r="F134" s="32">
        <v>0</v>
      </c>
      <c r="G134" s="54">
        <f>IF(E134="Pas de modification","-",'Encodage données'!J175)</f>
        <v>0</v>
      </c>
      <c r="H134" s="220" cm="1">
        <f t="array" ref="H134" xml:space="preserve"> IF(E134='Données Giant'!$A$22,0,_xlfn.IFS(E134=0,0,AND(E134="Pas de modification",AND(F134&gt; _xlfn.XLOOKUP('Encodage données'!$H175,'Données Giant'!$A$8:$A$21,'Données Giant'!$J$8:$J$21),F134&lt;= _xlfn.XLOOKUP('Encodage données'!$H175,'Données Giant'!$A$8:$A$21,'Données Giant'!$K$8:$K$21))),0,F134&lt;= _xlfn.XLOOKUP('Encodage données'!$H175,'Données Giant'!$A$8:$A$21,'Données Giant'!$J$8:$J$21),"U incohérent",F134&gt; _xlfn.XLOOKUP('Encodage données'!$H175,'Données Giant'!$A$8:$A$21,'Données Giant'!$K$8:$K$21), "U incohérent",AND(F134&lt;= _xlfn.XLOOKUP('Encodage données'!$H175,'Données Giant'!$A$8:$A$21,'Données Giant'!$K$8:$K$21),F134&gt; _xlfn.XLOOKUP('Encodage données'!$H175,'Données Giant'!$A$8:$A$21,'Données Giant'!$J$8:$J$21)),_xlfn.IFS(Calculs!Q113=Calculs!R113,_xlfn.IFS(F134&gt;Calculs!Q113,"U insuffisant",AND(F134&lt;=Calculs!Q113,OR(G134="non",G134=0)),Calculs!S113,AND(F134&lt;=Calculs!Q113,G134="oui"),Calculs!T113),Calculs!Q113&lt;&gt;Calculs!R113,_xlfn.IFS(F134&gt;Calculs!Q113,"U insuffisant",AND(F134&lt;=Calculs!Q113,F134&gt;Calculs!R113,OR(G134="non",G134=0)),Calculs!S113,AND(F134&lt;=Calculs!Q113,F134&gt;Calculs!R113,G134="oui"),Calculs!T113,AND(F134&lt;=Calculs!R113,OR(G134="non",G134=0)),Calculs!U113,AND(F134&lt;=Calculs!R113,G134="oui"),Calculs!V113))))</f>
        <v>0</v>
      </c>
      <c r="I134" s="58">
        <f>IF(OR(H134="U insuffisant",H134="U incohérent"),0,H134*'Encodage données'!E175)</f>
        <v>0</v>
      </c>
      <c r="J134" s="116"/>
      <c r="K134" s="116"/>
    </row>
    <row r="135" spans="1:11" x14ac:dyDescent="0.25">
      <c r="A135" s="116"/>
      <c r="B135" s="116"/>
      <c r="C135" s="131" t="str">
        <f t="shared" si="1"/>
        <v xml:space="preserve"> </v>
      </c>
      <c r="D135" s="55">
        <v>0</v>
      </c>
      <c r="E135" s="228">
        <v>0</v>
      </c>
      <c r="F135" s="32">
        <v>0</v>
      </c>
      <c r="G135" s="54">
        <f>IF(E135="Pas de modification","-",'Encodage données'!J176)</f>
        <v>0</v>
      </c>
      <c r="H135" s="220" cm="1">
        <f t="array" ref="H135" xml:space="preserve"> IF(E135='Données Giant'!$A$22,0,_xlfn.IFS(E135=0,0,AND(E135="Pas de modification",AND(F135&gt; _xlfn.XLOOKUP('Encodage données'!$H176,'Données Giant'!$A$8:$A$21,'Données Giant'!$J$8:$J$21),F135&lt;= _xlfn.XLOOKUP('Encodage données'!$H176,'Données Giant'!$A$8:$A$21,'Données Giant'!$K$8:$K$21))),0,F135&lt;= _xlfn.XLOOKUP('Encodage données'!$H176,'Données Giant'!$A$8:$A$21,'Données Giant'!$J$8:$J$21),"U incohérent",F135&gt; _xlfn.XLOOKUP('Encodage données'!$H176,'Données Giant'!$A$8:$A$21,'Données Giant'!$K$8:$K$21), "U incohérent",AND(F135&lt;= _xlfn.XLOOKUP('Encodage données'!$H176,'Données Giant'!$A$8:$A$21,'Données Giant'!$K$8:$K$21),F135&gt; _xlfn.XLOOKUP('Encodage données'!$H176,'Données Giant'!$A$8:$A$21,'Données Giant'!$J$8:$J$21)),_xlfn.IFS(Calculs!Q114=Calculs!R114,_xlfn.IFS(F135&gt;Calculs!Q114,"U insuffisant",AND(F135&lt;=Calculs!Q114,OR(G135="non",G135=0)),Calculs!S114,AND(F135&lt;=Calculs!Q114,G135="oui"),Calculs!T114),Calculs!Q114&lt;&gt;Calculs!R114,_xlfn.IFS(F135&gt;Calculs!Q114,"U insuffisant",AND(F135&lt;=Calculs!Q114,F135&gt;Calculs!R114,OR(G135="non",G135=0)),Calculs!S114,AND(F135&lt;=Calculs!Q114,F135&gt;Calculs!R114,G135="oui"),Calculs!T114,AND(F135&lt;=Calculs!R114,OR(G135="non",G135=0)),Calculs!U114,AND(F135&lt;=Calculs!R114,G135="oui"),Calculs!V114))))</f>
        <v>0</v>
      </c>
      <c r="I135" s="58">
        <f>IF(OR(H135="U insuffisant",H135="U incohérent"),0,H135*'Encodage données'!E176)</f>
        <v>0</v>
      </c>
      <c r="J135" s="116"/>
      <c r="K135" s="116"/>
    </row>
    <row r="136" spans="1:11" x14ac:dyDescent="0.25">
      <c r="A136" s="116"/>
      <c r="B136" s="116"/>
      <c r="C136" s="131" t="str">
        <f t="shared" si="1"/>
        <v xml:space="preserve"> </v>
      </c>
      <c r="D136" s="55">
        <v>0</v>
      </c>
      <c r="E136" s="228">
        <v>0</v>
      </c>
      <c r="F136" s="32">
        <v>0</v>
      </c>
      <c r="G136" s="54">
        <f>IF(E136="Pas de modification","-",'Encodage données'!J177)</f>
        <v>0</v>
      </c>
      <c r="H136" s="220" cm="1">
        <f t="array" ref="H136" xml:space="preserve"> IF(E136='Données Giant'!$A$22,0,_xlfn.IFS(E136=0,0,AND(E136="Pas de modification",AND(F136&gt; _xlfn.XLOOKUP('Encodage données'!$H177,'Données Giant'!$A$8:$A$21,'Données Giant'!$J$8:$J$21),F136&lt;= _xlfn.XLOOKUP('Encodage données'!$H177,'Données Giant'!$A$8:$A$21,'Données Giant'!$K$8:$K$21))),0,F136&lt;= _xlfn.XLOOKUP('Encodage données'!$H177,'Données Giant'!$A$8:$A$21,'Données Giant'!$J$8:$J$21),"U incohérent",F136&gt; _xlfn.XLOOKUP('Encodage données'!$H177,'Données Giant'!$A$8:$A$21,'Données Giant'!$K$8:$K$21), "U incohérent",AND(F136&lt;= _xlfn.XLOOKUP('Encodage données'!$H177,'Données Giant'!$A$8:$A$21,'Données Giant'!$K$8:$K$21),F136&gt; _xlfn.XLOOKUP('Encodage données'!$H177,'Données Giant'!$A$8:$A$21,'Données Giant'!$J$8:$J$21)),_xlfn.IFS(Calculs!Q115=Calculs!R115,_xlfn.IFS(F136&gt;Calculs!Q115,"U insuffisant",AND(F136&lt;=Calculs!Q115,OR(G136="non",G136=0)),Calculs!S115,AND(F136&lt;=Calculs!Q115,G136="oui"),Calculs!T115),Calculs!Q115&lt;&gt;Calculs!R115,_xlfn.IFS(F136&gt;Calculs!Q115,"U insuffisant",AND(F136&lt;=Calculs!Q115,F136&gt;Calculs!R115,OR(G136="non",G136=0)),Calculs!S115,AND(F136&lt;=Calculs!Q115,F136&gt;Calculs!R115,G136="oui"),Calculs!T115,AND(F136&lt;=Calculs!R115,OR(G136="non",G136=0)),Calculs!U115,AND(F136&lt;=Calculs!R115,G136="oui"),Calculs!V115))))</f>
        <v>0</v>
      </c>
      <c r="I136" s="58">
        <f>IF(OR(H136="U insuffisant",H136="U incohérent"),0,H136*'Encodage données'!E177)</f>
        <v>0</v>
      </c>
      <c r="J136" s="116"/>
      <c r="K136" s="116"/>
    </row>
    <row r="137" spans="1:11" x14ac:dyDescent="0.25">
      <c r="A137" s="116"/>
      <c r="B137" s="116"/>
      <c r="C137" s="131" t="str">
        <f t="shared" si="1"/>
        <v xml:space="preserve"> </v>
      </c>
      <c r="D137" s="55">
        <v>0</v>
      </c>
      <c r="E137" s="228">
        <v>0</v>
      </c>
      <c r="F137" s="32">
        <v>0</v>
      </c>
      <c r="G137" s="54">
        <f>IF(E137="Pas de modification","-",'Encodage données'!J178)</f>
        <v>0</v>
      </c>
      <c r="H137" s="220" cm="1">
        <f t="array" ref="H137" xml:space="preserve"> IF(E137='Données Giant'!$A$22,0,_xlfn.IFS(E137=0,0,AND(E137="Pas de modification",AND(F137&gt; _xlfn.XLOOKUP('Encodage données'!$H178,'Données Giant'!$A$8:$A$21,'Données Giant'!$J$8:$J$21),F137&lt;= _xlfn.XLOOKUP('Encodage données'!$H178,'Données Giant'!$A$8:$A$21,'Données Giant'!$K$8:$K$21))),0,F137&lt;= _xlfn.XLOOKUP('Encodage données'!$H178,'Données Giant'!$A$8:$A$21,'Données Giant'!$J$8:$J$21),"U incohérent",F137&gt; _xlfn.XLOOKUP('Encodage données'!$H178,'Données Giant'!$A$8:$A$21,'Données Giant'!$K$8:$K$21), "U incohérent",AND(F137&lt;= _xlfn.XLOOKUP('Encodage données'!$H178,'Données Giant'!$A$8:$A$21,'Données Giant'!$K$8:$K$21),F137&gt; _xlfn.XLOOKUP('Encodage données'!$H178,'Données Giant'!$A$8:$A$21,'Données Giant'!$J$8:$J$21)),_xlfn.IFS(Calculs!Q116=Calculs!R116,_xlfn.IFS(F137&gt;Calculs!Q116,"U insuffisant",AND(F137&lt;=Calculs!Q116,OR(G137="non",G137=0)),Calculs!S116,AND(F137&lt;=Calculs!Q116,G137="oui"),Calculs!T116),Calculs!Q116&lt;&gt;Calculs!R116,_xlfn.IFS(F137&gt;Calculs!Q116,"U insuffisant",AND(F137&lt;=Calculs!Q116,F137&gt;Calculs!R116,OR(G137="non",G137=0)),Calculs!S116,AND(F137&lt;=Calculs!Q116,F137&gt;Calculs!R116,G137="oui"),Calculs!T116,AND(F137&lt;=Calculs!R116,OR(G137="non",G137=0)),Calculs!U116,AND(F137&lt;=Calculs!R116,G137="oui"),Calculs!V116))))</f>
        <v>0</v>
      </c>
      <c r="I137" s="58">
        <f>IF(OR(H137="U insuffisant",H137="U incohérent"),0,H137*'Encodage données'!E178)</f>
        <v>0</v>
      </c>
      <c r="J137" s="116"/>
      <c r="K137" s="116"/>
    </row>
    <row r="138" spans="1:11" x14ac:dyDescent="0.25">
      <c r="A138" s="116"/>
      <c r="B138" s="116"/>
      <c r="C138" s="131" t="str">
        <f t="shared" si="1"/>
        <v xml:space="preserve"> </v>
      </c>
      <c r="D138" s="55">
        <v>0</v>
      </c>
      <c r="E138" s="228">
        <v>0</v>
      </c>
      <c r="F138" s="32">
        <v>0</v>
      </c>
      <c r="G138" s="54">
        <f>IF(E138="Pas de modification","-",'Encodage données'!J179)</f>
        <v>0</v>
      </c>
      <c r="H138" s="220" cm="1">
        <f t="array" ref="H138" xml:space="preserve"> IF(E138='Données Giant'!$A$22,0,_xlfn.IFS(E138=0,0,AND(E138="Pas de modification",AND(F138&gt; _xlfn.XLOOKUP('Encodage données'!$H179,'Données Giant'!$A$8:$A$21,'Données Giant'!$J$8:$J$21),F138&lt;= _xlfn.XLOOKUP('Encodage données'!$H179,'Données Giant'!$A$8:$A$21,'Données Giant'!$K$8:$K$21))),0,F138&lt;= _xlfn.XLOOKUP('Encodage données'!$H179,'Données Giant'!$A$8:$A$21,'Données Giant'!$J$8:$J$21),"U incohérent",F138&gt; _xlfn.XLOOKUP('Encodage données'!$H179,'Données Giant'!$A$8:$A$21,'Données Giant'!$K$8:$K$21), "U incohérent",AND(F138&lt;= _xlfn.XLOOKUP('Encodage données'!$H179,'Données Giant'!$A$8:$A$21,'Données Giant'!$K$8:$K$21),F138&gt; _xlfn.XLOOKUP('Encodage données'!$H179,'Données Giant'!$A$8:$A$21,'Données Giant'!$J$8:$J$21)),_xlfn.IFS(Calculs!Q117=Calculs!R117,_xlfn.IFS(F138&gt;Calculs!Q117,"U insuffisant",AND(F138&lt;=Calculs!Q117,OR(G138="non",G138=0)),Calculs!S117,AND(F138&lt;=Calculs!Q117,G138="oui"),Calculs!T117),Calculs!Q117&lt;&gt;Calculs!R117,_xlfn.IFS(F138&gt;Calculs!Q117,"U insuffisant",AND(F138&lt;=Calculs!Q117,F138&gt;Calculs!R117,OR(G138="non",G138=0)),Calculs!S117,AND(F138&lt;=Calculs!Q117,F138&gt;Calculs!R117,G138="oui"),Calculs!T117,AND(F138&lt;=Calculs!R117,OR(G138="non",G138=0)),Calculs!U117,AND(F138&lt;=Calculs!R117,G138="oui"),Calculs!V117))))</f>
        <v>0</v>
      </c>
      <c r="I138" s="58">
        <f>IF(OR(H138="U insuffisant",H138="U incohérent"),0,H138*'Encodage données'!E179)</f>
        <v>0</v>
      </c>
      <c r="J138" s="116"/>
      <c r="K138" s="116"/>
    </row>
    <row r="139" spans="1:11" x14ac:dyDescent="0.25">
      <c r="A139" s="116"/>
      <c r="B139" s="116"/>
      <c r="C139" s="131" t="str">
        <f t="shared" si="1"/>
        <v xml:space="preserve"> </v>
      </c>
      <c r="D139" s="55">
        <v>0</v>
      </c>
      <c r="E139" s="228">
        <v>0</v>
      </c>
      <c r="F139" s="32">
        <v>0</v>
      </c>
      <c r="G139" s="54">
        <f>IF(E139="Pas de modification","-",'Encodage données'!J180)</f>
        <v>0</v>
      </c>
      <c r="H139" s="220" cm="1">
        <f t="array" ref="H139" xml:space="preserve"> IF(E139='Données Giant'!$A$22,0,_xlfn.IFS(E139=0,0,AND(E139="Pas de modification",AND(F139&gt; _xlfn.XLOOKUP('Encodage données'!$H180,'Données Giant'!$A$8:$A$21,'Données Giant'!$J$8:$J$21),F139&lt;= _xlfn.XLOOKUP('Encodage données'!$H180,'Données Giant'!$A$8:$A$21,'Données Giant'!$K$8:$K$21))),0,F139&lt;= _xlfn.XLOOKUP('Encodage données'!$H180,'Données Giant'!$A$8:$A$21,'Données Giant'!$J$8:$J$21),"U incohérent",F139&gt; _xlfn.XLOOKUP('Encodage données'!$H180,'Données Giant'!$A$8:$A$21,'Données Giant'!$K$8:$K$21), "U incohérent",AND(F139&lt;= _xlfn.XLOOKUP('Encodage données'!$H180,'Données Giant'!$A$8:$A$21,'Données Giant'!$K$8:$K$21),F139&gt; _xlfn.XLOOKUP('Encodage données'!$H180,'Données Giant'!$A$8:$A$21,'Données Giant'!$J$8:$J$21)),_xlfn.IFS(Calculs!Q118=Calculs!R118,_xlfn.IFS(F139&gt;Calculs!Q118,"U insuffisant",AND(F139&lt;=Calculs!Q118,OR(G139="non",G139=0)),Calculs!S118,AND(F139&lt;=Calculs!Q118,G139="oui"),Calculs!T118),Calculs!Q118&lt;&gt;Calculs!R118,_xlfn.IFS(F139&gt;Calculs!Q118,"U insuffisant",AND(F139&lt;=Calculs!Q118,F139&gt;Calculs!R118,OR(G139="non",G139=0)),Calculs!S118,AND(F139&lt;=Calculs!Q118,F139&gt;Calculs!R118,G139="oui"),Calculs!T118,AND(F139&lt;=Calculs!R118,OR(G139="non",G139=0)),Calculs!U118,AND(F139&lt;=Calculs!R118,G139="oui"),Calculs!V118))))</f>
        <v>0</v>
      </c>
      <c r="I139" s="58">
        <f>IF(OR(H139="U insuffisant",H139="U incohérent"),0,H139*'Encodage données'!E180)</f>
        <v>0</v>
      </c>
      <c r="J139" s="116"/>
      <c r="K139" s="116"/>
    </row>
    <row r="140" spans="1:11" x14ac:dyDescent="0.25">
      <c r="A140" s="116"/>
      <c r="B140" s="116"/>
      <c r="C140" s="131" t="str">
        <f t="shared" si="1"/>
        <v xml:space="preserve"> </v>
      </c>
      <c r="D140" s="55">
        <v>0</v>
      </c>
      <c r="E140" s="228">
        <v>0</v>
      </c>
      <c r="F140" s="32">
        <v>0</v>
      </c>
      <c r="G140" s="54">
        <f>IF(E140="Pas de modification","-",'Encodage données'!J181)</f>
        <v>0</v>
      </c>
      <c r="H140" s="220" cm="1">
        <f t="array" ref="H140" xml:space="preserve"> IF(E140='Données Giant'!$A$22,0,_xlfn.IFS(E140=0,0,AND(E140="Pas de modification",AND(F140&gt; _xlfn.XLOOKUP('Encodage données'!$H181,'Données Giant'!$A$8:$A$21,'Données Giant'!$J$8:$J$21),F140&lt;= _xlfn.XLOOKUP('Encodage données'!$H181,'Données Giant'!$A$8:$A$21,'Données Giant'!$K$8:$K$21))),0,F140&lt;= _xlfn.XLOOKUP('Encodage données'!$H181,'Données Giant'!$A$8:$A$21,'Données Giant'!$J$8:$J$21),"U incohérent",F140&gt; _xlfn.XLOOKUP('Encodage données'!$H181,'Données Giant'!$A$8:$A$21,'Données Giant'!$K$8:$K$21), "U incohérent",AND(F140&lt;= _xlfn.XLOOKUP('Encodage données'!$H181,'Données Giant'!$A$8:$A$21,'Données Giant'!$K$8:$K$21),F140&gt; _xlfn.XLOOKUP('Encodage données'!$H181,'Données Giant'!$A$8:$A$21,'Données Giant'!$J$8:$J$21)),_xlfn.IFS(Calculs!Q119=Calculs!R119,_xlfn.IFS(F140&gt;Calculs!Q119,"U insuffisant",AND(F140&lt;=Calculs!Q119,OR(G140="non",G140=0)),Calculs!S119,AND(F140&lt;=Calculs!Q119,G140="oui"),Calculs!T119),Calculs!Q119&lt;&gt;Calculs!R119,_xlfn.IFS(F140&gt;Calculs!Q119,"U insuffisant",AND(F140&lt;=Calculs!Q119,F140&gt;Calculs!R119,OR(G140="non",G140=0)),Calculs!S119,AND(F140&lt;=Calculs!Q119,F140&gt;Calculs!R119,G140="oui"),Calculs!T119,AND(F140&lt;=Calculs!R119,OR(G140="non",G140=0)),Calculs!U119,AND(F140&lt;=Calculs!R119,G140="oui"),Calculs!V119))))</f>
        <v>0</v>
      </c>
      <c r="I140" s="58">
        <f>IF(OR(H140="U insuffisant",H140="U incohérent"),0,H140*'Encodage données'!E181)</f>
        <v>0</v>
      </c>
      <c r="J140" s="116"/>
      <c r="K140" s="116"/>
    </row>
    <row r="141" spans="1:11" ht="13.8" thickBot="1" x14ac:dyDescent="0.3">
      <c r="A141" s="116"/>
      <c r="B141" s="116"/>
      <c r="C141" s="131" t="str">
        <f t="shared" si="1"/>
        <v xml:space="preserve"> </v>
      </c>
      <c r="D141" s="56">
        <v>0</v>
      </c>
      <c r="E141" s="229">
        <v>0</v>
      </c>
      <c r="F141" s="57">
        <v>0</v>
      </c>
      <c r="G141" s="54">
        <f>IF(E141="Pas de modification","-",'Encodage données'!J182)</f>
        <v>0</v>
      </c>
      <c r="H141" s="220" cm="1">
        <f t="array" ref="H141" xml:space="preserve"> IF(E141='Données Giant'!$A$22,0,_xlfn.IFS(E141=0,0,AND(E141="Pas de modification",AND(F141&gt; _xlfn.XLOOKUP('Encodage données'!$H182,'Données Giant'!$A$8:$A$21,'Données Giant'!$J$8:$J$21),F141&lt;= _xlfn.XLOOKUP('Encodage données'!$H182,'Données Giant'!$A$8:$A$21,'Données Giant'!$K$8:$K$21))),0,F141&lt;= _xlfn.XLOOKUP('Encodage données'!$H182,'Données Giant'!$A$8:$A$21,'Données Giant'!$J$8:$J$21),"U incohérent",F141&gt; _xlfn.XLOOKUP('Encodage données'!$H182,'Données Giant'!$A$8:$A$21,'Données Giant'!$K$8:$K$21), "U incohérent",AND(F141&lt;= _xlfn.XLOOKUP('Encodage données'!$H182,'Données Giant'!$A$8:$A$21,'Données Giant'!$K$8:$K$21),F141&gt; _xlfn.XLOOKUP('Encodage données'!$H182,'Données Giant'!$A$8:$A$21,'Données Giant'!$J$8:$J$21)),_xlfn.IFS(Calculs!Q120=Calculs!R120,_xlfn.IFS(F141&gt;Calculs!Q120,"U insuffisant",AND(F141&lt;=Calculs!Q120,OR(G141="non",G141=0)),Calculs!S120,AND(F141&lt;=Calculs!Q120,G141="oui"),Calculs!T120),Calculs!Q120&lt;&gt;Calculs!R120,_xlfn.IFS(F141&gt;Calculs!Q120,"U insuffisant",AND(F141&lt;=Calculs!Q120,F141&gt;Calculs!R120,OR(G141="non",G141=0)),Calculs!S120,AND(F141&lt;=Calculs!Q120,F141&gt;Calculs!R120,G141="oui"),Calculs!T120,AND(F141&lt;=Calculs!R120,OR(G141="non",G141=0)),Calculs!U120,AND(F141&lt;=Calculs!R120,G141="oui"),Calculs!V120))))</f>
        <v>0</v>
      </c>
      <c r="I141" s="58">
        <f>IF(OR(H141="U insuffisant",H141="U incohérent"),0,H141*'Encodage données'!E182)</f>
        <v>0</v>
      </c>
      <c r="J141" s="116"/>
      <c r="K141" s="116"/>
    </row>
    <row r="142" spans="1:11" x14ac:dyDescent="0.25">
      <c r="A142" s="116"/>
      <c r="B142" s="116"/>
      <c r="C142" s="116"/>
      <c r="D142" s="116"/>
      <c r="E142" s="116"/>
      <c r="F142" s="116">
        <v>0</v>
      </c>
      <c r="G142" s="54">
        <f>IF(E142="Pas de modification","-",'Encodage données'!J183)</f>
        <v>0</v>
      </c>
      <c r="H142" s="116"/>
      <c r="I142" s="116"/>
      <c r="J142" s="116"/>
      <c r="K142" s="116"/>
    </row>
    <row r="143" spans="1:11" x14ac:dyDescent="0.25">
      <c r="A143" s="116"/>
      <c r="B143" s="116"/>
      <c r="C143" s="116"/>
      <c r="D143" s="116"/>
      <c r="E143" s="116"/>
      <c r="F143" s="116">
        <v>0</v>
      </c>
      <c r="G143" s="54">
        <f>IF(E143="Pas de modification","-",'Encodage données'!J184)</f>
        <v>0</v>
      </c>
      <c r="H143" s="116"/>
      <c r="I143" s="116"/>
      <c r="J143" s="116"/>
      <c r="K143" s="116"/>
    </row>
    <row r="144" spans="1:11" x14ac:dyDescent="0.25">
      <c r="A144" s="116"/>
      <c r="B144" s="116"/>
      <c r="C144" s="116"/>
      <c r="D144" s="116"/>
      <c r="E144" s="116"/>
      <c r="F144" s="116">
        <v>0</v>
      </c>
      <c r="G144" s="54">
        <f>IF(E144="Pas de modification","-",'Encodage données'!J185)</f>
        <v>0</v>
      </c>
      <c r="H144" s="116"/>
      <c r="I144" s="116"/>
      <c r="J144" s="116"/>
      <c r="K144" s="116"/>
    </row>
    <row r="145" spans="1:11" x14ac:dyDescent="0.25">
      <c r="A145" s="116"/>
      <c r="B145" s="116"/>
      <c r="C145" s="116"/>
      <c r="D145" s="116"/>
      <c r="E145" s="116"/>
      <c r="F145" s="116">
        <v>0</v>
      </c>
      <c r="G145" s="54">
        <f>IF(E145="Pas de modification","-",'Encodage données'!J186)</f>
        <v>0</v>
      </c>
      <c r="H145" s="116"/>
      <c r="I145" s="116"/>
      <c r="J145" s="116"/>
      <c r="K145" s="116"/>
    </row>
    <row r="146" spans="1:11" x14ac:dyDescent="0.25">
      <c r="A146" s="116"/>
      <c r="B146" s="116"/>
      <c r="C146" s="116"/>
      <c r="D146" s="116"/>
      <c r="E146" s="116"/>
      <c r="F146" s="116">
        <v>0</v>
      </c>
      <c r="G146" s="54">
        <f>IF(E146="Pas de modification","-",'Encodage données'!J187)</f>
        <v>0</v>
      </c>
      <c r="H146" s="116"/>
      <c r="I146" s="116"/>
      <c r="J146" s="116"/>
      <c r="K146" s="116"/>
    </row>
    <row r="147" spans="1:11" x14ac:dyDescent="0.25">
      <c r="A147" s="116"/>
      <c r="B147" s="116"/>
      <c r="C147" s="116"/>
      <c r="D147" s="116"/>
      <c r="E147" s="116"/>
      <c r="F147" s="116">
        <v>0</v>
      </c>
      <c r="G147" s="54">
        <f>IF(E147="Pas de modification","-",'Encodage données'!J188)</f>
        <v>0</v>
      </c>
      <c r="H147" s="116"/>
      <c r="I147" s="116"/>
      <c r="J147" s="116"/>
      <c r="K147" s="116"/>
    </row>
    <row r="148" spans="1:11" x14ac:dyDescent="0.25">
      <c r="A148" s="116"/>
      <c r="B148" s="116"/>
      <c r="C148" s="116"/>
      <c r="D148" s="116"/>
      <c r="E148" s="116"/>
      <c r="F148" s="116">
        <v>0</v>
      </c>
      <c r="G148" s="54">
        <f>IF(E148="Pas de modification","-",'Encodage données'!J189)</f>
        <v>0</v>
      </c>
      <c r="H148" s="116"/>
      <c r="I148" s="116"/>
      <c r="J148" s="116"/>
      <c r="K148" s="116"/>
    </row>
    <row r="149" spans="1:11" x14ac:dyDescent="0.25">
      <c r="A149" s="116"/>
      <c r="B149" s="116"/>
      <c r="C149" s="116"/>
      <c r="D149" s="116"/>
      <c r="E149" s="116"/>
      <c r="F149" s="116">
        <v>0</v>
      </c>
      <c r="G149" s="54">
        <f>IF(E149="Pas de modification","-",'Encodage données'!J190)</f>
        <v>0</v>
      </c>
      <c r="H149" s="116"/>
      <c r="I149" s="116"/>
      <c r="J149" s="116"/>
      <c r="K149" s="116"/>
    </row>
    <row r="150" spans="1:11" x14ac:dyDescent="0.25">
      <c r="A150" s="116"/>
      <c r="B150" s="116"/>
      <c r="C150" s="116"/>
      <c r="D150" s="116"/>
      <c r="E150" s="116"/>
      <c r="F150" s="116">
        <v>0</v>
      </c>
      <c r="G150" s="54">
        <f>IF(E150="Pas de modification","-",'Encodage données'!J191)</f>
        <v>0</v>
      </c>
      <c r="H150" s="116"/>
      <c r="I150" s="116"/>
      <c r="J150" s="116"/>
      <c r="K150" s="116"/>
    </row>
    <row r="151" spans="1:11" x14ac:dyDescent="0.25">
      <c r="A151" s="116"/>
      <c r="B151" s="116"/>
      <c r="C151" s="116"/>
      <c r="D151" s="116"/>
      <c r="E151" s="116"/>
      <c r="F151" s="116">
        <v>0</v>
      </c>
      <c r="G151" s="54">
        <f>IF(E151="Pas de modification","-",'Encodage données'!J192)</f>
        <v>0</v>
      </c>
      <c r="H151" s="116"/>
      <c r="I151" s="116"/>
      <c r="J151" s="116"/>
      <c r="K151" s="116"/>
    </row>
    <row r="152" spans="1:11" x14ac:dyDescent="0.25">
      <c r="A152" s="116"/>
      <c r="B152" s="116"/>
      <c r="C152" s="116"/>
      <c r="D152" s="116"/>
      <c r="E152" s="116"/>
      <c r="F152" s="116">
        <v>0</v>
      </c>
      <c r="G152" s="54">
        <f>IF(E152="Pas de modification","-",'Encodage données'!J193)</f>
        <v>0</v>
      </c>
      <c r="H152" s="116"/>
      <c r="I152" s="116"/>
      <c r="J152" s="116"/>
      <c r="K152" s="116"/>
    </row>
    <row r="153" spans="1:11" x14ac:dyDescent="0.25">
      <c r="A153" s="116"/>
      <c r="B153" s="116"/>
      <c r="C153" s="116"/>
      <c r="D153" s="116"/>
      <c r="E153" s="116"/>
      <c r="F153" s="116">
        <v>0</v>
      </c>
      <c r="G153" s="54">
        <f>IF(E153="Pas de modification","-",'Encodage données'!J194)</f>
        <v>0</v>
      </c>
      <c r="H153" s="116"/>
      <c r="I153" s="116"/>
      <c r="J153" s="116"/>
      <c r="K153" s="116"/>
    </row>
    <row r="154" spans="1:11" x14ac:dyDescent="0.25">
      <c r="A154" s="116"/>
      <c r="B154" s="116"/>
      <c r="C154" s="116"/>
      <c r="D154" s="116"/>
      <c r="E154" s="116"/>
      <c r="F154" s="116">
        <v>0</v>
      </c>
      <c r="G154" s="54">
        <f>IF(E154="Pas de modification","-",'Encodage données'!J195)</f>
        <v>0</v>
      </c>
      <c r="H154" s="116"/>
      <c r="I154" s="116"/>
      <c r="J154" s="116"/>
      <c r="K154" s="116"/>
    </row>
    <row r="155" spans="1:11" x14ac:dyDescent="0.25">
      <c r="A155" s="116"/>
      <c r="B155" s="116"/>
      <c r="C155" s="116"/>
      <c r="D155" s="116"/>
      <c r="E155" s="116"/>
      <c r="F155" s="116">
        <v>0</v>
      </c>
      <c r="G155" s="54">
        <f>IF(E155="Pas de modification","-",'Encodage données'!J196)</f>
        <v>0</v>
      </c>
      <c r="H155" s="116"/>
      <c r="I155" s="116"/>
      <c r="J155" s="116"/>
      <c r="K155" s="116"/>
    </row>
    <row r="156" spans="1:11" x14ac:dyDescent="0.25">
      <c r="A156" s="116"/>
      <c r="B156" s="116"/>
      <c r="C156" s="116"/>
      <c r="D156" s="116"/>
      <c r="E156" s="116"/>
      <c r="F156" s="116">
        <v>0</v>
      </c>
      <c r="G156" s="54">
        <f>IF(E156="Pas de modification","-",'Encodage données'!J197)</f>
        <v>0</v>
      </c>
      <c r="H156" s="116"/>
      <c r="I156" s="116"/>
      <c r="J156" s="116"/>
      <c r="K156" s="116"/>
    </row>
    <row r="157" spans="1:11" x14ac:dyDescent="0.25">
      <c r="A157" s="116"/>
      <c r="B157" s="116"/>
      <c r="C157" s="116"/>
      <c r="D157" s="116"/>
      <c r="E157" s="116"/>
      <c r="F157" s="116">
        <v>0</v>
      </c>
      <c r="G157" s="54">
        <f>IF(E157="Pas de modification","-",'Encodage données'!J198)</f>
        <v>0</v>
      </c>
      <c r="H157" s="116"/>
      <c r="I157" s="116"/>
      <c r="J157" s="116"/>
      <c r="K157" s="116"/>
    </row>
    <row r="158" spans="1:11" x14ac:dyDescent="0.25">
      <c r="A158" s="116"/>
      <c r="B158" s="116"/>
      <c r="C158" s="116"/>
      <c r="D158" s="116"/>
      <c r="E158" s="116"/>
      <c r="F158" s="116">
        <v>0</v>
      </c>
      <c r="G158" s="54">
        <f>IF(E158="Pas de modification","-",'Encodage données'!J199)</f>
        <v>0</v>
      </c>
      <c r="H158" s="116"/>
      <c r="I158" s="116"/>
      <c r="J158" s="116"/>
      <c r="K158" s="116"/>
    </row>
    <row r="159" spans="1:11" x14ac:dyDescent="0.25">
      <c r="A159" s="116"/>
      <c r="B159" s="116"/>
      <c r="C159" s="116"/>
      <c r="D159" s="116"/>
      <c r="E159" s="116"/>
      <c r="F159" s="116">
        <v>0</v>
      </c>
      <c r="G159" s="54">
        <f>IF(E159="Pas de modification","-",'Encodage données'!J200)</f>
        <v>0</v>
      </c>
      <c r="H159" s="116"/>
      <c r="I159" s="116"/>
      <c r="J159" s="116"/>
      <c r="K159" s="116"/>
    </row>
    <row r="160" spans="1:11" x14ac:dyDescent="0.25">
      <c r="A160" s="116"/>
      <c r="B160" s="116"/>
      <c r="C160" s="116"/>
      <c r="D160" s="116"/>
      <c r="E160" s="116"/>
      <c r="F160" s="116">
        <v>0</v>
      </c>
      <c r="G160" s="54">
        <f>IF(E160="Pas de modification","-",'Encodage données'!J201)</f>
        <v>0</v>
      </c>
      <c r="H160" s="116"/>
      <c r="I160" s="116"/>
      <c r="J160" s="116"/>
      <c r="K160" s="116"/>
    </row>
    <row r="161" spans="1:11" x14ac:dyDescent="0.25">
      <c r="A161" s="116"/>
      <c r="B161" s="116"/>
      <c r="C161" s="116"/>
      <c r="D161" s="116"/>
      <c r="E161" s="116"/>
      <c r="F161" s="116">
        <v>0</v>
      </c>
      <c r="G161" s="54">
        <f>IF(E161="Pas de modification","-",'Encodage données'!J202)</f>
        <v>0</v>
      </c>
      <c r="H161" s="116"/>
      <c r="I161" s="116"/>
      <c r="J161" s="116"/>
      <c r="K161" s="116"/>
    </row>
    <row r="162" spans="1:11" x14ac:dyDescent="0.25">
      <c r="A162" s="116"/>
      <c r="B162" s="116"/>
      <c r="C162" s="116"/>
      <c r="D162" s="116"/>
      <c r="E162" s="116"/>
      <c r="F162" s="116">
        <v>0</v>
      </c>
      <c r="G162" s="54">
        <f>IF(E162="Pas de modification","-",'Encodage données'!J203)</f>
        <v>0</v>
      </c>
      <c r="H162" s="116"/>
      <c r="I162" s="116"/>
      <c r="J162" s="116"/>
      <c r="K162" s="116"/>
    </row>
    <row r="163" spans="1:11" x14ac:dyDescent="0.25">
      <c r="A163" s="116"/>
      <c r="B163" s="116"/>
      <c r="C163" s="116"/>
      <c r="D163" s="116"/>
      <c r="E163" s="116"/>
      <c r="F163" s="116">
        <v>0</v>
      </c>
      <c r="G163" s="54">
        <f>IF(E163="Pas de modification","-",'Encodage données'!J204)</f>
        <v>0</v>
      </c>
      <c r="H163" s="116"/>
      <c r="I163" s="116"/>
      <c r="J163" s="116"/>
      <c r="K163" s="116"/>
    </row>
    <row r="164" spans="1:11" x14ac:dyDescent="0.25">
      <c r="A164" s="116"/>
      <c r="B164" s="116"/>
      <c r="C164" s="116"/>
      <c r="D164" s="116"/>
      <c r="E164" s="116"/>
      <c r="F164" s="116">
        <v>0</v>
      </c>
      <c r="G164" s="54">
        <f>IF(E164="Pas de modification","-",'Encodage données'!J205)</f>
        <v>0</v>
      </c>
      <c r="H164" s="116"/>
      <c r="I164" s="116"/>
      <c r="J164" s="116"/>
      <c r="K164" s="116"/>
    </row>
    <row r="165" spans="1:11" x14ac:dyDescent="0.25">
      <c r="A165" s="116"/>
      <c r="B165" s="116"/>
      <c r="C165" s="116"/>
      <c r="D165" s="116"/>
      <c r="E165" s="116"/>
      <c r="F165" s="116">
        <v>0</v>
      </c>
      <c r="G165" s="54">
        <f>IF(E165="Pas de modification","-",'Encodage données'!J206)</f>
        <v>0</v>
      </c>
      <c r="H165" s="116"/>
      <c r="I165" s="116"/>
      <c r="J165" s="116"/>
      <c r="K165" s="116"/>
    </row>
    <row r="166" spans="1:11" x14ac:dyDescent="0.25">
      <c r="A166" s="116"/>
      <c r="B166" s="116"/>
      <c r="C166" s="116"/>
      <c r="D166" s="116"/>
      <c r="E166" s="116"/>
      <c r="F166" s="116">
        <v>0</v>
      </c>
      <c r="G166" s="54">
        <f>IF(E166="Pas de modification","-",'Encodage données'!J207)</f>
        <v>0</v>
      </c>
      <c r="H166" s="116"/>
      <c r="I166" s="116"/>
      <c r="J166" s="116"/>
      <c r="K166" s="116"/>
    </row>
    <row r="167" spans="1:11" x14ac:dyDescent="0.25">
      <c r="A167" s="116"/>
      <c r="B167" s="116"/>
      <c r="C167" s="116"/>
      <c r="D167" s="116"/>
      <c r="E167" s="116"/>
      <c r="F167" s="116">
        <v>0</v>
      </c>
      <c r="G167" s="54">
        <f>IF(E167="Pas de modification","-",'Encodage données'!J208)</f>
        <v>0</v>
      </c>
      <c r="H167" s="116"/>
      <c r="I167" s="116"/>
      <c r="J167" s="116"/>
      <c r="K167" s="116"/>
    </row>
    <row r="168" spans="1:11" x14ac:dyDescent="0.25">
      <c r="A168" s="116"/>
      <c r="B168" s="116"/>
      <c r="C168" s="116"/>
      <c r="D168" s="116"/>
      <c r="E168" s="116"/>
      <c r="F168" s="116">
        <v>0</v>
      </c>
      <c r="G168" s="54">
        <f>IF(E168="Pas de modification","-",'Encodage données'!J209)</f>
        <v>0</v>
      </c>
      <c r="H168" s="116"/>
      <c r="I168" s="116"/>
      <c r="J168" s="116"/>
      <c r="K168" s="116"/>
    </row>
    <row r="169" spans="1:11" x14ac:dyDescent="0.25">
      <c r="A169" s="116"/>
      <c r="B169" s="116"/>
      <c r="C169" s="116"/>
      <c r="D169" s="116"/>
      <c r="E169" s="116"/>
      <c r="F169" s="116">
        <v>0</v>
      </c>
      <c r="G169" s="54">
        <f>IF(E169="Pas de modification","-",'Encodage données'!J210)</f>
        <v>0</v>
      </c>
      <c r="H169" s="116"/>
      <c r="I169" s="116"/>
      <c r="J169" s="116"/>
      <c r="K169" s="116"/>
    </row>
    <row r="170" spans="1:11" x14ac:dyDescent="0.25">
      <c r="A170" s="116"/>
      <c r="B170" s="116"/>
      <c r="C170" s="116"/>
      <c r="D170" s="116"/>
      <c r="E170" s="116"/>
      <c r="F170" s="116">
        <v>0</v>
      </c>
      <c r="G170" s="54">
        <f>IF(E170="Pas de modification","-",'Encodage données'!J211)</f>
        <v>0</v>
      </c>
      <c r="H170" s="116"/>
      <c r="I170" s="116"/>
      <c r="J170" s="116"/>
      <c r="K170" s="116"/>
    </row>
    <row r="171" spans="1:11" x14ac:dyDescent="0.25">
      <c r="A171" s="116"/>
      <c r="B171" s="116"/>
      <c r="C171" s="116"/>
      <c r="D171" s="116"/>
      <c r="E171" s="116"/>
      <c r="F171" s="116">
        <v>0</v>
      </c>
      <c r="G171" s="54">
        <f>IF(E171="Pas de modification","-",'Encodage données'!J212)</f>
        <v>0</v>
      </c>
      <c r="H171" s="116"/>
      <c r="I171" s="116"/>
      <c r="J171" s="116"/>
      <c r="K171" s="116"/>
    </row>
    <row r="172" spans="1:11" x14ac:dyDescent="0.25">
      <c r="A172" s="116"/>
      <c r="B172" s="116"/>
      <c r="C172" s="116"/>
      <c r="D172" s="116"/>
      <c r="E172" s="116"/>
      <c r="F172" s="116">
        <v>0</v>
      </c>
      <c r="G172" s="54">
        <f>IF(E172="Pas de modification","-",'Encodage données'!J213)</f>
        <v>0</v>
      </c>
      <c r="H172" s="116"/>
      <c r="I172" s="116"/>
      <c r="J172" s="116"/>
      <c r="K172" s="116"/>
    </row>
    <row r="173" spans="1:11" x14ac:dyDescent="0.25">
      <c r="A173" s="116"/>
      <c r="B173" s="116"/>
      <c r="C173" s="116"/>
      <c r="D173" s="116"/>
      <c r="E173" s="116"/>
      <c r="F173" s="116">
        <v>0</v>
      </c>
      <c r="G173" s="54">
        <f>IF(E173="Pas de modification","-",'Encodage données'!J214)</f>
        <v>0</v>
      </c>
      <c r="H173" s="116"/>
      <c r="I173" s="116"/>
      <c r="J173" s="116"/>
      <c r="K173" s="116"/>
    </row>
    <row r="174" spans="1:11" x14ac:dyDescent="0.25">
      <c r="A174" s="116"/>
      <c r="B174" s="116"/>
      <c r="C174" s="116"/>
      <c r="D174" s="116"/>
      <c r="E174" s="116"/>
      <c r="F174" s="116">
        <v>0</v>
      </c>
      <c r="G174" s="54">
        <f>IF(E174="Pas de modification","-",'Encodage données'!J215)</f>
        <v>0</v>
      </c>
      <c r="H174" s="116"/>
      <c r="I174" s="116"/>
      <c r="J174" s="116"/>
      <c r="K174" s="116"/>
    </row>
    <row r="175" spans="1:11" x14ac:dyDescent="0.25">
      <c r="A175" s="116"/>
      <c r="B175" s="116"/>
      <c r="C175" s="116"/>
      <c r="D175" s="116"/>
      <c r="E175" s="116"/>
      <c r="F175" s="116">
        <v>0</v>
      </c>
      <c r="G175" s="54">
        <f>IF(E175="Pas de modification","-",'Encodage données'!J216)</f>
        <v>0</v>
      </c>
      <c r="H175" s="116"/>
      <c r="I175" s="116"/>
      <c r="J175" s="116"/>
      <c r="K175" s="116"/>
    </row>
    <row r="176" spans="1:11" x14ac:dyDescent="0.25">
      <c r="A176" s="116"/>
      <c r="B176" s="116"/>
      <c r="C176" s="116"/>
      <c r="D176" s="116"/>
      <c r="E176" s="116"/>
      <c r="F176" s="116">
        <v>0</v>
      </c>
      <c r="G176" s="54">
        <f>IF(E176="Pas de modification","-",'Encodage données'!J217)</f>
        <v>0</v>
      </c>
      <c r="H176" s="116"/>
      <c r="I176" s="116"/>
      <c r="J176" s="116"/>
      <c r="K176" s="116"/>
    </row>
    <row r="177" spans="1:11" x14ac:dyDescent="0.25">
      <c r="A177" s="116"/>
      <c r="B177" s="116"/>
      <c r="C177" s="116"/>
      <c r="D177" s="116"/>
      <c r="E177" s="116"/>
      <c r="F177" s="116">
        <v>0</v>
      </c>
      <c r="G177" s="54">
        <f>IF(E177="Pas de modification","-",'Encodage données'!J218)</f>
        <v>0</v>
      </c>
      <c r="H177" s="116"/>
      <c r="I177" s="116"/>
      <c r="J177" s="116"/>
      <c r="K177" s="116"/>
    </row>
    <row r="178" spans="1:11" x14ac:dyDescent="0.25">
      <c r="A178" s="116"/>
      <c r="B178" s="116"/>
      <c r="C178" s="116"/>
      <c r="D178" s="116"/>
      <c r="E178" s="116"/>
      <c r="F178" s="116">
        <v>0</v>
      </c>
      <c r="G178" s="54">
        <f>IF(E178="Pas de modification","-",'Encodage données'!J219)</f>
        <v>0</v>
      </c>
      <c r="H178" s="116"/>
      <c r="I178" s="116"/>
      <c r="J178" s="116"/>
      <c r="K178" s="116"/>
    </row>
    <row r="179" spans="1:11" x14ac:dyDescent="0.25">
      <c r="A179" s="116"/>
      <c r="B179" s="116"/>
      <c r="C179" s="116"/>
      <c r="D179" s="116"/>
      <c r="E179" s="116"/>
      <c r="F179" s="116">
        <v>0</v>
      </c>
      <c r="G179" s="54">
        <f>IF(E179="Pas de modification","-",'Encodage données'!J220)</f>
        <v>0</v>
      </c>
      <c r="H179" s="116"/>
      <c r="I179" s="116"/>
      <c r="J179" s="116"/>
      <c r="K179" s="116"/>
    </row>
    <row r="180" spans="1:11" x14ac:dyDescent="0.25">
      <c r="A180" s="116"/>
      <c r="B180" s="116"/>
      <c r="C180" s="116"/>
      <c r="D180" s="116"/>
      <c r="E180" s="116"/>
      <c r="F180" s="116">
        <v>0</v>
      </c>
      <c r="G180" s="54">
        <f>IF(E180="Pas de modification","-",'Encodage données'!J221)</f>
        <v>0</v>
      </c>
      <c r="H180" s="116"/>
      <c r="I180" s="116"/>
      <c r="J180" s="116"/>
      <c r="K180" s="116"/>
    </row>
    <row r="181" spans="1:11" x14ac:dyDescent="0.25">
      <c r="A181" s="116"/>
      <c r="B181" s="116"/>
      <c r="C181" s="116"/>
      <c r="D181" s="116"/>
      <c r="E181" s="116"/>
      <c r="F181" s="116">
        <v>0</v>
      </c>
      <c r="G181" s="54">
        <f>IF(E181="Pas de modification","-",'Encodage données'!J222)</f>
        <v>0</v>
      </c>
      <c r="H181" s="116"/>
      <c r="I181" s="116"/>
      <c r="J181" s="116"/>
      <c r="K181" s="116"/>
    </row>
    <row r="182" spans="1:11" x14ac:dyDescent="0.25">
      <c r="A182" s="116"/>
      <c r="B182" s="116"/>
      <c r="C182" s="116"/>
      <c r="D182" s="116"/>
      <c r="E182" s="116"/>
      <c r="F182" s="116">
        <v>0</v>
      </c>
      <c r="G182" s="54">
        <f>IF(E182="Pas de modification","-",'Encodage données'!J223)</f>
        <v>0</v>
      </c>
      <c r="H182" s="116"/>
      <c r="I182" s="116"/>
      <c r="J182" s="116"/>
      <c r="K182" s="116"/>
    </row>
    <row r="183" spans="1:11" x14ac:dyDescent="0.25">
      <c r="A183" s="116"/>
      <c r="B183" s="116"/>
      <c r="C183" s="116"/>
      <c r="D183" s="116"/>
      <c r="E183" s="116"/>
      <c r="F183" s="116">
        <v>0</v>
      </c>
      <c r="G183" s="54">
        <f>IF(E183="Pas de modification","-",'Encodage données'!J224)</f>
        <v>0</v>
      </c>
      <c r="H183" s="116"/>
      <c r="I183" s="116"/>
      <c r="J183" s="116"/>
      <c r="K183" s="116"/>
    </row>
    <row r="184" spans="1:11" x14ac:dyDescent="0.25">
      <c r="A184" s="116"/>
      <c r="B184" s="116"/>
      <c r="C184" s="116"/>
      <c r="D184" s="116"/>
      <c r="E184" s="116"/>
      <c r="F184" s="116">
        <v>0</v>
      </c>
      <c r="G184" s="54">
        <f>IF(E184="Pas de modification","-",'Encodage données'!J225)</f>
        <v>0</v>
      </c>
      <c r="H184" s="116"/>
      <c r="I184" s="116"/>
      <c r="J184" s="116"/>
      <c r="K184" s="116"/>
    </row>
    <row r="185" spans="1:11" x14ac:dyDescent="0.25">
      <c r="A185" s="116"/>
      <c r="B185" s="116"/>
      <c r="C185" s="116"/>
      <c r="D185" s="116"/>
      <c r="E185" s="116"/>
      <c r="F185" s="116">
        <v>0</v>
      </c>
      <c r="G185" s="54">
        <f>IF(E185="Pas de modification","-",'Encodage données'!J226)</f>
        <v>0</v>
      </c>
      <c r="H185" s="116"/>
      <c r="I185" s="116"/>
      <c r="J185" s="116"/>
      <c r="K185" s="116"/>
    </row>
    <row r="186" spans="1:11" x14ac:dyDescent="0.25">
      <c r="A186" s="116"/>
      <c r="B186" s="116"/>
      <c r="C186" s="116"/>
      <c r="D186" s="116"/>
      <c r="E186" s="116"/>
      <c r="F186" s="116">
        <v>0</v>
      </c>
      <c r="G186" s="54">
        <f>IF(E186="Pas de modification","-",'Encodage données'!J227)</f>
        <v>0</v>
      </c>
      <c r="H186" s="116"/>
      <c r="I186" s="116"/>
      <c r="J186" s="116"/>
      <c r="K186" s="116"/>
    </row>
    <row r="187" spans="1:11" x14ac:dyDescent="0.25">
      <c r="A187" s="116"/>
      <c r="B187" s="116"/>
      <c r="C187" s="116"/>
      <c r="D187" s="116"/>
      <c r="E187" s="116"/>
      <c r="F187" s="116">
        <v>0</v>
      </c>
      <c r="G187" s="54">
        <f>IF(E187="Pas de modification","-",'Encodage données'!J228)</f>
        <v>0</v>
      </c>
      <c r="H187" s="116"/>
      <c r="I187" s="116"/>
      <c r="J187" s="116"/>
      <c r="K187" s="116"/>
    </row>
    <row r="188" spans="1:11" x14ac:dyDescent="0.25">
      <c r="A188" s="116"/>
      <c r="B188" s="116"/>
      <c r="C188" s="116"/>
      <c r="D188" s="116"/>
      <c r="E188" s="116"/>
      <c r="F188" s="116">
        <v>0</v>
      </c>
      <c r="G188" s="54">
        <f>IF(E188="Pas de modification","-",'Encodage données'!J229)</f>
        <v>0</v>
      </c>
      <c r="H188" s="116"/>
      <c r="I188" s="116"/>
      <c r="J188" s="116"/>
      <c r="K188" s="116"/>
    </row>
    <row r="189" spans="1:11" x14ac:dyDescent="0.25">
      <c r="A189" s="116"/>
      <c r="B189" s="116"/>
      <c r="C189" s="116"/>
      <c r="D189" s="116"/>
      <c r="E189" s="116"/>
      <c r="F189" s="116">
        <v>0</v>
      </c>
      <c r="G189" s="54">
        <f>IF(E189="Pas de modification","-",'Encodage données'!J230)</f>
        <v>0</v>
      </c>
      <c r="H189" s="116"/>
      <c r="I189" s="116"/>
      <c r="J189" s="116"/>
      <c r="K189" s="116"/>
    </row>
    <row r="190" spans="1:11" x14ac:dyDescent="0.25">
      <c r="A190" s="116"/>
      <c r="B190" s="116"/>
      <c r="C190" s="116"/>
      <c r="D190" s="116"/>
      <c r="E190" s="116"/>
      <c r="F190" s="116"/>
      <c r="G190" s="116"/>
      <c r="H190" s="116"/>
      <c r="I190" s="116"/>
      <c r="J190" s="116"/>
      <c r="K190" s="116"/>
    </row>
    <row r="191" spans="1:11" hidden="1" x14ac:dyDescent="0.25">
      <c r="A191" s="116"/>
      <c r="B191" s="116"/>
      <c r="C191" s="116"/>
      <c r="D191" s="116"/>
      <c r="E191" s="116"/>
      <c r="F191" s="116"/>
      <c r="G191" s="116"/>
      <c r="H191" s="116"/>
      <c r="I191" s="116"/>
      <c r="J191" s="116"/>
      <c r="K191" s="116"/>
    </row>
    <row r="192" spans="1:11" hidden="1" x14ac:dyDescent="0.25">
      <c r="B192" s="116"/>
      <c r="C192" s="116"/>
      <c r="D192" s="116"/>
      <c r="E192" s="116"/>
      <c r="F192" s="116"/>
      <c r="G192" s="116"/>
      <c r="H192" s="116"/>
      <c r="I192" s="116"/>
      <c r="J192" s="116"/>
      <c r="K192" s="116"/>
    </row>
    <row r="193" spans="2:11" hidden="1" x14ac:dyDescent="0.25">
      <c r="B193" s="116"/>
      <c r="C193" s="116"/>
      <c r="D193" s="116"/>
      <c r="E193" s="116"/>
      <c r="F193" s="116"/>
      <c r="G193" s="116"/>
      <c r="H193" s="116"/>
      <c r="I193" s="116"/>
      <c r="J193" s="116"/>
      <c r="K193" s="116"/>
    </row>
    <row r="194" spans="2:11" hidden="1" x14ac:dyDescent="0.25">
      <c r="B194" s="116"/>
      <c r="C194" s="116"/>
      <c r="D194" s="116"/>
      <c r="E194" s="116"/>
      <c r="F194" s="116"/>
      <c r="G194" s="116"/>
      <c r="H194" s="116"/>
      <c r="I194" s="116"/>
      <c r="J194" s="116"/>
      <c r="K194" s="116"/>
    </row>
    <row r="195" spans="2:11" hidden="1" x14ac:dyDescent="0.25">
      <c r="B195" s="116"/>
      <c r="C195" s="116"/>
      <c r="D195" s="116"/>
      <c r="E195" s="116"/>
      <c r="F195" s="116"/>
      <c r="G195" s="116"/>
      <c r="H195" s="116"/>
      <c r="I195" s="116"/>
      <c r="J195" s="116"/>
      <c r="K195" s="116"/>
    </row>
    <row r="196" spans="2:11" hidden="1" x14ac:dyDescent="0.25">
      <c r="B196" s="116"/>
      <c r="C196" s="116"/>
      <c r="D196" s="116"/>
      <c r="E196" s="116"/>
      <c r="F196" s="116"/>
      <c r="G196" s="116"/>
      <c r="H196" s="116"/>
      <c r="I196" s="116"/>
      <c r="J196" s="116"/>
      <c r="K196" s="116"/>
    </row>
    <row r="197" spans="2:11" hidden="1" x14ac:dyDescent="0.25">
      <c r="B197" s="116"/>
      <c r="C197" s="116"/>
      <c r="D197" s="116"/>
      <c r="E197" s="116"/>
      <c r="F197" s="116"/>
      <c r="G197" s="116"/>
      <c r="H197" s="116"/>
      <c r="I197" s="116"/>
      <c r="J197" s="116"/>
      <c r="K197" s="116"/>
    </row>
    <row r="198" spans="2:11" hidden="1" x14ac:dyDescent="0.25">
      <c r="B198" s="116"/>
      <c r="C198" s="116"/>
      <c r="D198" s="116"/>
      <c r="E198" s="116"/>
      <c r="F198" s="116"/>
      <c r="G198" s="116"/>
      <c r="H198" s="116"/>
      <c r="I198" s="116"/>
      <c r="J198" s="116"/>
      <c r="K198" s="116"/>
    </row>
    <row r="199" spans="2:11" hidden="1" x14ac:dyDescent="0.25">
      <c r="B199" s="116"/>
      <c r="C199" s="116"/>
      <c r="D199" s="116"/>
      <c r="E199" s="116"/>
      <c r="F199" s="116"/>
      <c r="G199" s="116"/>
      <c r="H199" s="116"/>
      <c r="I199" s="116"/>
      <c r="J199" s="116"/>
      <c r="K199" s="116"/>
    </row>
    <row r="200" spans="2:11" hidden="1" x14ac:dyDescent="0.25">
      <c r="B200" s="116"/>
      <c r="C200" s="116"/>
      <c r="D200" s="116"/>
      <c r="E200" s="116"/>
      <c r="F200" s="116"/>
      <c r="G200" s="116"/>
      <c r="H200" s="116"/>
      <c r="I200" s="116"/>
      <c r="J200" s="116"/>
      <c r="K200" s="116"/>
    </row>
    <row r="201" spans="2:11" hidden="1" x14ac:dyDescent="0.25">
      <c r="B201" s="116"/>
      <c r="C201" s="116"/>
      <c r="D201" s="116"/>
      <c r="E201" s="116"/>
      <c r="F201" s="116"/>
      <c r="G201" s="116"/>
      <c r="H201" s="116"/>
      <c r="I201" s="116"/>
      <c r="J201" s="116"/>
      <c r="K201" s="116"/>
    </row>
    <row r="202" spans="2:11" hidden="1" x14ac:dyDescent="0.25">
      <c r="B202" s="116"/>
      <c r="C202" s="116"/>
      <c r="J202" s="116"/>
      <c r="K202" s="116"/>
    </row>
    <row r="203" spans="2:11" hidden="1" x14ac:dyDescent="0.25">
      <c r="B203" s="116"/>
      <c r="C203" s="116"/>
      <c r="J203" s="116"/>
      <c r="K203" s="116"/>
    </row>
    <row r="204" spans="2:11" hidden="1" x14ac:dyDescent="0.25">
      <c r="B204" s="116"/>
      <c r="C204" s="116"/>
      <c r="J204" s="116"/>
      <c r="K204" s="116"/>
    </row>
    <row r="205" spans="2:11" hidden="1" x14ac:dyDescent="0.25">
      <c r="B205" s="116"/>
      <c r="C205" s="116"/>
      <c r="J205" s="116"/>
      <c r="K205" s="116"/>
    </row>
    <row r="206" spans="2:11" hidden="1" x14ac:dyDescent="0.25">
      <c r="B206" s="116"/>
      <c r="C206" s="116"/>
      <c r="J206" s="116"/>
      <c r="K206" s="116"/>
    </row>
    <row r="207" spans="2:11" hidden="1" x14ac:dyDescent="0.25">
      <c r="B207" s="116"/>
      <c r="C207" s="116"/>
      <c r="J207" s="116"/>
      <c r="K207" s="116"/>
    </row>
    <row r="208" spans="2:11" hidden="1" x14ac:dyDescent="0.25">
      <c r="B208" s="116"/>
      <c r="C208" s="116"/>
      <c r="J208" s="116"/>
      <c r="K208" s="116"/>
    </row>
    <row r="209" spans="2:11" hidden="1" x14ac:dyDescent="0.25">
      <c r="B209" s="116"/>
      <c r="C209" s="116"/>
      <c r="J209" s="116"/>
      <c r="K209" s="116"/>
    </row>
    <row r="210" spans="2:11" hidden="1" x14ac:dyDescent="0.25">
      <c r="B210" s="116"/>
      <c r="C210" s="116"/>
      <c r="J210" s="116"/>
      <c r="K210" s="116"/>
    </row>
    <row r="211" spans="2:11" hidden="1" x14ac:dyDescent="0.25">
      <c r="B211" s="116"/>
      <c r="C211" s="116"/>
      <c r="J211" s="116"/>
      <c r="K211" s="116"/>
    </row>
    <row r="212" spans="2:11" hidden="1" x14ac:dyDescent="0.25">
      <c r="B212" s="116"/>
      <c r="C212" s="116"/>
      <c r="J212" s="116"/>
      <c r="K212" s="116"/>
    </row>
    <row r="213" spans="2:11" hidden="1" x14ac:dyDescent="0.25">
      <c r="B213" s="116"/>
      <c r="C213" s="116"/>
      <c r="J213" s="116"/>
      <c r="K213" s="116"/>
    </row>
    <row r="214" spans="2:11" hidden="1" x14ac:dyDescent="0.25">
      <c r="B214" s="116"/>
      <c r="C214" s="116"/>
      <c r="J214" s="116"/>
      <c r="K214" s="116"/>
    </row>
    <row r="215" spans="2:11" hidden="1" x14ac:dyDescent="0.25">
      <c r="B215" s="116"/>
      <c r="C215" s="116"/>
      <c r="J215" s="116"/>
      <c r="K215" s="116"/>
    </row>
    <row r="216" spans="2:11" hidden="1" x14ac:dyDescent="0.25">
      <c r="B216" s="116"/>
      <c r="C216" s="116"/>
      <c r="J216" s="116"/>
      <c r="K216" s="116"/>
    </row>
    <row r="217" spans="2:11" hidden="1" x14ac:dyDescent="0.25">
      <c r="J217" s="116"/>
      <c r="K217" s="116"/>
    </row>
  </sheetData>
  <sheetProtection algorithmName="SHA-512" hashValue="Ywgls9PhVP8f5nNx27MR7R3/xrLyowOTI//FWd43DwoEcZY0rXiayZXvhdEu5pfV9gwGNU6AdkRqIFJcuVuW8Q==" saltValue="FDQ80bUHlFuxqlt/wtHrbQ==" spinCount="100000" sheet="1" selectLockedCells="1" selectUnlockedCells="1"/>
  <mergeCells count="1">
    <mergeCell ref="C17:F17"/>
  </mergeCells>
  <conditionalFormatting sqref="I24:I141">
    <cfRule type="expression" dxfId="35" priority="8">
      <formula>$E24="Pas de modification"</formula>
    </cfRule>
    <cfRule type="expression" dxfId="34" priority="12">
      <formula>IF($H24="U incohérent",TRUE,FALSE)</formula>
    </cfRule>
  </conditionalFormatting>
  <conditionalFormatting sqref="F24:F141">
    <cfRule type="expression" dxfId="33" priority="7">
      <formula>IF($H24="U incohérent",TRUE,FALSE)</formula>
    </cfRule>
  </conditionalFormatting>
  <conditionalFormatting sqref="C14:D14">
    <cfRule type="expression" dxfId="32" priority="3">
      <formula>$D$14&lt;0.3</formula>
    </cfRule>
    <cfRule type="expression" dxfId="31" priority="5">
      <formula>$D$14&gt;=0.3</formula>
    </cfRule>
  </conditionalFormatting>
  <conditionalFormatting sqref="C15:D15">
    <cfRule type="expression" dxfId="30" priority="1">
      <formula>$D$15&lt;0.2</formula>
    </cfRule>
    <cfRule type="expression" dxfId="29" priority="2">
      <formula>$D$15&gt;=0.2</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1" id="{E8F76F7D-9F70-4CE9-B94A-2FEBB49863C7}">
            <xm:f>IF($E$24='Données Giant'!$A$22,FALSE,$F24&gt;_xlfn.XLOOKUP($E24,'Données Giant'!$A$8:$A$20,'Données Giant'!$C$8:$C$20,0))</xm:f>
            <x14:dxf>
              <fill>
                <patternFill>
                  <bgColor rgb="FFFF0000"/>
                </patternFill>
              </fill>
            </x14:dxf>
          </x14:cfRule>
          <xm:sqref>I24:I141</xm:sqref>
        </x14:conditionalFormatting>
        <x14:conditionalFormatting xmlns:xm="http://schemas.microsoft.com/office/excel/2006/main">
          <x14:cfRule type="expression" priority="6" id="{1483B9A9-4262-49DC-AF91-06CD0F8A5ACB}">
            <xm:f>IF($E$24='Données Giant'!$A$22,FALSE,IF(AND($F24&gt;Calculs!$Q3,Calculs!Q3&lt;&gt;-1),TRUE,FALSE))</xm:f>
            <x14:dxf>
              <fill>
                <patternFill>
                  <bgColor rgb="FFFF0000"/>
                </patternFill>
              </fill>
            </x14:dxf>
          </x14:cfRule>
          <xm:sqref>F24:F141</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62609-4191-4676-A686-1EDF37AE3AEA}">
  <sheetPr codeName="Feuil6">
    <tabColor theme="5"/>
  </sheetPr>
  <dimension ref="A1:X206"/>
  <sheetViews>
    <sheetView zoomScale="85" zoomScaleNormal="85" workbookViewId="0"/>
  </sheetViews>
  <sheetFormatPr baseColWidth="10" defaultColWidth="11.44140625" defaultRowHeight="13.2" x14ac:dyDescent="0.25"/>
  <cols>
    <col min="1" max="1" width="35" customWidth="1"/>
    <col min="2" max="2" width="20" customWidth="1"/>
    <col min="3" max="3" width="14.33203125" customWidth="1"/>
    <col min="4" max="4" width="40.5546875" customWidth="1"/>
    <col min="5" max="5" width="15.33203125" customWidth="1"/>
    <col min="6" max="6" width="28.5546875" customWidth="1"/>
    <col min="7" max="7" width="21.5546875" customWidth="1"/>
    <col min="8" max="8" width="12.33203125" customWidth="1"/>
    <col min="9" max="9" width="10.6640625" customWidth="1"/>
    <col min="11" max="11" width="17.33203125" customWidth="1"/>
    <col min="12" max="12" width="15" customWidth="1"/>
    <col min="13" max="14" width="20.33203125" customWidth="1"/>
    <col min="15" max="15" width="22.33203125" customWidth="1"/>
    <col min="16" max="16" width="30.109375" style="71" customWidth="1"/>
    <col min="17" max="17" width="15.33203125" style="71" customWidth="1"/>
    <col min="18" max="18" width="14.33203125" style="27" customWidth="1"/>
  </cols>
  <sheetData>
    <row r="1" spans="1:24" x14ac:dyDescent="0.25">
      <c r="J1" s="305" t="s">
        <v>158</v>
      </c>
      <c r="K1" s="306"/>
      <c r="L1" s="307"/>
      <c r="M1" s="303" t="s">
        <v>159</v>
      </c>
      <c r="N1" s="304"/>
      <c r="O1" s="304"/>
      <c r="P1" s="304"/>
      <c r="Q1" s="302" t="s">
        <v>58</v>
      </c>
      <c r="R1" s="302"/>
      <c r="S1" s="302"/>
      <c r="T1" s="302"/>
      <c r="U1" s="302"/>
      <c r="V1" s="302"/>
      <c r="W1" s="31"/>
      <c r="X1" s="31"/>
    </row>
    <row r="2" spans="1:24" ht="21.6" customHeight="1" x14ac:dyDescent="0.25">
      <c r="A2" t="s">
        <v>41</v>
      </c>
      <c r="B2" t="s">
        <v>42</v>
      </c>
      <c r="C2" t="s">
        <v>43</v>
      </c>
      <c r="D2" s="4" t="s">
        <v>160</v>
      </c>
      <c r="E2" s="4" t="s">
        <v>161</v>
      </c>
      <c r="F2" s="4" t="s">
        <v>162</v>
      </c>
      <c r="G2" s="4" t="s">
        <v>163</v>
      </c>
      <c r="H2" s="28" t="s">
        <v>164</v>
      </c>
      <c r="I2" s="28" t="s">
        <v>165</v>
      </c>
      <c r="J2" s="4" t="s">
        <v>166</v>
      </c>
      <c r="K2" s="4" t="s">
        <v>167</v>
      </c>
      <c r="L2" s="4" t="s">
        <v>168</v>
      </c>
      <c r="M2" s="4" t="s">
        <v>169</v>
      </c>
      <c r="N2" s="4" t="s">
        <v>170</v>
      </c>
      <c r="O2" s="4" t="s">
        <v>171</v>
      </c>
      <c r="P2" s="75" t="s">
        <v>172</v>
      </c>
      <c r="Q2" s="76" t="s">
        <v>173</v>
      </c>
      <c r="R2" s="74" t="s">
        <v>174</v>
      </c>
      <c r="S2" s="71" t="s">
        <v>175</v>
      </c>
      <c r="T2" s="71" t="s">
        <v>176</v>
      </c>
      <c r="U2" s="71" t="s">
        <v>177</v>
      </c>
      <c r="V2" s="71" t="s">
        <v>178</v>
      </c>
    </row>
    <row r="3" spans="1:24" x14ac:dyDescent="0.25">
      <c r="A3" s="29">
        <f>'Encodage données'!C65</f>
        <v>0</v>
      </c>
      <c r="B3" s="29">
        <f>'Encodage données'!D65</f>
        <v>0</v>
      </c>
      <c r="C3" s="29">
        <f>'Encodage données'!E65</f>
        <v>0</v>
      </c>
      <c r="D3" s="29">
        <f>'Encodage données'!F65</f>
        <v>0</v>
      </c>
      <c r="E3" s="29">
        <f>'Encodage données'!G65</f>
        <v>0</v>
      </c>
      <c r="F3" s="29">
        <f>'Encodage données'!H65</f>
        <v>0</v>
      </c>
      <c r="G3" s="29">
        <f>'Encodage données'!J65</f>
        <v>0</v>
      </c>
      <c r="H3" s="29">
        <f>IF(OR(Tableau1[[#This Row],[Isolation actuelle]]="U connu",Tableau1[[#This Row],[Isolation actuelle]]="U connu (porte et fenêtres)"),Tableau1[[#This Row],[Si U connu de la paroi]],_xlfn.XLOOKUP(Tableau1[[#This Row],[Isolation actuelle]],'Parois types'!$B$9:$B$71,'Parois types'!$C$9:$C$71,0))</f>
        <v>0</v>
      </c>
      <c r="I3" s="29">
        <f>IF(Tableau1[[#This Row],[Rénovation prévue ?]]='Données Giant'!$A$21,Tableau1[[#This Row],[Uactuel (W/m²K)]],'Encodage données'!I65)</f>
        <v>0</v>
      </c>
      <c r="J3">
        <f>_xlfn.XLOOKUP(Tableau1[[#This Row],[Catégorie]],Tableau4[Catégories de parois],Tableau4[ai],0)</f>
        <v>0</v>
      </c>
      <c r="K3">
        <f>Tableau1[[#This Row],[aj]]*Tableau1[[#This Row],[Uactuel (W/m²K)]]*Tableau1[[#This Row],[Surface (m²)]]</f>
        <v>0</v>
      </c>
      <c r="L3">
        <f>Tableau1[[#This Row],[aj]]*Tableau1[[#This Row],[Urénové (W/m²K)]]*Tableau1[[#This Row],[Surface (m²)]]</f>
        <v>0</v>
      </c>
      <c r="M3">
        <f>_xlfn.XLOOKUP(Tableau1[[#This Row],[Isolation actuelle]],'Parois types'!$B$9:$B$71,'Parois types'!$D$9:$D$71,0)</f>
        <v>0</v>
      </c>
      <c r="N3">
        <f>IF(Tableau1[[#This Row],[Rénovation prévue ?]]='Données Giant'!$A$21,Tableau1[[#This Row],[Facteur solaire actuel]],_xlfn.XLOOKUP(Tableau1[[#This Row],[Rénovation prévue ?]],'Données Giant'!$A$8:$A$21,'Données Giant'!$B$8:$B$21,0))</f>
        <v>0</v>
      </c>
      <c r="O3">
        <f>IF(Tableau1[[#This Row],[Catégorie]]=DonnéesAutres!$A$100,235*0.5*Tableau1[[#This Row],[Facteur solaire actuel]]*Tableau1[[#This Row],[Surface (m²)]],0)</f>
        <v>0</v>
      </c>
      <c r="P3" s="71">
        <f>235*0.5*Tableau1[[#This Row],[Facteur Solaire rénové]]*Tableau1[[#This Row],[Surface (m²)]]</f>
        <v>0</v>
      </c>
      <c r="Q3" s="71">
        <f>_xlfn.XLOOKUP(Tableau1[[#This Row],[Rénovation prévue ?]],'Données Giant'!$A$8:$A$21,'Données Giant'!$C$8:$C$21,0)</f>
        <v>0</v>
      </c>
      <c r="R3" s="27">
        <f>_xlfn.XLOOKUP(Tableau1[[#This Row],[Rénovation prévue ?]],'Données Giant'!$A$8:$A$21,'Données Giant'!$D$8:$D$21,0)</f>
        <v>0</v>
      </c>
      <c r="S3">
        <f>_xlfn.XLOOKUP(Tableau1[[#This Row],[Rénovation prévue ?]],'Données Giant'!$A$8:$A$21,'Données Giant'!$E$8:$E$21,0)</f>
        <v>0</v>
      </c>
      <c r="T3">
        <f>_xlfn.XLOOKUP(Tableau1[[#This Row],[Rénovation prévue ?]],'Données Giant'!$A$8:$A$21,'Données Giant'!$F$8:$F$21,0)</f>
        <v>0</v>
      </c>
      <c r="U3">
        <f>_xlfn.XLOOKUP(Tableau1[[#This Row],[Rénovation prévue ?]],'Données Giant'!$A$8:$A$21,'Données Giant'!$G$8:$G$21,0)</f>
        <v>0</v>
      </c>
      <c r="V3">
        <f>_xlfn.XLOOKUP(Tableau1[[#This Row],[Rénovation prévue ?]],'Données Giant'!$A$8:$A$21,'Données Giant'!$H$8:$H$21,0)</f>
        <v>0</v>
      </c>
    </row>
    <row r="4" spans="1:24" x14ac:dyDescent="0.25">
      <c r="A4" s="29">
        <f>'Encodage données'!C66</f>
        <v>0</v>
      </c>
      <c r="B4" s="29">
        <f>'Encodage données'!D66</f>
        <v>0</v>
      </c>
      <c r="C4" s="29">
        <f>'Encodage données'!E66</f>
        <v>0</v>
      </c>
      <c r="D4" s="29">
        <f>'Encodage données'!F66</f>
        <v>0</v>
      </c>
      <c r="E4" s="29">
        <f>'Encodage données'!G66</f>
        <v>0</v>
      </c>
      <c r="F4" s="29">
        <f>'Encodage données'!H66</f>
        <v>0</v>
      </c>
      <c r="G4" s="29">
        <f>'Encodage données'!J66</f>
        <v>0</v>
      </c>
      <c r="H4" s="29">
        <f>IF(OR(Tableau1[[#This Row],[Isolation actuelle]]="U connu",Tableau1[[#This Row],[Isolation actuelle]]="U connu (porte et fenêtres)"),Tableau1[[#This Row],[Si U connu de la paroi]],_xlfn.XLOOKUP(Tableau1[[#This Row],[Isolation actuelle]],'Parois types'!$B$9:$B$71,'Parois types'!$C$9:$C$71,0))</f>
        <v>0</v>
      </c>
      <c r="I4" s="29">
        <f>IF(Tableau1[[#This Row],[Rénovation prévue ?]]='Données Giant'!$A$21,Tableau1[[#This Row],[Uactuel (W/m²K)]],'Encodage données'!I66)</f>
        <v>0</v>
      </c>
      <c r="J4">
        <f>_xlfn.XLOOKUP(Tableau1[[#This Row],[Catégorie]],Tableau4[Catégories de parois],Tableau4[ai],0)</f>
        <v>0</v>
      </c>
      <c r="K4">
        <f>Tableau1[[#This Row],[aj]]*Tableau1[[#This Row],[Uactuel (W/m²K)]]*Tableau1[[#This Row],[Surface (m²)]]</f>
        <v>0</v>
      </c>
      <c r="L4">
        <f>Tableau1[[#This Row],[aj]]*Tableau1[[#This Row],[Urénové (W/m²K)]]*Tableau1[[#This Row],[Surface (m²)]]</f>
        <v>0</v>
      </c>
      <c r="M4">
        <f>_xlfn.XLOOKUP(Tableau1[[#This Row],[Isolation actuelle]],'Parois types'!$B$9:$B$71,'Parois types'!$D$9:$D$71,0)</f>
        <v>0</v>
      </c>
      <c r="N4">
        <f>IF(Tableau1[[#This Row],[Rénovation prévue ?]]='Données Giant'!$A$21,Tableau1[[#This Row],[Facteur solaire actuel]],_xlfn.XLOOKUP(Tableau1[[#This Row],[Rénovation prévue ?]],'Données Giant'!$A$8:$A$21,'Données Giant'!$B$8:$B$21,0))</f>
        <v>0</v>
      </c>
      <c r="O4">
        <f>IF(Tableau1[[#This Row],[Catégorie]]=DonnéesAutres!$A$100,235*0.5*Tableau1[[#This Row],[Facteur solaire actuel]]*Tableau1[[#This Row],[Surface (m²)]],0)</f>
        <v>0</v>
      </c>
      <c r="P4" s="71">
        <f>235*0.5*Tableau1[[#This Row],[Facteur Solaire rénové]]*Tableau1[[#This Row],[Surface (m²)]]</f>
        <v>0</v>
      </c>
      <c r="Q4" s="71">
        <f>_xlfn.XLOOKUP(Tableau1[[#This Row],[Rénovation prévue ?]],'Données Giant'!$A$8:$A$21,'Données Giant'!$C$8:$C$21,0)</f>
        <v>0</v>
      </c>
      <c r="R4" s="27">
        <f>_xlfn.XLOOKUP(Tableau1[[#This Row],[Rénovation prévue ?]],'Données Giant'!$A$8:$A$21,'Données Giant'!$D$8:$D$21,0)</f>
        <v>0</v>
      </c>
      <c r="S4">
        <f>_xlfn.XLOOKUP(Tableau1[[#This Row],[Rénovation prévue ?]],'Données Giant'!$A$8:$A$21,'Données Giant'!$E$8:$E$21,0)</f>
        <v>0</v>
      </c>
      <c r="T4">
        <f>_xlfn.XLOOKUP(Tableau1[[#This Row],[Rénovation prévue ?]],'Données Giant'!$A$8:$A$21,'Données Giant'!$F$8:$F$21,0)</f>
        <v>0</v>
      </c>
      <c r="U4">
        <f>_xlfn.XLOOKUP(Tableau1[[#This Row],[Rénovation prévue ?]],'Données Giant'!$A$8:$A$21,'Données Giant'!$G$8:$G$21,0)</f>
        <v>0</v>
      </c>
      <c r="V4">
        <f>_xlfn.XLOOKUP(Tableau1[[#This Row],[Rénovation prévue ?]],'Données Giant'!$A$8:$A$21,'Données Giant'!$H$8:$H$21,0)</f>
        <v>0</v>
      </c>
    </row>
    <row r="5" spans="1:24" x14ac:dyDescent="0.25">
      <c r="A5" s="29">
        <f>'Encodage données'!C67</f>
        <v>0</v>
      </c>
      <c r="B5" s="29">
        <f>'Encodage données'!D67</f>
        <v>0</v>
      </c>
      <c r="C5" s="29">
        <f>'Encodage données'!E67</f>
        <v>0</v>
      </c>
      <c r="D5" s="29">
        <f>'Encodage données'!F67</f>
        <v>0</v>
      </c>
      <c r="E5" s="29">
        <f>'Encodage données'!G67</f>
        <v>0</v>
      </c>
      <c r="F5" s="29">
        <f>'Encodage données'!H67</f>
        <v>0</v>
      </c>
      <c r="G5" s="29">
        <f>'Encodage données'!J67</f>
        <v>0</v>
      </c>
      <c r="H5" s="29">
        <f>IF(OR(Tableau1[[#This Row],[Isolation actuelle]]="U connu",Tableau1[[#This Row],[Isolation actuelle]]="U connu (porte et fenêtres)"),Tableau1[[#This Row],[Si U connu de la paroi]],_xlfn.XLOOKUP(Tableau1[[#This Row],[Isolation actuelle]],'Parois types'!$B$9:$B$71,'Parois types'!$C$9:$C$71,0))</f>
        <v>0</v>
      </c>
      <c r="I5" s="29">
        <f>IF(Tableau1[[#This Row],[Rénovation prévue ?]]='Données Giant'!$A$21,Tableau1[[#This Row],[Uactuel (W/m²K)]],'Encodage données'!I67)</f>
        <v>0</v>
      </c>
      <c r="J5">
        <f>_xlfn.XLOOKUP(Tableau1[[#This Row],[Catégorie]],Tableau4[Catégories de parois],Tableau4[ai],0)</f>
        <v>0</v>
      </c>
      <c r="K5">
        <f>Tableau1[[#This Row],[aj]]*Tableau1[[#This Row],[Uactuel (W/m²K)]]*Tableau1[[#This Row],[Surface (m²)]]</f>
        <v>0</v>
      </c>
      <c r="L5">
        <f>Tableau1[[#This Row],[aj]]*Tableau1[[#This Row],[Urénové (W/m²K)]]*Tableau1[[#This Row],[Surface (m²)]]</f>
        <v>0</v>
      </c>
      <c r="M5">
        <f>_xlfn.XLOOKUP(Tableau1[[#This Row],[Isolation actuelle]],'Parois types'!$B$9:$B$71,'Parois types'!$D$9:$D$71,0)</f>
        <v>0</v>
      </c>
      <c r="N5">
        <f>IF(Tableau1[[#This Row],[Rénovation prévue ?]]='Données Giant'!$A$21,Tableau1[[#This Row],[Facteur solaire actuel]],_xlfn.XLOOKUP(Tableau1[[#This Row],[Rénovation prévue ?]],'Données Giant'!$A$8:$A$21,'Données Giant'!$B$8:$B$21,0))</f>
        <v>0</v>
      </c>
      <c r="O5">
        <f>IF(Tableau1[[#This Row],[Catégorie]]=DonnéesAutres!$A$100,235*0.5*Tableau1[[#This Row],[Facteur solaire actuel]]*Tableau1[[#This Row],[Surface (m²)]],0)</f>
        <v>0</v>
      </c>
      <c r="P5" s="71">
        <f>235*0.5*Tableau1[[#This Row],[Facteur Solaire rénové]]*Tableau1[[#This Row],[Surface (m²)]]</f>
        <v>0</v>
      </c>
      <c r="Q5" s="71">
        <f>_xlfn.XLOOKUP(Tableau1[[#This Row],[Rénovation prévue ?]],'Données Giant'!$A$8:$A$21,'Données Giant'!$C$8:$C$21,0)</f>
        <v>0</v>
      </c>
      <c r="R5" s="27">
        <f>_xlfn.XLOOKUP(Tableau1[[#This Row],[Rénovation prévue ?]],'Données Giant'!$A$8:$A$21,'Données Giant'!$D$8:$D$21,0)</f>
        <v>0</v>
      </c>
      <c r="S5">
        <f>_xlfn.XLOOKUP(Tableau1[[#This Row],[Rénovation prévue ?]],'Données Giant'!$A$8:$A$21,'Données Giant'!$E$8:$E$21,0)</f>
        <v>0</v>
      </c>
      <c r="T5">
        <f>_xlfn.XLOOKUP(Tableau1[[#This Row],[Rénovation prévue ?]],'Données Giant'!$A$8:$A$21,'Données Giant'!$F$8:$F$21,0)</f>
        <v>0</v>
      </c>
      <c r="U5">
        <f>_xlfn.XLOOKUP(Tableau1[[#This Row],[Rénovation prévue ?]],'Données Giant'!$A$8:$A$21,'Données Giant'!$G$8:$G$21,0)</f>
        <v>0</v>
      </c>
      <c r="V5">
        <f>_xlfn.XLOOKUP(Tableau1[[#This Row],[Rénovation prévue ?]],'Données Giant'!$A$8:$A$21,'Données Giant'!$H$8:$H$21,0)</f>
        <v>0</v>
      </c>
    </row>
    <row r="6" spans="1:24" x14ac:dyDescent="0.25">
      <c r="A6" s="29">
        <f>'Encodage données'!C68</f>
        <v>0</v>
      </c>
      <c r="B6" s="29">
        <f>'Encodage données'!D68</f>
        <v>0</v>
      </c>
      <c r="C6" s="29">
        <f>'Encodage données'!E68</f>
        <v>0</v>
      </c>
      <c r="D6" s="29">
        <f>'Encodage données'!F68</f>
        <v>0</v>
      </c>
      <c r="E6" s="29">
        <f>'Encodage données'!G68</f>
        <v>0</v>
      </c>
      <c r="F6" s="29">
        <f>'Encodage données'!H68</f>
        <v>0</v>
      </c>
      <c r="G6" s="29">
        <f>'Encodage données'!J68</f>
        <v>0</v>
      </c>
      <c r="H6" s="29">
        <f>IF(OR(Tableau1[[#This Row],[Isolation actuelle]]="U connu",Tableau1[[#This Row],[Isolation actuelle]]="U connu (porte et fenêtres)"),Tableau1[[#This Row],[Si U connu de la paroi]],_xlfn.XLOOKUP(Tableau1[[#This Row],[Isolation actuelle]],'Parois types'!$B$9:$B$71,'Parois types'!$C$9:$C$71,0))</f>
        <v>0</v>
      </c>
      <c r="I6" s="29">
        <f>IF(Tableau1[[#This Row],[Rénovation prévue ?]]='Données Giant'!$A$21,Tableau1[[#This Row],[Uactuel (W/m²K)]],'Encodage données'!I68)</f>
        <v>0</v>
      </c>
      <c r="J6">
        <f>_xlfn.XLOOKUP(Tableau1[[#This Row],[Catégorie]],Tableau4[Catégories de parois],Tableau4[ai],0)</f>
        <v>0</v>
      </c>
      <c r="K6">
        <f>Tableau1[[#This Row],[aj]]*Tableau1[[#This Row],[Uactuel (W/m²K)]]*Tableau1[[#This Row],[Surface (m²)]]</f>
        <v>0</v>
      </c>
      <c r="L6">
        <f>Tableau1[[#This Row],[aj]]*Tableau1[[#This Row],[Urénové (W/m²K)]]*Tableau1[[#This Row],[Surface (m²)]]</f>
        <v>0</v>
      </c>
      <c r="M6">
        <f>_xlfn.XLOOKUP(Tableau1[[#This Row],[Isolation actuelle]],'Parois types'!$B$9:$B$71,'Parois types'!$D$9:$D$71,0)</f>
        <v>0</v>
      </c>
      <c r="N6">
        <f>IF(Tableau1[[#This Row],[Rénovation prévue ?]]='Données Giant'!$A$21,Tableau1[[#This Row],[Facteur solaire actuel]],_xlfn.XLOOKUP(Tableau1[[#This Row],[Rénovation prévue ?]],'Données Giant'!$A$8:$A$21,'Données Giant'!$B$8:$B$21,0))</f>
        <v>0</v>
      </c>
      <c r="O6">
        <f>IF(Tableau1[[#This Row],[Catégorie]]=DonnéesAutres!$A$100,235*0.5*Tableau1[[#This Row],[Facteur solaire actuel]]*Tableau1[[#This Row],[Surface (m²)]],0)</f>
        <v>0</v>
      </c>
      <c r="P6" s="71">
        <f>235*0.5*Tableau1[[#This Row],[Facteur Solaire rénové]]*Tableau1[[#This Row],[Surface (m²)]]</f>
        <v>0</v>
      </c>
      <c r="Q6" s="71">
        <f>_xlfn.XLOOKUP(Tableau1[[#This Row],[Rénovation prévue ?]],'Données Giant'!$A$8:$A$21,'Données Giant'!$C$8:$C$21,0)</f>
        <v>0</v>
      </c>
      <c r="R6" s="27">
        <f>_xlfn.XLOOKUP(Tableau1[[#This Row],[Rénovation prévue ?]],'Données Giant'!$A$8:$A$21,'Données Giant'!$D$8:$D$21,0)</f>
        <v>0</v>
      </c>
      <c r="S6">
        <f>_xlfn.XLOOKUP(Tableau1[[#This Row],[Rénovation prévue ?]],'Données Giant'!$A$8:$A$21,'Données Giant'!$E$8:$E$21,0)</f>
        <v>0</v>
      </c>
      <c r="T6">
        <f>_xlfn.XLOOKUP(Tableau1[[#This Row],[Rénovation prévue ?]],'Données Giant'!$A$8:$A$21,'Données Giant'!$F$8:$F$21,0)</f>
        <v>0</v>
      </c>
      <c r="U6">
        <f>_xlfn.XLOOKUP(Tableau1[[#This Row],[Rénovation prévue ?]],'Données Giant'!$A$8:$A$21,'Données Giant'!$G$8:$G$21,0)</f>
        <v>0</v>
      </c>
      <c r="V6">
        <f>_xlfn.XLOOKUP(Tableau1[[#This Row],[Rénovation prévue ?]],'Données Giant'!$A$8:$A$21,'Données Giant'!$H$8:$H$21,0)</f>
        <v>0</v>
      </c>
    </row>
    <row r="7" spans="1:24" x14ac:dyDescent="0.25">
      <c r="A7" s="29">
        <f>'Encodage données'!C69</f>
        <v>0</v>
      </c>
      <c r="B7" s="29">
        <f>'Encodage données'!D69</f>
        <v>0</v>
      </c>
      <c r="C7" s="29">
        <f>'Encodage données'!E69</f>
        <v>0</v>
      </c>
      <c r="D7" s="29">
        <f>'Encodage données'!F69</f>
        <v>0</v>
      </c>
      <c r="E7" s="29">
        <f>'Encodage données'!G69</f>
        <v>0</v>
      </c>
      <c r="F7" s="29">
        <f>'Encodage données'!H69</f>
        <v>0</v>
      </c>
      <c r="G7" s="29">
        <f>'Encodage données'!J69</f>
        <v>0</v>
      </c>
      <c r="H7" s="29">
        <f>IF(OR(Tableau1[[#This Row],[Isolation actuelle]]="U connu",Tableau1[[#This Row],[Isolation actuelle]]="U connu (porte et fenêtres)"),Tableau1[[#This Row],[Si U connu de la paroi]],_xlfn.XLOOKUP(Tableau1[[#This Row],[Isolation actuelle]],'Parois types'!$B$9:$B$71,'Parois types'!$C$9:$C$71,0))</f>
        <v>0</v>
      </c>
      <c r="I7" s="29">
        <f>IF(Tableau1[[#This Row],[Rénovation prévue ?]]='Données Giant'!$A$21,Tableau1[[#This Row],[Uactuel (W/m²K)]],'Encodage données'!I69)</f>
        <v>0</v>
      </c>
      <c r="J7">
        <f>_xlfn.XLOOKUP(Tableau1[[#This Row],[Catégorie]],Tableau4[Catégories de parois],Tableau4[ai],0)</f>
        <v>0</v>
      </c>
      <c r="K7">
        <f>Tableau1[[#This Row],[aj]]*Tableau1[[#This Row],[Uactuel (W/m²K)]]*Tableau1[[#This Row],[Surface (m²)]]</f>
        <v>0</v>
      </c>
      <c r="L7">
        <f>Tableau1[[#This Row],[aj]]*Tableau1[[#This Row],[Urénové (W/m²K)]]*Tableau1[[#This Row],[Surface (m²)]]</f>
        <v>0</v>
      </c>
      <c r="M7">
        <f>_xlfn.XLOOKUP(Tableau1[[#This Row],[Isolation actuelle]],'Parois types'!$B$9:$B$71,'Parois types'!$D$9:$D$71,0)</f>
        <v>0</v>
      </c>
      <c r="N7">
        <f>IF(Tableau1[[#This Row],[Rénovation prévue ?]]='Données Giant'!$A$21,Tableau1[[#This Row],[Facteur solaire actuel]],_xlfn.XLOOKUP(Tableau1[[#This Row],[Rénovation prévue ?]],'Données Giant'!$A$8:$A$21,'Données Giant'!$B$8:$B$21,0))</f>
        <v>0</v>
      </c>
      <c r="O7">
        <f>IF(Tableau1[[#This Row],[Catégorie]]=DonnéesAutres!$A$100,235*0.5*Tableau1[[#This Row],[Facteur solaire actuel]]*Tableau1[[#This Row],[Surface (m²)]],0)</f>
        <v>0</v>
      </c>
      <c r="P7" s="71">
        <f>235*0.5*Tableau1[[#This Row],[Facteur Solaire rénové]]*Tableau1[[#This Row],[Surface (m²)]]</f>
        <v>0</v>
      </c>
      <c r="Q7" s="71">
        <f>_xlfn.XLOOKUP(Tableau1[[#This Row],[Rénovation prévue ?]],'Données Giant'!$A$8:$A$21,'Données Giant'!$C$8:$C$21,0)</f>
        <v>0</v>
      </c>
      <c r="R7" s="27">
        <f>_xlfn.XLOOKUP(Tableau1[[#This Row],[Rénovation prévue ?]],'Données Giant'!$A$8:$A$21,'Données Giant'!$D$8:$D$21,0)</f>
        <v>0</v>
      </c>
      <c r="S7">
        <f>_xlfn.XLOOKUP(Tableau1[[#This Row],[Rénovation prévue ?]],'Données Giant'!$A$8:$A$21,'Données Giant'!$E$8:$E$21,0)</f>
        <v>0</v>
      </c>
      <c r="T7">
        <f>_xlfn.XLOOKUP(Tableau1[[#This Row],[Rénovation prévue ?]],'Données Giant'!$A$8:$A$21,'Données Giant'!$F$8:$F$21,0)</f>
        <v>0</v>
      </c>
      <c r="U7">
        <f>_xlfn.XLOOKUP(Tableau1[[#This Row],[Rénovation prévue ?]],'Données Giant'!$A$8:$A$21,'Données Giant'!$G$8:$G$21,0)</f>
        <v>0</v>
      </c>
      <c r="V7">
        <f>_xlfn.XLOOKUP(Tableau1[[#This Row],[Rénovation prévue ?]],'Données Giant'!$A$8:$A$21,'Données Giant'!$H$8:$H$21,0)</f>
        <v>0</v>
      </c>
    </row>
    <row r="8" spans="1:24" x14ac:dyDescent="0.25">
      <c r="A8" s="29">
        <f>'Encodage données'!C70</f>
        <v>0</v>
      </c>
      <c r="B8" s="29">
        <f>'Encodage données'!D70</f>
        <v>0</v>
      </c>
      <c r="C8" s="29">
        <f>'Encodage données'!E70</f>
        <v>0</v>
      </c>
      <c r="D8" s="29">
        <f>'Encodage données'!F70</f>
        <v>0</v>
      </c>
      <c r="E8" s="29">
        <f>'Encodage données'!G70</f>
        <v>0</v>
      </c>
      <c r="F8" s="29">
        <f>'Encodage données'!H70</f>
        <v>0</v>
      </c>
      <c r="G8" s="29">
        <f>'Encodage données'!J70</f>
        <v>0</v>
      </c>
      <c r="H8" s="29">
        <f>IF(OR(Tableau1[[#This Row],[Isolation actuelle]]="U connu",Tableau1[[#This Row],[Isolation actuelle]]="U connu (porte et fenêtres)"),Tableau1[[#This Row],[Si U connu de la paroi]],_xlfn.XLOOKUP(Tableau1[[#This Row],[Isolation actuelle]],'Parois types'!$B$9:$B$71,'Parois types'!$C$9:$C$71,0))</f>
        <v>0</v>
      </c>
      <c r="I8" s="29">
        <f>IF(Tableau1[[#This Row],[Rénovation prévue ?]]='Données Giant'!$A$21,Tableau1[[#This Row],[Uactuel (W/m²K)]],'Encodage données'!I70)</f>
        <v>0</v>
      </c>
      <c r="J8">
        <f>_xlfn.XLOOKUP(Tableau1[[#This Row],[Catégorie]],Tableau4[Catégories de parois],Tableau4[ai],0)</f>
        <v>0</v>
      </c>
      <c r="K8">
        <f>Tableau1[[#This Row],[aj]]*Tableau1[[#This Row],[Uactuel (W/m²K)]]*Tableau1[[#This Row],[Surface (m²)]]</f>
        <v>0</v>
      </c>
      <c r="L8">
        <f>Tableau1[[#This Row],[aj]]*Tableau1[[#This Row],[Urénové (W/m²K)]]*Tableau1[[#This Row],[Surface (m²)]]</f>
        <v>0</v>
      </c>
      <c r="M8">
        <f>_xlfn.XLOOKUP(Tableau1[[#This Row],[Isolation actuelle]],'Parois types'!$B$9:$B$71,'Parois types'!$D$9:$D$71,0)</f>
        <v>0</v>
      </c>
      <c r="N8">
        <f>IF(Tableau1[[#This Row],[Rénovation prévue ?]]='Données Giant'!$A$21,Tableau1[[#This Row],[Facteur solaire actuel]],_xlfn.XLOOKUP(Tableau1[[#This Row],[Rénovation prévue ?]],'Données Giant'!$A$8:$A$21,'Données Giant'!$B$8:$B$21,0))</f>
        <v>0</v>
      </c>
      <c r="O8">
        <f>IF(Tableau1[[#This Row],[Catégorie]]=DonnéesAutres!$A$100,235*0.5*Tableau1[[#This Row],[Facteur solaire actuel]]*Tableau1[[#This Row],[Surface (m²)]],0)</f>
        <v>0</v>
      </c>
      <c r="P8" s="71">
        <f>235*0.5*Tableau1[[#This Row],[Facteur Solaire rénové]]*Tableau1[[#This Row],[Surface (m²)]]</f>
        <v>0</v>
      </c>
      <c r="Q8" s="71">
        <f>_xlfn.XLOOKUP(Tableau1[[#This Row],[Rénovation prévue ?]],'Données Giant'!$A$8:$A$21,'Données Giant'!$C$8:$C$21,0)</f>
        <v>0</v>
      </c>
      <c r="R8" s="27">
        <f>_xlfn.XLOOKUP(Tableau1[[#This Row],[Rénovation prévue ?]],'Données Giant'!$A$8:$A$21,'Données Giant'!$D$8:$D$21,0)</f>
        <v>0</v>
      </c>
      <c r="S8">
        <f>_xlfn.XLOOKUP(Tableau1[[#This Row],[Rénovation prévue ?]],'Données Giant'!$A$8:$A$21,'Données Giant'!$E$8:$E$21,0)</f>
        <v>0</v>
      </c>
      <c r="T8">
        <f>_xlfn.XLOOKUP(Tableau1[[#This Row],[Rénovation prévue ?]],'Données Giant'!$A$8:$A$21,'Données Giant'!$F$8:$F$21,0)</f>
        <v>0</v>
      </c>
      <c r="U8">
        <f>_xlfn.XLOOKUP(Tableau1[[#This Row],[Rénovation prévue ?]],'Données Giant'!$A$8:$A$21,'Données Giant'!$G$8:$G$21,0)</f>
        <v>0</v>
      </c>
      <c r="V8">
        <f>_xlfn.XLOOKUP(Tableau1[[#This Row],[Rénovation prévue ?]],'Données Giant'!$A$8:$A$21,'Données Giant'!$H$8:$H$21,0)</f>
        <v>0</v>
      </c>
    </row>
    <row r="9" spans="1:24" x14ac:dyDescent="0.25">
      <c r="A9" s="29">
        <f>'Encodage données'!C71</f>
        <v>0</v>
      </c>
      <c r="B9" s="29">
        <f>'Encodage données'!D71</f>
        <v>0</v>
      </c>
      <c r="C9" s="29">
        <f>'Encodage données'!E71</f>
        <v>0</v>
      </c>
      <c r="D9" s="29">
        <f>'Encodage données'!F71</f>
        <v>0</v>
      </c>
      <c r="E9" s="29">
        <f>'Encodage données'!G71</f>
        <v>0</v>
      </c>
      <c r="F9" s="29">
        <f>'Encodage données'!H71</f>
        <v>0</v>
      </c>
      <c r="G9" s="29">
        <f>'Encodage données'!J71</f>
        <v>0</v>
      </c>
      <c r="H9" s="29">
        <f>IF(OR(Tableau1[[#This Row],[Isolation actuelle]]="U connu",Tableau1[[#This Row],[Isolation actuelle]]="U connu (porte et fenêtres)"),Tableau1[[#This Row],[Si U connu de la paroi]],_xlfn.XLOOKUP(Tableau1[[#This Row],[Isolation actuelle]],'Parois types'!$B$9:$B$71,'Parois types'!$C$9:$C$71,0))</f>
        <v>0</v>
      </c>
      <c r="I9" s="29">
        <f>IF(Tableau1[[#This Row],[Rénovation prévue ?]]='Données Giant'!$A$21,Tableau1[[#This Row],[Uactuel (W/m²K)]],'Encodage données'!I71)</f>
        <v>0</v>
      </c>
      <c r="J9">
        <f>_xlfn.XLOOKUP(Tableau1[[#This Row],[Catégorie]],Tableau4[Catégories de parois],Tableau4[ai],0)</f>
        <v>0</v>
      </c>
      <c r="K9">
        <f>Tableau1[[#This Row],[aj]]*Tableau1[[#This Row],[Uactuel (W/m²K)]]*Tableau1[[#This Row],[Surface (m²)]]</f>
        <v>0</v>
      </c>
      <c r="L9">
        <f>Tableau1[[#This Row],[aj]]*Tableau1[[#This Row],[Urénové (W/m²K)]]*Tableau1[[#This Row],[Surface (m²)]]</f>
        <v>0</v>
      </c>
      <c r="M9">
        <f>_xlfn.XLOOKUP(Tableau1[[#This Row],[Isolation actuelle]],'Parois types'!$B$9:$B$71,'Parois types'!$D$9:$D$71,0)</f>
        <v>0</v>
      </c>
      <c r="N9">
        <f>IF(Tableau1[[#This Row],[Rénovation prévue ?]]='Données Giant'!$A$21,Tableau1[[#This Row],[Facteur solaire actuel]],_xlfn.XLOOKUP(Tableau1[[#This Row],[Rénovation prévue ?]],'Données Giant'!$A$8:$A$21,'Données Giant'!$B$8:$B$21,0))</f>
        <v>0</v>
      </c>
      <c r="O9">
        <f>IF(Tableau1[[#This Row],[Catégorie]]=DonnéesAutres!$A$100,235*0.5*Tableau1[[#This Row],[Facteur solaire actuel]]*Tableau1[[#This Row],[Surface (m²)]],0)</f>
        <v>0</v>
      </c>
      <c r="P9" s="71">
        <f>235*0.5*Tableau1[[#This Row],[Facteur Solaire rénové]]*Tableau1[[#This Row],[Surface (m²)]]</f>
        <v>0</v>
      </c>
      <c r="Q9" s="71">
        <f>_xlfn.XLOOKUP(Tableau1[[#This Row],[Rénovation prévue ?]],'Données Giant'!$A$8:$A$21,'Données Giant'!$C$8:$C$21,0)</f>
        <v>0</v>
      </c>
      <c r="R9" s="27">
        <f>_xlfn.XLOOKUP(Tableau1[[#This Row],[Rénovation prévue ?]],'Données Giant'!$A$8:$A$21,'Données Giant'!$D$8:$D$21,0)</f>
        <v>0</v>
      </c>
      <c r="S9">
        <f>_xlfn.XLOOKUP(Tableau1[[#This Row],[Rénovation prévue ?]],'Données Giant'!$A$8:$A$21,'Données Giant'!$E$8:$E$21,0)</f>
        <v>0</v>
      </c>
      <c r="T9">
        <f>_xlfn.XLOOKUP(Tableau1[[#This Row],[Rénovation prévue ?]],'Données Giant'!$A$8:$A$21,'Données Giant'!$F$8:$F$21,0)</f>
        <v>0</v>
      </c>
      <c r="U9">
        <f>_xlfn.XLOOKUP(Tableau1[[#This Row],[Rénovation prévue ?]],'Données Giant'!$A$8:$A$21,'Données Giant'!$G$8:$G$21,0)</f>
        <v>0</v>
      </c>
      <c r="V9">
        <f>_xlfn.XLOOKUP(Tableau1[[#This Row],[Rénovation prévue ?]],'Données Giant'!$A$8:$A$21,'Données Giant'!$H$8:$H$21,0)</f>
        <v>0</v>
      </c>
    </row>
    <row r="10" spans="1:24" x14ac:dyDescent="0.25">
      <c r="A10" s="29">
        <f>'Encodage données'!C72</f>
        <v>0</v>
      </c>
      <c r="B10" s="29">
        <f>'Encodage données'!D72</f>
        <v>0</v>
      </c>
      <c r="C10" s="29">
        <f>'Encodage données'!E72</f>
        <v>0</v>
      </c>
      <c r="D10" s="29">
        <f>'Encodage données'!F72</f>
        <v>0</v>
      </c>
      <c r="E10" s="29">
        <f>'Encodage données'!G72</f>
        <v>0</v>
      </c>
      <c r="F10" s="29">
        <f>'Encodage données'!H72</f>
        <v>0</v>
      </c>
      <c r="G10" s="29">
        <f>'Encodage données'!J72</f>
        <v>0</v>
      </c>
      <c r="H10" s="29">
        <f>IF(OR(Tableau1[[#This Row],[Isolation actuelle]]="U connu",Tableau1[[#This Row],[Isolation actuelle]]="U connu (porte et fenêtres)"),Tableau1[[#This Row],[Si U connu de la paroi]],_xlfn.XLOOKUP(Tableau1[[#This Row],[Isolation actuelle]],'Parois types'!$B$9:$B$71,'Parois types'!$C$9:$C$71,0))</f>
        <v>0</v>
      </c>
      <c r="I10" s="29">
        <f>IF(Tableau1[[#This Row],[Rénovation prévue ?]]='Données Giant'!$A$21,Tableau1[[#This Row],[Uactuel (W/m²K)]],'Encodage données'!I72)</f>
        <v>0</v>
      </c>
      <c r="J10">
        <f>_xlfn.XLOOKUP(Tableau1[[#This Row],[Catégorie]],Tableau4[Catégories de parois],Tableau4[ai],0)</f>
        <v>0</v>
      </c>
      <c r="K10">
        <f>Tableau1[[#This Row],[aj]]*Tableau1[[#This Row],[Uactuel (W/m²K)]]*Tableau1[[#This Row],[Surface (m²)]]</f>
        <v>0</v>
      </c>
      <c r="L10">
        <f>Tableau1[[#This Row],[aj]]*Tableau1[[#This Row],[Urénové (W/m²K)]]*Tableau1[[#This Row],[Surface (m²)]]</f>
        <v>0</v>
      </c>
      <c r="M10">
        <f>_xlfn.XLOOKUP(Tableau1[[#This Row],[Isolation actuelle]],'Parois types'!$B$9:$B$71,'Parois types'!$D$9:$D$71,0)</f>
        <v>0</v>
      </c>
      <c r="N10">
        <f>IF(Tableau1[[#This Row],[Rénovation prévue ?]]='Données Giant'!$A$21,Tableau1[[#This Row],[Facteur solaire actuel]],_xlfn.XLOOKUP(Tableau1[[#This Row],[Rénovation prévue ?]],'Données Giant'!$A$8:$A$21,'Données Giant'!$B$8:$B$21,0))</f>
        <v>0</v>
      </c>
      <c r="O10">
        <f>IF(Tableau1[[#This Row],[Catégorie]]=DonnéesAutres!$A$100,235*0.5*Tableau1[[#This Row],[Facteur solaire actuel]]*Tableau1[[#This Row],[Surface (m²)]],0)</f>
        <v>0</v>
      </c>
      <c r="P10" s="71">
        <f>235*0.5*Tableau1[[#This Row],[Facteur Solaire rénové]]*Tableau1[[#This Row],[Surface (m²)]]</f>
        <v>0</v>
      </c>
      <c r="Q10" s="71">
        <f>_xlfn.XLOOKUP(Tableau1[[#This Row],[Rénovation prévue ?]],'Données Giant'!$A$8:$A$21,'Données Giant'!$C$8:$C$21,0)</f>
        <v>0</v>
      </c>
      <c r="R10" s="27">
        <f>_xlfn.XLOOKUP(Tableau1[[#This Row],[Rénovation prévue ?]],'Données Giant'!$A$8:$A$21,'Données Giant'!$D$8:$D$21,0)</f>
        <v>0</v>
      </c>
      <c r="S10">
        <f>_xlfn.XLOOKUP(Tableau1[[#This Row],[Rénovation prévue ?]],'Données Giant'!$A$8:$A$21,'Données Giant'!$E$8:$E$21,0)</f>
        <v>0</v>
      </c>
      <c r="T10">
        <f>_xlfn.XLOOKUP(Tableau1[[#This Row],[Rénovation prévue ?]],'Données Giant'!$A$8:$A$21,'Données Giant'!$F$8:$F$21,0)</f>
        <v>0</v>
      </c>
      <c r="U10">
        <f>_xlfn.XLOOKUP(Tableau1[[#This Row],[Rénovation prévue ?]],'Données Giant'!$A$8:$A$21,'Données Giant'!$G$8:$G$21,0)</f>
        <v>0</v>
      </c>
      <c r="V10">
        <f>_xlfn.XLOOKUP(Tableau1[[#This Row],[Rénovation prévue ?]],'Données Giant'!$A$8:$A$21,'Données Giant'!$H$8:$H$21,0)</f>
        <v>0</v>
      </c>
    </row>
    <row r="11" spans="1:24" x14ac:dyDescent="0.25">
      <c r="A11" s="29">
        <f>'Encodage données'!C73</f>
        <v>0</v>
      </c>
      <c r="B11" s="29">
        <f>'Encodage données'!D73</f>
        <v>0</v>
      </c>
      <c r="C11" s="29">
        <f>'Encodage données'!E73</f>
        <v>0</v>
      </c>
      <c r="D11" s="29">
        <f>'Encodage données'!F73</f>
        <v>0</v>
      </c>
      <c r="E11" s="29">
        <f>'Encodage données'!G73</f>
        <v>0</v>
      </c>
      <c r="F11" s="29">
        <f>'Encodage données'!H73</f>
        <v>0</v>
      </c>
      <c r="G11" s="29">
        <f>'Encodage données'!J73</f>
        <v>0</v>
      </c>
      <c r="H11" s="29">
        <f>IF(OR(Tableau1[[#This Row],[Isolation actuelle]]="U connu",Tableau1[[#This Row],[Isolation actuelle]]="U connu (porte et fenêtres)"),Tableau1[[#This Row],[Si U connu de la paroi]],_xlfn.XLOOKUP(Tableau1[[#This Row],[Isolation actuelle]],'Parois types'!$B$9:$B$71,'Parois types'!$C$9:$C$71,0))</f>
        <v>0</v>
      </c>
      <c r="I11" s="29">
        <f>IF(Tableau1[[#This Row],[Rénovation prévue ?]]='Données Giant'!$A$21,Tableau1[[#This Row],[Uactuel (W/m²K)]],'Encodage données'!I73)</f>
        <v>0</v>
      </c>
      <c r="J11">
        <f>_xlfn.XLOOKUP(Tableau1[[#This Row],[Catégorie]],Tableau4[Catégories de parois],Tableau4[ai],0)</f>
        <v>0</v>
      </c>
      <c r="K11">
        <f>Tableau1[[#This Row],[aj]]*Tableau1[[#This Row],[Uactuel (W/m²K)]]*Tableau1[[#This Row],[Surface (m²)]]</f>
        <v>0</v>
      </c>
      <c r="L11">
        <f>Tableau1[[#This Row],[aj]]*Tableau1[[#This Row],[Urénové (W/m²K)]]*Tableau1[[#This Row],[Surface (m²)]]</f>
        <v>0</v>
      </c>
      <c r="M11">
        <f>_xlfn.XLOOKUP(Tableau1[[#This Row],[Isolation actuelle]],'Parois types'!$B$9:$B$71,'Parois types'!$D$9:$D$71,0)</f>
        <v>0</v>
      </c>
      <c r="N11">
        <f>IF(Tableau1[[#This Row],[Rénovation prévue ?]]='Données Giant'!$A$21,Tableau1[[#This Row],[Facteur solaire actuel]],_xlfn.XLOOKUP(Tableau1[[#This Row],[Rénovation prévue ?]],'Données Giant'!$A$8:$A$21,'Données Giant'!$B$8:$B$21,0))</f>
        <v>0</v>
      </c>
      <c r="O11">
        <f>IF(Tableau1[[#This Row],[Catégorie]]=DonnéesAutres!$A$100,235*0.5*Tableau1[[#This Row],[Facteur solaire actuel]]*Tableau1[[#This Row],[Surface (m²)]],0)</f>
        <v>0</v>
      </c>
      <c r="P11" s="71">
        <f>235*0.5*Tableau1[[#This Row],[Facteur Solaire rénové]]*Tableau1[[#This Row],[Surface (m²)]]</f>
        <v>0</v>
      </c>
      <c r="Q11" s="71">
        <f>_xlfn.XLOOKUP(Tableau1[[#This Row],[Rénovation prévue ?]],'Données Giant'!$A$8:$A$21,'Données Giant'!$C$8:$C$21,0)</f>
        <v>0</v>
      </c>
      <c r="R11" s="27">
        <f>_xlfn.XLOOKUP(Tableau1[[#This Row],[Rénovation prévue ?]],'Données Giant'!$A$8:$A$21,'Données Giant'!$D$8:$D$21,0)</f>
        <v>0</v>
      </c>
      <c r="S11">
        <f>_xlfn.XLOOKUP(Tableau1[[#This Row],[Rénovation prévue ?]],'Données Giant'!$A$8:$A$21,'Données Giant'!$E$8:$E$21,0)</f>
        <v>0</v>
      </c>
      <c r="T11">
        <f>_xlfn.XLOOKUP(Tableau1[[#This Row],[Rénovation prévue ?]],'Données Giant'!$A$8:$A$21,'Données Giant'!$F$8:$F$21,0)</f>
        <v>0</v>
      </c>
      <c r="U11">
        <f>_xlfn.XLOOKUP(Tableau1[[#This Row],[Rénovation prévue ?]],'Données Giant'!$A$8:$A$21,'Données Giant'!$G$8:$G$21,0)</f>
        <v>0</v>
      </c>
      <c r="V11">
        <f>_xlfn.XLOOKUP(Tableau1[[#This Row],[Rénovation prévue ?]],'Données Giant'!$A$8:$A$21,'Données Giant'!$H$8:$H$21,0)</f>
        <v>0</v>
      </c>
    </row>
    <row r="12" spans="1:24" x14ac:dyDescent="0.25">
      <c r="A12" s="29">
        <f>'Encodage données'!C74</f>
        <v>0</v>
      </c>
      <c r="B12" s="29">
        <f>'Encodage données'!D74</f>
        <v>0</v>
      </c>
      <c r="C12" s="29">
        <f>'Encodage données'!E74</f>
        <v>0</v>
      </c>
      <c r="D12" s="29">
        <f>'Encodage données'!F74</f>
        <v>0</v>
      </c>
      <c r="E12" s="29">
        <f>'Encodage données'!G74</f>
        <v>0</v>
      </c>
      <c r="F12" s="29">
        <f>'Encodage données'!H74</f>
        <v>0</v>
      </c>
      <c r="G12" s="29">
        <f>'Encodage données'!J74</f>
        <v>0</v>
      </c>
      <c r="H12" s="29">
        <f>IF(OR(Tableau1[[#This Row],[Isolation actuelle]]="U connu",Tableau1[[#This Row],[Isolation actuelle]]="U connu (porte et fenêtres)"),Tableau1[[#This Row],[Si U connu de la paroi]],_xlfn.XLOOKUP(Tableau1[[#This Row],[Isolation actuelle]],'Parois types'!$B$9:$B$71,'Parois types'!$C$9:$C$71,0))</f>
        <v>0</v>
      </c>
      <c r="I12" s="29">
        <f>IF(Tableau1[[#This Row],[Rénovation prévue ?]]='Données Giant'!$A$21,Tableau1[[#This Row],[Uactuel (W/m²K)]],'Encodage données'!I74)</f>
        <v>0</v>
      </c>
      <c r="J12">
        <f>_xlfn.XLOOKUP(Tableau1[[#This Row],[Catégorie]],Tableau4[Catégories de parois],Tableau4[ai],0)</f>
        <v>0</v>
      </c>
      <c r="K12">
        <f>Tableau1[[#This Row],[aj]]*Tableau1[[#This Row],[Uactuel (W/m²K)]]*Tableau1[[#This Row],[Surface (m²)]]</f>
        <v>0</v>
      </c>
      <c r="L12">
        <f>Tableau1[[#This Row],[aj]]*Tableau1[[#This Row],[Urénové (W/m²K)]]*Tableau1[[#This Row],[Surface (m²)]]</f>
        <v>0</v>
      </c>
      <c r="M12">
        <f>_xlfn.XLOOKUP(Tableau1[[#This Row],[Isolation actuelle]],'Parois types'!$B$9:$B$71,'Parois types'!$D$9:$D$71,0)</f>
        <v>0</v>
      </c>
      <c r="N12">
        <f>IF(Tableau1[[#This Row],[Rénovation prévue ?]]='Données Giant'!$A$21,Tableau1[[#This Row],[Facteur solaire actuel]],_xlfn.XLOOKUP(Tableau1[[#This Row],[Rénovation prévue ?]],'Données Giant'!$A$8:$A$21,'Données Giant'!$B$8:$B$21,0))</f>
        <v>0</v>
      </c>
      <c r="O12">
        <f>IF(Tableau1[[#This Row],[Catégorie]]=DonnéesAutres!$A$100,235*0.5*Tableau1[[#This Row],[Facteur solaire actuel]]*Tableau1[[#This Row],[Surface (m²)]],0)</f>
        <v>0</v>
      </c>
      <c r="P12" s="71">
        <f>235*0.5*Tableau1[[#This Row],[Facteur Solaire rénové]]*Tableau1[[#This Row],[Surface (m²)]]</f>
        <v>0</v>
      </c>
      <c r="Q12" s="71">
        <f>_xlfn.XLOOKUP(Tableau1[[#This Row],[Rénovation prévue ?]],'Données Giant'!$A$8:$A$21,'Données Giant'!$C$8:$C$21,0)</f>
        <v>0</v>
      </c>
      <c r="R12" s="27">
        <f>_xlfn.XLOOKUP(Tableau1[[#This Row],[Rénovation prévue ?]],'Données Giant'!$A$8:$A$21,'Données Giant'!$D$8:$D$21,0)</f>
        <v>0</v>
      </c>
      <c r="S12">
        <f>_xlfn.XLOOKUP(Tableau1[[#This Row],[Rénovation prévue ?]],'Données Giant'!$A$8:$A$21,'Données Giant'!$E$8:$E$21,0)</f>
        <v>0</v>
      </c>
      <c r="T12">
        <f>_xlfn.XLOOKUP(Tableau1[[#This Row],[Rénovation prévue ?]],'Données Giant'!$A$8:$A$21,'Données Giant'!$F$8:$F$21,0)</f>
        <v>0</v>
      </c>
      <c r="U12">
        <f>_xlfn.XLOOKUP(Tableau1[[#This Row],[Rénovation prévue ?]],'Données Giant'!$A$8:$A$21,'Données Giant'!$G$8:$G$21,0)</f>
        <v>0</v>
      </c>
      <c r="V12">
        <f>_xlfn.XLOOKUP(Tableau1[[#This Row],[Rénovation prévue ?]],'Données Giant'!$A$8:$A$21,'Données Giant'!$H$8:$H$21,0)</f>
        <v>0</v>
      </c>
    </row>
    <row r="13" spans="1:24" x14ac:dyDescent="0.25">
      <c r="A13" s="29">
        <f>'Encodage données'!C75</f>
        <v>0</v>
      </c>
      <c r="B13" s="29">
        <f>'Encodage données'!D75</f>
        <v>0</v>
      </c>
      <c r="C13" s="29">
        <f>'Encodage données'!E75</f>
        <v>0</v>
      </c>
      <c r="D13" s="29">
        <f>'Encodage données'!F75</f>
        <v>0</v>
      </c>
      <c r="E13" s="29">
        <f>'Encodage données'!G75</f>
        <v>0</v>
      </c>
      <c r="F13" s="29">
        <f>'Encodage données'!H75</f>
        <v>0</v>
      </c>
      <c r="G13" s="29">
        <f>'Encodage données'!J75</f>
        <v>0</v>
      </c>
      <c r="H13" s="29">
        <f>IF(OR(Tableau1[[#This Row],[Isolation actuelle]]="U connu",Tableau1[[#This Row],[Isolation actuelle]]="U connu (porte et fenêtres)"),Tableau1[[#This Row],[Si U connu de la paroi]],_xlfn.XLOOKUP(Tableau1[[#This Row],[Isolation actuelle]],'Parois types'!$B$9:$B$71,'Parois types'!$C$9:$C$71,0))</f>
        <v>0</v>
      </c>
      <c r="I13" s="29">
        <f>IF(Tableau1[[#This Row],[Rénovation prévue ?]]='Données Giant'!$A$21,Tableau1[[#This Row],[Uactuel (W/m²K)]],'Encodage données'!I75)</f>
        <v>0</v>
      </c>
      <c r="J13">
        <f>_xlfn.XLOOKUP(Tableau1[[#This Row],[Catégorie]],Tableau4[Catégories de parois],Tableau4[ai],0)</f>
        <v>0</v>
      </c>
      <c r="K13">
        <f>Tableau1[[#This Row],[aj]]*Tableau1[[#This Row],[Uactuel (W/m²K)]]*Tableau1[[#This Row],[Surface (m²)]]</f>
        <v>0</v>
      </c>
      <c r="L13">
        <f>Tableau1[[#This Row],[aj]]*Tableau1[[#This Row],[Urénové (W/m²K)]]*Tableau1[[#This Row],[Surface (m²)]]</f>
        <v>0</v>
      </c>
      <c r="M13">
        <f>_xlfn.XLOOKUP(Tableau1[[#This Row],[Isolation actuelle]],'Parois types'!$B$9:$B$71,'Parois types'!$D$9:$D$71,0)</f>
        <v>0</v>
      </c>
      <c r="N13">
        <f>IF(Tableau1[[#This Row],[Rénovation prévue ?]]='Données Giant'!$A$21,Tableau1[[#This Row],[Facteur solaire actuel]],_xlfn.XLOOKUP(Tableau1[[#This Row],[Rénovation prévue ?]],'Données Giant'!$A$8:$A$21,'Données Giant'!$B$8:$B$21,0))</f>
        <v>0</v>
      </c>
      <c r="O13">
        <f>IF(Tableau1[[#This Row],[Catégorie]]=DonnéesAutres!$A$100,235*0.5*Tableau1[[#This Row],[Facteur solaire actuel]]*Tableau1[[#This Row],[Surface (m²)]],0)</f>
        <v>0</v>
      </c>
      <c r="P13" s="71">
        <f>235*0.5*Tableau1[[#This Row],[Facteur Solaire rénové]]*Tableau1[[#This Row],[Surface (m²)]]</f>
        <v>0</v>
      </c>
      <c r="Q13" s="71">
        <f>_xlfn.XLOOKUP(Tableau1[[#This Row],[Rénovation prévue ?]],'Données Giant'!$A$8:$A$21,'Données Giant'!$C$8:$C$21,0)</f>
        <v>0</v>
      </c>
      <c r="R13" s="27">
        <f>_xlfn.XLOOKUP(Tableau1[[#This Row],[Rénovation prévue ?]],'Données Giant'!$A$8:$A$21,'Données Giant'!$D$8:$D$21,0)</f>
        <v>0</v>
      </c>
      <c r="S13">
        <f>_xlfn.XLOOKUP(Tableau1[[#This Row],[Rénovation prévue ?]],'Données Giant'!$A$8:$A$21,'Données Giant'!$E$8:$E$21,0)</f>
        <v>0</v>
      </c>
      <c r="T13">
        <f>_xlfn.XLOOKUP(Tableau1[[#This Row],[Rénovation prévue ?]],'Données Giant'!$A$8:$A$21,'Données Giant'!$F$8:$F$21,0)</f>
        <v>0</v>
      </c>
      <c r="U13">
        <f>_xlfn.XLOOKUP(Tableau1[[#This Row],[Rénovation prévue ?]],'Données Giant'!$A$8:$A$21,'Données Giant'!$G$8:$G$21,0)</f>
        <v>0</v>
      </c>
      <c r="V13">
        <f>_xlfn.XLOOKUP(Tableau1[[#This Row],[Rénovation prévue ?]],'Données Giant'!$A$8:$A$21,'Données Giant'!$H$8:$H$21,0)</f>
        <v>0</v>
      </c>
    </row>
    <row r="14" spans="1:24" x14ac:dyDescent="0.25">
      <c r="A14" s="29">
        <f>'Encodage données'!C76</f>
        <v>0</v>
      </c>
      <c r="B14" s="29">
        <f>'Encodage données'!D76</f>
        <v>0</v>
      </c>
      <c r="C14" s="29">
        <f>'Encodage données'!E76</f>
        <v>0</v>
      </c>
      <c r="D14" s="29">
        <f>'Encodage données'!F76</f>
        <v>0</v>
      </c>
      <c r="E14" s="29">
        <f>'Encodage données'!G76</f>
        <v>0</v>
      </c>
      <c r="F14" s="29">
        <f>'Encodage données'!H76</f>
        <v>0</v>
      </c>
      <c r="G14" s="29">
        <f>'Encodage données'!J76</f>
        <v>0</v>
      </c>
      <c r="H14" s="29">
        <f>IF(OR(Tableau1[[#This Row],[Isolation actuelle]]="U connu",Tableau1[[#This Row],[Isolation actuelle]]="U connu (porte et fenêtres)"),Tableau1[[#This Row],[Si U connu de la paroi]],_xlfn.XLOOKUP(Tableau1[[#This Row],[Isolation actuelle]],'Parois types'!$B$9:$B$71,'Parois types'!$C$9:$C$71,0))</f>
        <v>0</v>
      </c>
      <c r="I14" s="29">
        <f>IF(Tableau1[[#This Row],[Rénovation prévue ?]]='Données Giant'!$A$21,Tableau1[[#This Row],[Uactuel (W/m²K)]],'Encodage données'!I76)</f>
        <v>0</v>
      </c>
      <c r="J14">
        <f>_xlfn.XLOOKUP(Tableau1[[#This Row],[Catégorie]],Tableau4[Catégories de parois],Tableau4[ai],0)</f>
        <v>0</v>
      </c>
      <c r="K14">
        <f>Tableau1[[#This Row],[aj]]*Tableau1[[#This Row],[Uactuel (W/m²K)]]*Tableau1[[#This Row],[Surface (m²)]]</f>
        <v>0</v>
      </c>
      <c r="L14">
        <f>Tableau1[[#This Row],[aj]]*Tableau1[[#This Row],[Urénové (W/m²K)]]*Tableau1[[#This Row],[Surface (m²)]]</f>
        <v>0</v>
      </c>
      <c r="M14">
        <f>_xlfn.XLOOKUP(Tableau1[[#This Row],[Isolation actuelle]],'Parois types'!$B$9:$B$71,'Parois types'!$D$9:$D$71,0)</f>
        <v>0</v>
      </c>
      <c r="N14">
        <f>IF(Tableau1[[#This Row],[Rénovation prévue ?]]='Données Giant'!$A$21,Tableau1[[#This Row],[Facteur solaire actuel]],_xlfn.XLOOKUP(Tableau1[[#This Row],[Rénovation prévue ?]],'Données Giant'!$A$8:$A$21,'Données Giant'!$B$8:$B$21,0))</f>
        <v>0</v>
      </c>
      <c r="O14">
        <f>IF(Tableau1[[#This Row],[Catégorie]]=DonnéesAutres!$A$100,235*0.5*Tableau1[[#This Row],[Facteur solaire actuel]]*Tableau1[[#This Row],[Surface (m²)]],0)</f>
        <v>0</v>
      </c>
      <c r="P14" s="71">
        <f>235*0.5*Tableau1[[#This Row],[Facteur Solaire rénové]]*Tableau1[[#This Row],[Surface (m²)]]</f>
        <v>0</v>
      </c>
      <c r="Q14" s="71">
        <f>_xlfn.XLOOKUP(Tableau1[[#This Row],[Rénovation prévue ?]],'Données Giant'!$A$8:$A$21,'Données Giant'!$C$8:$C$21,0)</f>
        <v>0</v>
      </c>
      <c r="R14" s="27">
        <f>_xlfn.XLOOKUP(Tableau1[[#This Row],[Rénovation prévue ?]],'Données Giant'!$A$8:$A$21,'Données Giant'!$D$8:$D$21,0)</f>
        <v>0</v>
      </c>
      <c r="S14">
        <f>_xlfn.XLOOKUP(Tableau1[[#This Row],[Rénovation prévue ?]],'Données Giant'!$A$8:$A$21,'Données Giant'!$E$8:$E$21,0)</f>
        <v>0</v>
      </c>
      <c r="T14">
        <f>_xlfn.XLOOKUP(Tableau1[[#This Row],[Rénovation prévue ?]],'Données Giant'!$A$8:$A$21,'Données Giant'!$F$8:$F$21,0)</f>
        <v>0</v>
      </c>
      <c r="U14">
        <f>_xlfn.XLOOKUP(Tableau1[[#This Row],[Rénovation prévue ?]],'Données Giant'!$A$8:$A$21,'Données Giant'!$G$8:$G$21,0)</f>
        <v>0</v>
      </c>
      <c r="V14">
        <f>_xlfn.XLOOKUP(Tableau1[[#This Row],[Rénovation prévue ?]],'Données Giant'!$A$8:$A$21,'Données Giant'!$H$8:$H$21,0)</f>
        <v>0</v>
      </c>
    </row>
    <row r="15" spans="1:24" x14ac:dyDescent="0.25">
      <c r="A15" s="29">
        <f>'Encodage données'!C77</f>
        <v>0</v>
      </c>
      <c r="B15" s="29">
        <f>'Encodage données'!D77</f>
        <v>0</v>
      </c>
      <c r="C15" s="29">
        <f>'Encodage données'!E77</f>
        <v>0</v>
      </c>
      <c r="D15" s="29">
        <f>'Encodage données'!F77</f>
        <v>0</v>
      </c>
      <c r="E15" s="29">
        <f>'Encodage données'!G77</f>
        <v>0</v>
      </c>
      <c r="F15" s="29">
        <f>'Encodage données'!H77</f>
        <v>0</v>
      </c>
      <c r="G15" s="29">
        <f>'Encodage données'!J77</f>
        <v>0</v>
      </c>
      <c r="H15" s="29">
        <f>IF(OR(Tableau1[[#This Row],[Isolation actuelle]]="U connu",Tableau1[[#This Row],[Isolation actuelle]]="U connu (porte et fenêtres)"),Tableau1[[#This Row],[Si U connu de la paroi]],_xlfn.XLOOKUP(Tableau1[[#This Row],[Isolation actuelle]],'Parois types'!$B$9:$B$71,'Parois types'!$C$9:$C$71,0))</f>
        <v>0</v>
      </c>
      <c r="I15" s="29">
        <f>IF(Tableau1[[#This Row],[Rénovation prévue ?]]='Données Giant'!$A$21,Tableau1[[#This Row],[Uactuel (W/m²K)]],'Encodage données'!I77)</f>
        <v>0</v>
      </c>
      <c r="J15">
        <f>_xlfn.XLOOKUP(Tableau1[[#This Row],[Catégorie]],Tableau4[Catégories de parois],Tableau4[ai],0)</f>
        <v>0</v>
      </c>
      <c r="K15">
        <f>Tableau1[[#This Row],[aj]]*Tableau1[[#This Row],[Uactuel (W/m²K)]]*Tableau1[[#This Row],[Surface (m²)]]</f>
        <v>0</v>
      </c>
      <c r="L15">
        <f>Tableau1[[#This Row],[aj]]*Tableau1[[#This Row],[Urénové (W/m²K)]]*Tableau1[[#This Row],[Surface (m²)]]</f>
        <v>0</v>
      </c>
      <c r="M15">
        <f>_xlfn.XLOOKUP(Tableau1[[#This Row],[Isolation actuelle]],'Parois types'!$B$9:$B$71,'Parois types'!$D$9:$D$71,0)</f>
        <v>0</v>
      </c>
      <c r="N15">
        <f>IF(Tableau1[[#This Row],[Rénovation prévue ?]]='Données Giant'!$A$21,Tableau1[[#This Row],[Facteur solaire actuel]],_xlfn.XLOOKUP(Tableau1[[#This Row],[Rénovation prévue ?]],'Données Giant'!$A$8:$A$21,'Données Giant'!$B$8:$B$21,0))</f>
        <v>0</v>
      </c>
      <c r="O15">
        <f>IF(Tableau1[[#This Row],[Catégorie]]=DonnéesAutres!$A$100,235*0.5*Tableau1[[#This Row],[Facteur solaire actuel]]*Tableau1[[#This Row],[Surface (m²)]],0)</f>
        <v>0</v>
      </c>
      <c r="P15" s="71">
        <f>235*0.5*Tableau1[[#This Row],[Facteur Solaire rénové]]*Tableau1[[#This Row],[Surface (m²)]]</f>
        <v>0</v>
      </c>
      <c r="Q15" s="71">
        <f>_xlfn.XLOOKUP(Tableau1[[#This Row],[Rénovation prévue ?]],'Données Giant'!$A$8:$A$21,'Données Giant'!$C$8:$C$21,0)</f>
        <v>0</v>
      </c>
      <c r="R15" s="27">
        <f>_xlfn.XLOOKUP(Tableau1[[#This Row],[Rénovation prévue ?]],'Données Giant'!$A$8:$A$21,'Données Giant'!$D$8:$D$21,0)</f>
        <v>0</v>
      </c>
      <c r="S15">
        <f>_xlfn.XLOOKUP(Tableau1[[#This Row],[Rénovation prévue ?]],'Données Giant'!$A$8:$A$21,'Données Giant'!$E$8:$E$21,0)</f>
        <v>0</v>
      </c>
      <c r="T15">
        <f>_xlfn.XLOOKUP(Tableau1[[#This Row],[Rénovation prévue ?]],'Données Giant'!$A$8:$A$21,'Données Giant'!$F$8:$F$21,0)</f>
        <v>0</v>
      </c>
      <c r="U15">
        <f>_xlfn.XLOOKUP(Tableau1[[#This Row],[Rénovation prévue ?]],'Données Giant'!$A$8:$A$21,'Données Giant'!$G$8:$G$21,0)</f>
        <v>0</v>
      </c>
      <c r="V15">
        <f>_xlfn.XLOOKUP(Tableau1[[#This Row],[Rénovation prévue ?]],'Données Giant'!$A$8:$A$21,'Données Giant'!$H$8:$H$21,0)</f>
        <v>0</v>
      </c>
    </row>
    <row r="16" spans="1:24" x14ac:dyDescent="0.25">
      <c r="A16" s="29">
        <f>'Encodage données'!C78</f>
        <v>0</v>
      </c>
      <c r="B16" s="29">
        <f>'Encodage données'!D78</f>
        <v>0</v>
      </c>
      <c r="C16" s="29">
        <f>'Encodage données'!E78</f>
        <v>0</v>
      </c>
      <c r="D16" s="29">
        <f>'Encodage données'!F78</f>
        <v>0</v>
      </c>
      <c r="E16" s="29">
        <f>'Encodage données'!G78</f>
        <v>0</v>
      </c>
      <c r="F16" s="29">
        <f>'Encodage données'!H78</f>
        <v>0</v>
      </c>
      <c r="G16" s="29">
        <f>'Encodage données'!J78</f>
        <v>0</v>
      </c>
      <c r="H16" s="29">
        <f>IF(OR(Tableau1[[#This Row],[Isolation actuelle]]="U connu",Tableau1[[#This Row],[Isolation actuelle]]="U connu (porte et fenêtres)"),Tableau1[[#This Row],[Si U connu de la paroi]],_xlfn.XLOOKUP(Tableau1[[#This Row],[Isolation actuelle]],'Parois types'!$B$9:$B$71,'Parois types'!$C$9:$C$71,0))</f>
        <v>0</v>
      </c>
      <c r="I16" s="29">
        <f>IF(Tableau1[[#This Row],[Rénovation prévue ?]]='Données Giant'!$A$21,Tableau1[[#This Row],[Uactuel (W/m²K)]],'Encodage données'!I78)</f>
        <v>0</v>
      </c>
      <c r="J16">
        <f>_xlfn.XLOOKUP(Tableau1[[#This Row],[Catégorie]],Tableau4[Catégories de parois],Tableau4[ai],0)</f>
        <v>0</v>
      </c>
      <c r="K16">
        <f>Tableau1[[#This Row],[aj]]*Tableau1[[#This Row],[Uactuel (W/m²K)]]*Tableau1[[#This Row],[Surface (m²)]]</f>
        <v>0</v>
      </c>
      <c r="L16">
        <f>Tableau1[[#This Row],[aj]]*Tableau1[[#This Row],[Urénové (W/m²K)]]*Tableau1[[#This Row],[Surface (m²)]]</f>
        <v>0</v>
      </c>
      <c r="M16">
        <f>_xlfn.XLOOKUP(Tableau1[[#This Row],[Isolation actuelle]],'Parois types'!$B$9:$B$71,'Parois types'!$D$9:$D$71,0)</f>
        <v>0</v>
      </c>
      <c r="N16">
        <f>IF(Tableau1[[#This Row],[Rénovation prévue ?]]='Données Giant'!$A$21,Tableau1[[#This Row],[Facteur solaire actuel]],_xlfn.XLOOKUP(Tableau1[[#This Row],[Rénovation prévue ?]],'Données Giant'!$A$8:$A$21,'Données Giant'!$B$8:$B$21,0))</f>
        <v>0</v>
      </c>
      <c r="O16">
        <f>IF(Tableau1[[#This Row],[Catégorie]]=DonnéesAutres!$A$100,235*0.5*Tableau1[[#This Row],[Facteur solaire actuel]]*Tableau1[[#This Row],[Surface (m²)]],0)</f>
        <v>0</v>
      </c>
      <c r="P16" s="71">
        <f>235*0.5*Tableau1[[#This Row],[Facteur Solaire rénové]]*Tableau1[[#This Row],[Surface (m²)]]</f>
        <v>0</v>
      </c>
      <c r="Q16" s="71">
        <f>_xlfn.XLOOKUP(Tableau1[[#This Row],[Rénovation prévue ?]],'Données Giant'!$A$8:$A$21,'Données Giant'!$C$8:$C$21,0)</f>
        <v>0</v>
      </c>
      <c r="R16" s="27">
        <f>_xlfn.XLOOKUP(Tableau1[[#This Row],[Rénovation prévue ?]],'Données Giant'!$A$8:$A$21,'Données Giant'!$D$8:$D$21,0)</f>
        <v>0</v>
      </c>
      <c r="S16">
        <f>_xlfn.XLOOKUP(Tableau1[[#This Row],[Rénovation prévue ?]],'Données Giant'!$A$8:$A$21,'Données Giant'!$E$8:$E$21,0)</f>
        <v>0</v>
      </c>
      <c r="T16">
        <f>_xlfn.XLOOKUP(Tableau1[[#This Row],[Rénovation prévue ?]],'Données Giant'!$A$8:$A$21,'Données Giant'!$F$8:$F$21,0)</f>
        <v>0</v>
      </c>
      <c r="U16">
        <f>_xlfn.XLOOKUP(Tableau1[[#This Row],[Rénovation prévue ?]],'Données Giant'!$A$8:$A$21,'Données Giant'!$G$8:$G$21,0)</f>
        <v>0</v>
      </c>
      <c r="V16">
        <f>_xlfn.XLOOKUP(Tableau1[[#This Row],[Rénovation prévue ?]],'Données Giant'!$A$8:$A$21,'Données Giant'!$H$8:$H$21,0)</f>
        <v>0</v>
      </c>
    </row>
    <row r="17" spans="1:22" x14ac:dyDescent="0.25">
      <c r="A17" s="29">
        <f>'Encodage données'!C79</f>
        <v>0</v>
      </c>
      <c r="B17" s="29">
        <f>'Encodage données'!D79</f>
        <v>0</v>
      </c>
      <c r="C17" s="29">
        <f>'Encodage données'!E79</f>
        <v>0</v>
      </c>
      <c r="D17" s="29">
        <f>'Encodage données'!F79</f>
        <v>0</v>
      </c>
      <c r="E17" s="29">
        <f>'Encodage données'!G79</f>
        <v>0</v>
      </c>
      <c r="F17" s="29">
        <f>'Encodage données'!H79</f>
        <v>0</v>
      </c>
      <c r="G17" s="29">
        <f>'Encodage données'!J79</f>
        <v>0</v>
      </c>
      <c r="H17" s="29">
        <f>IF(OR(Tableau1[[#This Row],[Isolation actuelle]]="U connu",Tableau1[[#This Row],[Isolation actuelle]]="U connu (porte et fenêtres)"),Tableau1[[#This Row],[Si U connu de la paroi]],_xlfn.XLOOKUP(Tableau1[[#This Row],[Isolation actuelle]],'Parois types'!$B$9:$B$71,'Parois types'!$C$9:$C$71,0))</f>
        <v>0</v>
      </c>
      <c r="I17" s="29">
        <f>IF(Tableau1[[#This Row],[Rénovation prévue ?]]='Données Giant'!$A$21,Tableau1[[#This Row],[Uactuel (W/m²K)]],'Encodage données'!I79)</f>
        <v>0</v>
      </c>
      <c r="J17">
        <f>_xlfn.XLOOKUP(Tableau1[[#This Row],[Catégorie]],Tableau4[Catégories de parois],Tableau4[ai],0)</f>
        <v>0</v>
      </c>
      <c r="K17">
        <f>Tableau1[[#This Row],[aj]]*Tableau1[[#This Row],[Uactuel (W/m²K)]]*Tableau1[[#This Row],[Surface (m²)]]</f>
        <v>0</v>
      </c>
      <c r="L17">
        <f>Tableau1[[#This Row],[aj]]*Tableau1[[#This Row],[Urénové (W/m²K)]]*Tableau1[[#This Row],[Surface (m²)]]</f>
        <v>0</v>
      </c>
      <c r="M17">
        <f>_xlfn.XLOOKUP(Tableau1[[#This Row],[Isolation actuelle]],'Parois types'!$B$9:$B$71,'Parois types'!$D$9:$D$71,0)</f>
        <v>0</v>
      </c>
      <c r="N17">
        <f>IF(Tableau1[[#This Row],[Rénovation prévue ?]]='Données Giant'!$A$21,Tableau1[[#This Row],[Facteur solaire actuel]],_xlfn.XLOOKUP(Tableau1[[#This Row],[Rénovation prévue ?]],'Données Giant'!$A$8:$A$21,'Données Giant'!$B$8:$B$21,0))</f>
        <v>0</v>
      </c>
      <c r="O17">
        <f>IF(Tableau1[[#This Row],[Catégorie]]=DonnéesAutres!$A$100,235*0.5*Tableau1[[#This Row],[Facteur solaire actuel]]*Tableau1[[#This Row],[Surface (m²)]],0)</f>
        <v>0</v>
      </c>
      <c r="P17" s="71">
        <f>235*0.5*Tableau1[[#This Row],[Facteur Solaire rénové]]*Tableau1[[#This Row],[Surface (m²)]]</f>
        <v>0</v>
      </c>
      <c r="Q17" s="71">
        <f>_xlfn.XLOOKUP(Tableau1[[#This Row],[Rénovation prévue ?]],'Données Giant'!$A$8:$A$21,'Données Giant'!$C$8:$C$21,0)</f>
        <v>0</v>
      </c>
      <c r="R17" s="27">
        <f>_xlfn.XLOOKUP(Tableau1[[#This Row],[Rénovation prévue ?]],'Données Giant'!$A$8:$A$21,'Données Giant'!$D$8:$D$21,0)</f>
        <v>0</v>
      </c>
      <c r="S17">
        <f>_xlfn.XLOOKUP(Tableau1[[#This Row],[Rénovation prévue ?]],'Données Giant'!$A$8:$A$21,'Données Giant'!$E$8:$E$21,0)</f>
        <v>0</v>
      </c>
      <c r="T17">
        <f>_xlfn.XLOOKUP(Tableau1[[#This Row],[Rénovation prévue ?]],'Données Giant'!$A$8:$A$21,'Données Giant'!$F$8:$F$21,0)</f>
        <v>0</v>
      </c>
      <c r="U17">
        <f>_xlfn.XLOOKUP(Tableau1[[#This Row],[Rénovation prévue ?]],'Données Giant'!$A$8:$A$21,'Données Giant'!$G$8:$G$21,0)</f>
        <v>0</v>
      </c>
      <c r="V17">
        <f>_xlfn.XLOOKUP(Tableau1[[#This Row],[Rénovation prévue ?]],'Données Giant'!$A$8:$A$21,'Données Giant'!$H$8:$H$21,0)</f>
        <v>0</v>
      </c>
    </row>
    <row r="18" spans="1:22" x14ac:dyDescent="0.25">
      <c r="A18" s="29">
        <f>'Encodage données'!C80</f>
        <v>0</v>
      </c>
      <c r="B18" s="29">
        <f>'Encodage données'!D80</f>
        <v>0</v>
      </c>
      <c r="C18" s="29">
        <f>'Encodage données'!E80</f>
        <v>0</v>
      </c>
      <c r="D18" s="29">
        <f>'Encodage données'!F80</f>
        <v>0</v>
      </c>
      <c r="E18" s="29">
        <f>'Encodage données'!G80</f>
        <v>0</v>
      </c>
      <c r="F18" s="29">
        <f>'Encodage données'!H80</f>
        <v>0</v>
      </c>
      <c r="G18" s="29">
        <f>'Encodage données'!J80</f>
        <v>0</v>
      </c>
      <c r="H18" s="29">
        <f>IF(OR(Tableau1[[#This Row],[Isolation actuelle]]="U connu",Tableau1[[#This Row],[Isolation actuelle]]="U connu (porte et fenêtres)"),Tableau1[[#This Row],[Si U connu de la paroi]],_xlfn.XLOOKUP(Tableau1[[#This Row],[Isolation actuelle]],'Parois types'!$B$9:$B$71,'Parois types'!$C$9:$C$71,0))</f>
        <v>0</v>
      </c>
      <c r="I18" s="29">
        <f>IF(Tableau1[[#This Row],[Rénovation prévue ?]]='Données Giant'!$A$21,Tableau1[[#This Row],[Uactuel (W/m²K)]],'Encodage données'!I80)</f>
        <v>0</v>
      </c>
      <c r="J18">
        <f>_xlfn.XLOOKUP(Tableau1[[#This Row],[Catégorie]],Tableau4[Catégories de parois],Tableau4[ai],0)</f>
        <v>0</v>
      </c>
      <c r="K18">
        <f>Tableau1[[#This Row],[aj]]*Tableau1[[#This Row],[Uactuel (W/m²K)]]*Tableau1[[#This Row],[Surface (m²)]]</f>
        <v>0</v>
      </c>
      <c r="L18">
        <f>Tableau1[[#This Row],[aj]]*Tableau1[[#This Row],[Urénové (W/m²K)]]*Tableau1[[#This Row],[Surface (m²)]]</f>
        <v>0</v>
      </c>
      <c r="M18">
        <f>_xlfn.XLOOKUP(Tableau1[[#This Row],[Isolation actuelle]],'Parois types'!$B$9:$B$71,'Parois types'!$D$9:$D$71,0)</f>
        <v>0</v>
      </c>
      <c r="N18">
        <f>IF(Tableau1[[#This Row],[Rénovation prévue ?]]='Données Giant'!$A$21,Tableau1[[#This Row],[Facteur solaire actuel]],_xlfn.XLOOKUP(Tableau1[[#This Row],[Rénovation prévue ?]],'Données Giant'!$A$8:$A$21,'Données Giant'!$B$8:$B$21,0))</f>
        <v>0</v>
      </c>
      <c r="O18">
        <f>IF(Tableau1[[#This Row],[Catégorie]]=DonnéesAutres!$A$100,235*0.5*Tableau1[[#This Row],[Facteur solaire actuel]]*Tableau1[[#This Row],[Surface (m²)]],0)</f>
        <v>0</v>
      </c>
      <c r="P18" s="71">
        <f>235*0.5*Tableau1[[#This Row],[Facteur Solaire rénové]]*Tableau1[[#This Row],[Surface (m²)]]</f>
        <v>0</v>
      </c>
      <c r="Q18" s="71">
        <f>_xlfn.XLOOKUP(Tableau1[[#This Row],[Rénovation prévue ?]],'Données Giant'!$A$8:$A$21,'Données Giant'!$C$8:$C$21,0)</f>
        <v>0</v>
      </c>
      <c r="R18" s="27">
        <f>_xlfn.XLOOKUP(Tableau1[[#This Row],[Rénovation prévue ?]],'Données Giant'!$A$8:$A$21,'Données Giant'!$D$8:$D$21,0)</f>
        <v>0</v>
      </c>
      <c r="S18">
        <f>_xlfn.XLOOKUP(Tableau1[[#This Row],[Rénovation prévue ?]],'Données Giant'!$A$8:$A$21,'Données Giant'!$E$8:$E$21,0)</f>
        <v>0</v>
      </c>
      <c r="T18">
        <f>_xlfn.XLOOKUP(Tableau1[[#This Row],[Rénovation prévue ?]],'Données Giant'!$A$8:$A$21,'Données Giant'!$F$8:$F$21,0)</f>
        <v>0</v>
      </c>
      <c r="U18">
        <f>_xlfn.XLOOKUP(Tableau1[[#This Row],[Rénovation prévue ?]],'Données Giant'!$A$8:$A$21,'Données Giant'!$G$8:$G$21,0)</f>
        <v>0</v>
      </c>
      <c r="V18">
        <f>_xlfn.XLOOKUP(Tableau1[[#This Row],[Rénovation prévue ?]],'Données Giant'!$A$8:$A$21,'Données Giant'!$H$8:$H$21,0)</f>
        <v>0</v>
      </c>
    </row>
    <row r="19" spans="1:22" x14ac:dyDescent="0.25">
      <c r="A19" s="29">
        <f>'Encodage données'!C81</f>
        <v>0</v>
      </c>
      <c r="B19" s="29">
        <f>'Encodage données'!D81</f>
        <v>0</v>
      </c>
      <c r="C19" s="29">
        <f>'Encodage données'!E81</f>
        <v>0</v>
      </c>
      <c r="D19" s="29">
        <f>'Encodage données'!F81</f>
        <v>0</v>
      </c>
      <c r="E19" s="29">
        <f>'Encodage données'!G81</f>
        <v>0</v>
      </c>
      <c r="F19" s="29">
        <f>'Encodage données'!H81</f>
        <v>0</v>
      </c>
      <c r="G19" s="29">
        <f>'Encodage données'!J81</f>
        <v>0</v>
      </c>
      <c r="H19" s="29">
        <f>IF(OR(Tableau1[[#This Row],[Isolation actuelle]]="U connu",Tableau1[[#This Row],[Isolation actuelle]]="U connu (porte et fenêtres)"),Tableau1[[#This Row],[Si U connu de la paroi]],_xlfn.XLOOKUP(Tableau1[[#This Row],[Isolation actuelle]],'Parois types'!$B$9:$B$71,'Parois types'!$C$9:$C$71,0))</f>
        <v>0</v>
      </c>
      <c r="I19" s="29">
        <f>IF(Tableau1[[#This Row],[Rénovation prévue ?]]='Données Giant'!$A$21,Tableau1[[#This Row],[Uactuel (W/m²K)]],'Encodage données'!I81)</f>
        <v>0</v>
      </c>
      <c r="J19">
        <f>_xlfn.XLOOKUP(Tableau1[[#This Row],[Catégorie]],Tableau4[Catégories de parois],Tableau4[ai],0)</f>
        <v>0</v>
      </c>
      <c r="K19">
        <f>Tableau1[[#This Row],[aj]]*Tableau1[[#This Row],[Uactuel (W/m²K)]]*Tableau1[[#This Row],[Surface (m²)]]</f>
        <v>0</v>
      </c>
      <c r="L19">
        <f>Tableau1[[#This Row],[aj]]*Tableau1[[#This Row],[Urénové (W/m²K)]]*Tableau1[[#This Row],[Surface (m²)]]</f>
        <v>0</v>
      </c>
      <c r="M19">
        <f>_xlfn.XLOOKUP(Tableau1[[#This Row],[Isolation actuelle]],'Parois types'!$B$9:$B$71,'Parois types'!$D$9:$D$71,0)</f>
        <v>0</v>
      </c>
      <c r="N19">
        <f>IF(Tableau1[[#This Row],[Rénovation prévue ?]]='Données Giant'!$A$21,Tableau1[[#This Row],[Facteur solaire actuel]],_xlfn.XLOOKUP(Tableau1[[#This Row],[Rénovation prévue ?]],'Données Giant'!$A$8:$A$21,'Données Giant'!$B$8:$B$21,0))</f>
        <v>0</v>
      </c>
      <c r="O19">
        <f>IF(Tableau1[[#This Row],[Catégorie]]=DonnéesAutres!$A$100,235*0.5*Tableau1[[#This Row],[Facteur solaire actuel]]*Tableau1[[#This Row],[Surface (m²)]],0)</f>
        <v>0</v>
      </c>
      <c r="P19" s="71">
        <f>235*0.5*Tableau1[[#This Row],[Facteur Solaire rénové]]*Tableau1[[#This Row],[Surface (m²)]]</f>
        <v>0</v>
      </c>
      <c r="Q19" s="71">
        <f>_xlfn.XLOOKUP(Tableau1[[#This Row],[Rénovation prévue ?]],'Données Giant'!$A$8:$A$21,'Données Giant'!$C$8:$C$21,0)</f>
        <v>0</v>
      </c>
      <c r="R19" s="27">
        <f>_xlfn.XLOOKUP(Tableau1[[#This Row],[Rénovation prévue ?]],'Données Giant'!$A$8:$A$21,'Données Giant'!$D$8:$D$21,0)</f>
        <v>0</v>
      </c>
      <c r="S19">
        <f>_xlfn.XLOOKUP(Tableau1[[#This Row],[Rénovation prévue ?]],'Données Giant'!$A$8:$A$21,'Données Giant'!$E$8:$E$21,0)</f>
        <v>0</v>
      </c>
      <c r="T19">
        <f>_xlfn.XLOOKUP(Tableau1[[#This Row],[Rénovation prévue ?]],'Données Giant'!$A$8:$A$21,'Données Giant'!$F$8:$F$21,0)</f>
        <v>0</v>
      </c>
      <c r="U19">
        <f>_xlfn.XLOOKUP(Tableau1[[#This Row],[Rénovation prévue ?]],'Données Giant'!$A$8:$A$21,'Données Giant'!$G$8:$G$21,0)</f>
        <v>0</v>
      </c>
      <c r="V19">
        <f>_xlfn.XLOOKUP(Tableau1[[#This Row],[Rénovation prévue ?]],'Données Giant'!$A$8:$A$21,'Données Giant'!$H$8:$H$21,0)</f>
        <v>0</v>
      </c>
    </row>
    <row r="20" spans="1:22" x14ac:dyDescent="0.25">
      <c r="A20" s="29">
        <f>'Encodage données'!C82</f>
        <v>0</v>
      </c>
      <c r="B20" s="29">
        <f>'Encodage données'!D82</f>
        <v>0</v>
      </c>
      <c r="C20" s="29">
        <f>'Encodage données'!E82</f>
        <v>0</v>
      </c>
      <c r="D20" s="29">
        <f>'Encodage données'!F82</f>
        <v>0</v>
      </c>
      <c r="E20" s="29">
        <f>'Encodage données'!G82</f>
        <v>0</v>
      </c>
      <c r="F20" s="29">
        <f>'Encodage données'!H82</f>
        <v>0</v>
      </c>
      <c r="G20" s="29">
        <f>'Encodage données'!J82</f>
        <v>0</v>
      </c>
      <c r="H20" s="29">
        <f>IF(OR(Tableau1[[#This Row],[Isolation actuelle]]="U connu",Tableau1[[#This Row],[Isolation actuelle]]="U connu (porte et fenêtres)"),Tableau1[[#This Row],[Si U connu de la paroi]],_xlfn.XLOOKUP(Tableau1[[#This Row],[Isolation actuelle]],'Parois types'!$B$9:$B$71,'Parois types'!$C$9:$C$71,0))</f>
        <v>0</v>
      </c>
      <c r="I20" s="29">
        <f>IF(Tableau1[[#This Row],[Rénovation prévue ?]]='Données Giant'!$A$21,Tableau1[[#This Row],[Uactuel (W/m²K)]],'Encodage données'!I82)</f>
        <v>0</v>
      </c>
      <c r="J20">
        <f>_xlfn.XLOOKUP(Tableau1[[#This Row],[Catégorie]],Tableau4[Catégories de parois],Tableau4[ai],0)</f>
        <v>0</v>
      </c>
      <c r="K20">
        <f>Tableau1[[#This Row],[aj]]*Tableau1[[#This Row],[Uactuel (W/m²K)]]*Tableau1[[#This Row],[Surface (m²)]]</f>
        <v>0</v>
      </c>
      <c r="L20">
        <f>Tableau1[[#This Row],[aj]]*Tableau1[[#This Row],[Urénové (W/m²K)]]*Tableau1[[#This Row],[Surface (m²)]]</f>
        <v>0</v>
      </c>
      <c r="M20">
        <f>_xlfn.XLOOKUP(Tableau1[[#This Row],[Isolation actuelle]],'Parois types'!$B$9:$B$71,'Parois types'!$D$9:$D$71,0)</f>
        <v>0</v>
      </c>
      <c r="N20">
        <f>IF(Tableau1[[#This Row],[Rénovation prévue ?]]='Données Giant'!$A$21,Tableau1[[#This Row],[Facteur solaire actuel]],_xlfn.XLOOKUP(Tableau1[[#This Row],[Rénovation prévue ?]],'Données Giant'!$A$8:$A$21,'Données Giant'!$B$8:$B$21,0))</f>
        <v>0</v>
      </c>
      <c r="O20">
        <f>IF(Tableau1[[#This Row],[Catégorie]]=DonnéesAutres!$A$100,235*0.5*Tableau1[[#This Row],[Facteur solaire actuel]]*Tableau1[[#This Row],[Surface (m²)]],0)</f>
        <v>0</v>
      </c>
      <c r="P20" s="71">
        <f>235*0.5*Tableau1[[#This Row],[Facteur Solaire rénové]]*Tableau1[[#This Row],[Surface (m²)]]</f>
        <v>0</v>
      </c>
      <c r="Q20" s="71">
        <f>_xlfn.XLOOKUP(Tableau1[[#This Row],[Rénovation prévue ?]],'Données Giant'!$A$8:$A$21,'Données Giant'!$C$8:$C$21,0)</f>
        <v>0</v>
      </c>
      <c r="R20" s="27">
        <f>_xlfn.XLOOKUP(Tableau1[[#This Row],[Rénovation prévue ?]],'Données Giant'!$A$8:$A$21,'Données Giant'!$D$8:$D$21,0)</f>
        <v>0</v>
      </c>
      <c r="S20">
        <f>_xlfn.XLOOKUP(Tableau1[[#This Row],[Rénovation prévue ?]],'Données Giant'!$A$8:$A$21,'Données Giant'!$E$8:$E$21,0)</f>
        <v>0</v>
      </c>
      <c r="T20">
        <f>_xlfn.XLOOKUP(Tableau1[[#This Row],[Rénovation prévue ?]],'Données Giant'!$A$8:$A$21,'Données Giant'!$F$8:$F$21,0)</f>
        <v>0</v>
      </c>
      <c r="U20">
        <f>_xlfn.XLOOKUP(Tableau1[[#This Row],[Rénovation prévue ?]],'Données Giant'!$A$8:$A$21,'Données Giant'!$G$8:$G$21,0)</f>
        <v>0</v>
      </c>
      <c r="V20">
        <f>_xlfn.XLOOKUP(Tableau1[[#This Row],[Rénovation prévue ?]],'Données Giant'!$A$8:$A$21,'Données Giant'!$H$8:$H$21,0)</f>
        <v>0</v>
      </c>
    </row>
    <row r="21" spans="1:22" x14ac:dyDescent="0.25">
      <c r="A21" s="29">
        <f>'Encodage données'!C83</f>
        <v>0</v>
      </c>
      <c r="B21" s="29">
        <f>'Encodage données'!D83</f>
        <v>0</v>
      </c>
      <c r="C21" s="29">
        <f>'Encodage données'!E83</f>
        <v>0</v>
      </c>
      <c r="D21" s="29">
        <f>'Encodage données'!F83</f>
        <v>0</v>
      </c>
      <c r="E21" s="29">
        <f>'Encodage données'!G83</f>
        <v>0</v>
      </c>
      <c r="F21" s="29">
        <f>'Encodage données'!H83</f>
        <v>0</v>
      </c>
      <c r="G21" s="29">
        <f>'Encodage données'!J83</f>
        <v>0</v>
      </c>
      <c r="H21" s="29">
        <f>IF(OR(Tableau1[[#This Row],[Isolation actuelle]]="U connu",Tableau1[[#This Row],[Isolation actuelle]]="U connu (porte et fenêtres)"),Tableau1[[#This Row],[Si U connu de la paroi]],_xlfn.XLOOKUP(Tableau1[[#This Row],[Isolation actuelle]],'Parois types'!$B$9:$B$71,'Parois types'!$C$9:$C$71,0))</f>
        <v>0</v>
      </c>
      <c r="I21" s="29">
        <f>IF(Tableau1[[#This Row],[Rénovation prévue ?]]='Données Giant'!$A$21,Tableau1[[#This Row],[Uactuel (W/m²K)]],'Encodage données'!I83)</f>
        <v>0</v>
      </c>
      <c r="J21">
        <f>_xlfn.XLOOKUP(Tableau1[[#This Row],[Catégorie]],Tableau4[Catégories de parois],Tableau4[ai],0)</f>
        <v>0</v>
      </c>
      <c r="K21">
        <f>Tableau1[[#This Row],[aj]]*Tableau1[[#This Row],[Uactuel (W/m²K)]]*Tableau1[[#This Row],[Surface (m²)]]</f>
        <v>0</v>
      </c>
      <c r="L21">
        <f>Tableau1[[#This Row],[aj]]*Tableau1[[#This Row],[Urénové (W/m²K)]]*Tableau1[[#This Row],[Surface (m²)]]</f>
        <v>0</v>
      </c>
      <c r="M21">
        <f>_xlfn.XLOOKUP(Tableau1[[#This Row],[Isolation actuelle]],'Parois types'!$B$9:$B$71,'Parois types'!$D$9:$D$71,0)</f>
        <v>0</v>
      </c>
      <c r="N21">
        <f>IF(Tableau1[[#This Row],[Rénovation prévue ?]]='Données Giant'!$A$21,Tableau1[[#This Row],[Facteur solaire actuel]],_xlfn.XLOOKUP(Tableau1[[#This Row],[Rénovation prévue ?]],'Données Giant'!$A$8:$A$21,'Données Giant'!$B$8:$B$21,0))</f>
        <v>0</v>
      </c>
      <c r="O21">
        <f>IF(Tableau1[[#This Row],[Catégorie]]=DonnéesAutres!$A$100,235*0.5*Tableau1[[#This Row],[Facteur solaire actuel]]*Tableau1[[#This Row],[Surface (m²)]],0)</f>
        <v>0</v>
      </c>
      <c r="P21" s="71">
        <f>235*0.5*Tableau1[[#This Row],[Facteur Solaire rénové]]*Tableau1[[#This Row],[Surface (m²)]]</f>
        <v>0</v>
      </c>
      <c r="Q21" s="71">
        <f>_xlfn.XLOOKUP(Tableau1[[#This Row],[Rénovation prévue ?]],'Données Giant'!$A$8:$A$21,'Données Giant'!$C$8:$C$21,0)</f>
        <v>0</v>
      </c>
      <c r="R21" s="27">
        <f>_xlfn.XLOOKUP(Tableau1[[#This Row],[Rénovation prévue ?]],'Données Giant'!$A$8:$A$21,'Données Giant'!$D$8:$D$21,0)</f>
        <v>0</v>
      </c>
      <c r="S21">
        <f>_xlfn.XLOOKUP(Tableau1[[#This Row],[Rénovation prévue ?]],'Données Giant'!$A$8:$A$21,'Données Giant'!$E$8:$E$21,0)</f>
        <v>0</v>
      </c>
      <c r="T21">
        <f>_xlfn.XLOOKUP(Tableau1[[#This Row],[Rénovation prévue ?]],'Données Giant'!$A$8:$A$21,'Données Giant'!$F$8:$F$21,0)</f>
        <v>0</v>
      </c>
      <c r="U21">
        <f>_xlfn.XLOOKUP(Tableau1[[#This Row],[Rénovation prévue ?]],'Données Giant'!$A$8:$A$21,'Données Giant'!$G$8:$G$21,0)</f>
        <v>0</v>
      </c>
      <c r="V21">
        <f>_xlfn.XLOOKUP(Tableau1[[#This Row],[Rénovation prévue ?]],'Données Giant'!$A$8:$A$21,'Données Giant'!$H$8:$H$21,0)</f>
        <v>0</v>
      </c>
    </row>
    <row r="22" spans="1:22" x14ac:dyDescent="0.25">
      <c r="A22" s="29">
        <f>'Encodage données'!C84</f>
        <v>0</v>
      </c>
      <c r="B22" s="29">
        <f>'Encodage données'!D84</f>
        <v>0</v>
      </c>
      <c r="C22" s="29">
        <f>'Encodage données'!E84</f>
        <v>0</v>
      </c>
      <c r="D22" s="29">
        <f>'Encodage données'!F84</f>
        <v>0</v>
      </c>
      <c r="E22" s="29">
        <f>'Encodage données'!G84</f>
        <v>0</v>
      </c>
      <c r="F22" s="29">
        <f>'Encodage données'!H84</f>
        <v>0</v>
      </c>
      <c r="G22" s="29">
        <f>'Encodage données'!J84</f>
        <v>0</v>
      </c>
      <c r="H22" s="29">
        <f>IF(OR(Tableau1[[#This Row],[Isolation actuelle]]="U connu",Tableau1[[#This Row],[Isolation actuelle]]="U connu (porte et fenêtres)"),Tableau1[[#This Row],[Si U connu de la paroi]],_xlfn.XLOOKUP(Tableau1[[#This Row],[Isolation actuelle]],'Parois types'!$B$9:$B$71,'Parois types'!$C$9:$C$71,0))</f>
        <v>0</v>
      </c>
      <c r="I22" s="29">
        <f>IF(Tableau1[[#This Row],[Rénovation prévue ?]]='Données Giant'!$A$21,Tableau1[[#This Row],[Uactuel (W/m²K)]],'Encodage données'!I84)</f>
        <v>0</v>
      </c>
      <c r="J22">
        <f>_xlfn.XLOOKUP(Tableau1[[#This Row],[Catégorie]],Tableau4[Catégories de parois],Tableau4[ai],0)</f>
        <v>0</v>
      </c>
      <c r="K22">
        <f>Tableau1[[#This Row],[aj]]*Tableau1[[#This Row],[Uactuel (W/m²K)]]*Tableau1[[#This Row],[Surface (m²)]]</f>
        <v>0</v>
      </c>
      <c r="L22">
        <f>Tableau1[[#This Row],[aj]]*Tableau1[[#This Row],[Urénové (W/m²K)]]*Tableau1[[#This Row],[Surface (m²)]]</f>
        <v>0</v>
      </c>
      <c r="M22">
        <f>_xlfn.XLOOKUP(Tableau1[[#This Row],[Isolation actuelle]],'Parois types'!$B$9:$B$71,'Parois types'!$D$9:$D$71,0)</f>
        <v>0</v>
      </c>
      <c r="N22">
        <f>IF(Tableau1[[#This Row],[Rénovation prévue ?]]='Données Giant'!$A$21,Tableau1[[#This Row],[Facteur solaire actuel]],_xlfn.XLOOKUP(Tableau1[[#This Row],[Rénovation prévue ?]],'Données Giant'!$A$8:$A$21,'Données Giant'!$B$8:$B$21,0))</f>
        <v>0</v>
      </c>
      <c r="O22">
        <f>IF(Tableau1[[#This Row],[Catégorie]]=DonnéesAutres!$A$100,235*0.5*Tableau1[[#This Row],[Facteur solaire actuel]]*Tableau1[[#This Row],[Surface (m²)]],0)</f>
        <v>0</v>
      </c>
      <c r="P22" s="71">
        <f>235*0.5*Tableau1[[#This Row],[Facteur Solaire rénové]]*Tableau1[[#This Row],[Surface (m²)]]</f>
        <v>0</v>
      </c>
      <c r="Q22" s="71">
        <f>_xlfn.XLOOKUP(Tableau1[[#This Row],[Rénovation prévue ?]],'Données Giant'!$A$8:$A$21,'Données Giant'!$C$8:$C$21,0)</f>
        <v>0</v>
      </c>
      <c r="R22" s="27">
        <f>_xlfn.XLOOKUP(Tableau1[[#This Row],[Rénovation prévue ?]],'Données Giant'!$A$8:$A$21,'Données Giant'!$D$8:$D$21,0)</f>
        <v>0</v>
      </c>
      <c r="S22">
        <f>_xlfn.XLOOKUP(Tableau1[[#This Row],[Rénovation prévue ?]],'Données Giant'!$A$8:$A$21,'Données Giant'!$E$8:$E$21,0)</f>
        <v>0</v>
      </c>
      <c r="T22">
        <f>_xlfn.XLOOKUP(Tableau1[[#This Row],[Rénovation prévue ?]],'Données Giant'!$A$8:$A$21,'Données Giant'!$F$8:$F$21,0)</f>
        <v>0</v>
      </c>
      <c r="U22">
        <f>_xlfn.XLOOKUP(Tableau1[[#This Row],[Rénovation prévue ?]],'Données Giant'!$A$8:$A$21,'Données Giant'!$G$8:$G$21,0)</f>
        <v>0</v>
      </c>
      <c r="V22">
        <f>_xlfn.XLOOKUP(Tableau1[[#This Row],[Rénovation prévue ?]],'Données Giant'!$A$8:$A$21,'Données Giant'!$H$8:$H$21,0)</f>
        <v>0</v>
      </c>
    </row>
    <row r="23" spans="1:22" x14ac:dyDescent="0.25">
      <c r="A23" s="29">
        <f>'Encodage données'!C85</f>
        <v>0</v>
      </c>
      <c r="B23" s="29">
        <f>'Encodage données'!D85</f>
        <v>0</v>
      </c>
      <c r="C23" s="29">
        <f>'Encodage données'!E85</f>
        <v>0</v>
      </c>
      <c r="D23" s="29">
        <f>'Encodage données'!F85</f>
        <v>0</v>
      </c>
      <c r="E23" s="29">
        <f>'Encodage données'!G85</f>
        <v>0</v>
      </c>
      <c r="F23" s="29">
        <f>'Encodage données'!H85</f>
        <v>0</v>
      </c>
      <c r="G23" s="29">
        <f>'Encodage données'!J85</f>
        <v>0</v>
      </c>
      <c r="H23" s="29">
        <f>IF(OR(Tableau1[[#This Row],[Isolation actuelle]]="U connu",Tableau1[[#This Row],[Isolation actuelle]]="U connu (porte et fenêtres)"),Tableau1[[#This Row],[Si U connu de la paroi]],_xlfn.XLOOKUP(Tableau1[[#This Row],[Isolation actuelle]],'Parois types'!$B$9:$B$71,'Parois types'!$C$9:$C$71,0))</f>
        <v>0</v>
      </c>
      <c r="I23" s="29">
        <f>IF(Tableau1[[#This Row],[Rénovation prévue ?]]='Données Giant'!$A$21,Tableau1[[#This Row],[Uactuel (W/m²K)]],'Encodage données'!I85)</f>
        <v>0</v>
      </c>
      <c r="J23">
        <f>_xlfn.XLOOKUP(Tableau1[[#This Row],[Catégorie]],Tableau4[Catégories de parois],Tableau4[ai],0)</f>
        <v>0</v>
      </c>
      <c r="K23">
        <f>Tableau1[[#This Row],[aj]]*Tableau1[[#This Row],[Uactuel (W/m²K)]]*Tableau1[[#This Row],[Surface (m²)]]</f>
        <v>0</v>
      </c>
      <c r="L23">
        <f>Tableau1[[#This Row],[aj]]*Tableau1[[#This Row],[Urénové (W/m²K)]]*Tableau1[[#This Row],[Surface (m²)]]</f>
        <v>0</v>
      </c>
      <c r="M23">
        <f>_xlfn.XLOOKUP(Tableau1[[#This Row],[Isolation actuelle]],'Parois types'!$B$9:$B$71,'Parois types'!$D$9:$D$71,0)</f>
        <v>0</v>
      </c>
      <c r="N23">
        <f>IF(Tableau1[[#This Row],[Rénovation prévue ?]]='Données Giant'!$A$21,Tableau1[[#This Row],[Facteur solaire actuel]],_xlfn.XLOOKUP(Tableau1[[#This Row],[Rénovation prévue ?]],'Données Giant'!$A$8:$A$21,'Données Giant'!$B$8:$B$21,0))</f>
        <v>0</v>
      </c>
      <c r="O23">
        <f>IF(Tableau1[[#This Row],[Catégorie]]=DonnéesAutres!$A$100,235*0.5*Tableau1[[#This Row],[Facteur solaire actuel]]*Tableau1[[#This Row],[Surface (m²)]],0)</f>
        <v>0</v>
      </c>
      <c r="P23" s="71">
        <f>235*0.5*Tableau1[[#This Row],[Facteur Solaire rénové]]*Tableau1[[#This Row],[Surface (m²)]]</f>
        <v>0</v>
      </c>
      <c r="Q23" s="71">
        <f>_xlfn.XLOOKUP(Tableau1[[#This Row],[Rénovation prévue ?]],'Données Giant'!$A$8:$A$21,'Données Giant'!$C$8:$C$21,0)</f>
        <v>0</v>
      </c>
      <c r="R23" s="27">
        <f>_xlfn.XLOOKUP(Tableau1[[#This Row],[Rénovation prévue ?]],'Données Giant'!$A$8:$A$21,'Données Giant'!$D$8:$D$21,0)</f>
        <v>0</v>
      </c>
      <c r="S23">
        <f>_xlfn.XLOOKUP(Tableau1[[#This Row],[Rénovation prévue ?]],'Données Giant'!$A$8:$A$21,'Données Giant'!$E$8:$E$21,0)</f>
        <v>0</v>
      </c>
      <c r="T23">
        <f>_xlfn.XLOOKUP(Tableau1[[#This Row],[Rénovation prévue ?]],'Données Giant'!$A$8:$A$21,'Données Giant'!$F$8:$F$21,0)</f>
        <v>0</v>
      </c>
      <c r="U23">
        <f>_xlfn.XLOOKUP(Tableau1[[#This Row],[Rénovation prévue ?]],'Données Giant'!$A$8:$A$21,'Données Giant'!$G$8:$G$21,0)</f>
        <v>0</v>
      </c>
      <c r="V23">
        <f>_xlfn.XLOOKUP(Tableau1[[#This Row],[Rénovation prévue ?]],'Données Giant'!$A$8:$A$21,'Données Giant'!$H$8:$H$21,0)</f>
        <v>0</v>
      </c>
    </row>
    <row r="24" spans="1:22" x14ac:dyDescent="0.25">
      <c r="A24" s="29">
        <f>'Encodage données'!C86</f>
        <v>0</v>
      </c>
      <c r="B24" s="29">
        <f>'Encodage données'!D86</f>
        <v>0</v>
      </c>
      <c r="C24" s="29">
        <f>'Encodage données'!E86</f>
        <v>0</v>
      </c>
      <c r="D24" s="29">
        <f>'Encodage données'!F86</f>
        <v>0</v>
      </c>
      <c r="E24" s="29">
        <f>'Encodage données'!G86</f>
        <v>0</v>
      </c>
      <c r="F24" s="29">
        <f>'Encodage données'!H86</f>
        <v>0</v>
      </c>
      <c r="G24" s="29">
        <f>'Encodage données'!J86</f>
        <v>0</v>
      </c>
      <c r="H24" s="29">
        <f>IF(OR(Tableau1[[#This Row],[Isolation actuelle]]="U connu",Tableau1[[#This Row],[Isolation actuelle]]="U connu (porte et fenêtres)"),Tableau1[[#This Row],[Si U connu de la paroi]],_xlfn.XLOOKUP(Tableau1[[#This Row],[Isolation actuelle]],'Parois types'!$B$9:$B$71,'Parois types'!$C$9:$C$71,0))</f>
        <v>0</v>
      </c>
      <c r="I24" s="29">
        <f>IF(Tableau1[[#This Row],[Rénovation prévue ?]]='Données Giant'!$A$21,Tableau1[[#This Row],[Uactuel (W/m²K)]],'Encodage données'!I86)</f>
        <v>0</v>
      </c>
      <c r="J24">
        <f>_xlfn.XLOOKUP(Tableau1[[#This Row],[Catégorie]],Tableau4[Catégories de parois],Tableau4[ai],0)</f>
        <v>0</v>
      </c>
      <c r="K24">
        <f>Tableau1[[#This Row],[aj]]*Tableau1[[#This Row],[Uactuel (W/m²K)]]*Tableau1[[#This Row],[Surface (m²)]]</f>
        <v>0</v>
      </c>
      <c r="L24">
        <f>Tableau1[[#This Row],[aj]]*Tableau1[[#This Row],[Urénové (W/m²K)]]*Tableau1[[#This Row],[Surface (m²)]]</f>
        <v>0</v>
      </c>
      <c r="M24">
        <f>_xlfn.XLOOKUP(Tableau1[[#This Row],[Isolation actuelle]],'Parois types'!$B$9:$B$71,'Parois types'!$D$9:$D$71,0)</f>
        <v>0</v>
      </c>
      <c r="N24">
        <f>IF(Tableau1[[#This Row],[Rénovation prévue ?]]='Données Giant'!$A$21,Tableau1[[#This Row],[Facteur solaire actuel]],_xlfn.XLOOKUP(Tableau1[[#This Row],[Rénovation prévue ?]],'Données Giant'!$A$8:$A$21,'Données Giant'!$B$8:$B$21,0))</f>
        <v>0</v>
      </c>
      <c r="O24">
        <f>IF(Tableau1[[#This Row],[Catégorie]]=DonnéesAutres!$A$100,235*0.5*Tableau1[[#This Row],[Facteur solaire actuel]]*Tableau1[[#This Row],[Surface (m²)]],0)</f>
        <v>0</v>
      </c>
      <c r="P24" s="71">
        <f>235*0.5*Tableau1[[#This Row],[Facteur Solaire rénové]]*Tableau1[[#This Row],[Surface (m²)]]</f>
        <v>0</v>
      </c>
      <c r="Q24" s="71">
        <f>_xlfn.XLOOKUP(Tableau1[[#This Row],[Rénovation prévue ?]],'Données Giant'!$A$8:$A$21,'Données Giant'!$C$8:$C$21,0)</f>
        <v>0</v>
      </c>
      <c r="R24" s="27">
        <f>_xlfn.XLOOKUP(Tableau1[[#This Row],[Rénovation prévue ?]],'Données Giant'!$A$8:$A$21,'Données Giant'!$D$8:$D$21,0)</f>
        <v>0</v>
      </c>
      <c r="S24">
        <f>_xlfn.XLOOKUP(Tableau1[[#This Row],[Rénovation prévue ?]],'Données Giant'!$A$8:$A$21,'Données Giant'!$E$8:$E$21,0)</f>
        <v>0</v>
      </c>
      <c r="T24">
        <f>_xlfn.XLOOKUP(Tableau1[[#This Row],[Rénovation prévue ?]],'Données Giant'!$A$8:$A$21,'Données Giant'!$F$8:$F$21,0)</f>
        <v>0</v>
      </c>
      <c r="U24">
        <f>_xlfn.XLOOKUP(Tableau1[[#This Row],[Rénovation prévue ?]],'Données Giant'!$A$8:$A$21,'Données Giant'!$G$8:$G$21,0)</f>
        <v>0</v>
      </c>
      <c r="V24">
        <f>_xlfn.XLOOKUP(Tableau1[[#This Row],[Rénovation prévue ?]],'Données Giant'!$A$8:$A$21,'Données Giant'!$H$8:$H$21,0)</f>
        <v>0</v>
      </c>
    </row>
    <row r="25" spans="1:22" x14ac:dyDescent="0.25">
      <c r="A25" s="29">
        <f>'Encodage données'!C87</f>
        <v>0</v>
      </c>
      <c r="B25" s="29">
        <f>'Encodage données'!D87</f>
        <v>0</v>
      </c>
      <c r="C25" s="29">
        <f>'Encodage données'!E87</f>
        <v>0</v>
      </c>
      <c r="D25" s="29">
        <f>'Encodage données'!F87</f>
        <v>0</v>
      </c>
      <c r="E25" s="29">
        <f>'Encodage données'!G87</f>
        <v>0</v>
      </c>
      <c r="F25" s="29">
        <f>'Encodage données'!H87</f>
        <v>0</v>
      </c>
      <c r="G25" s="29">
        <f>'Encodage données'!J87</f>
        <v>0</v>
      </c>
      <c r="H25" s="29">
        <f>IF(OR(Tableau1[[#This Row],[Isolation actuelle]]="U connu",Tableau1[[#This Row],[Isolation actuelle]]="U connu (porte et fenêtres)"),Tableau1[[#This Row],[Si U connu de la paroi]],_xlfn.XLOOKUP(Tableau1[[#This Row],[Isolation actuelle]],'Parois types'!$B$9:$B$71,'Parois types'!$C$9:$C$71,0))</f>
        <v>0</v>
      </c>
      <c r="I25" s="29">
        <f>IF(Tableau1[[#This Row],[Rénovation prévue ?]]='Données Giant'!$A$21,Tableau1[[#This Row],[Uactuel (W/m²K)]],'Encodage données'!I87)</f>
        <v>0</v>
      </c>
      <c r="J25">
        <f>_xlfn.XLOOKUP(Tableau1[[#This Row],[Catégorie]],Tableau4[Catégories de parois],Tableau4[ai],0)</f>
        <v>0</v>
      </c>
      <c r="K25">
        <f>Tableau1[[#This Row],[aj]]*Tableau1[[#This Row],[Uactuel (W/m²K)]]*Tableau1[[#This Row],[Surface (m²)]]</f>
        <v>0</v>
      </c>
      <c r="L25">
        <f>Tableau1[[#This Row],[aj]]*Tableau1[[#This Row],[Urénové (W/m²K)]]*Tableau1[[#This Row],[Surface (m²)]]</f>
        <v>0</v>
      </c>
      <c r="M25">
        <f>_xlfn.XLOOKUP(Tableau1[[#This Row],[Isolation actuelle]],'Parois types'!$B$9:$B$71,'Parois types'!$D$9:$D$71,0)</f>
        <v>0</v>
      </c>
      <c r="N25">
        <f>IF(Tableau1[[#This Row],[Rénovation prévue ?]]='Données Giant'!$A$21,Tableau1[[#This Row],[Facteur solaire actuel]],_xlfn.XLOOKUP(Tableau1[[#This Row],[Rénovation prévue ?]],'Données Giant'!$A$8:$A$21,'Données Giant'!$B$8:$B$21,0))</f>
        <v>0</v>
      </c>
      <c r="O25">
        <f>IF(Tableau1[[#This Row],[Catégorie]]=DonnéesAutres!$A$100,235*0.5*Tableau1[[#This Row],[Facteur solaire actuel]]*Tableau1[[#This Row],[Surface (m²)]],0)</f>
        <v>0</v>
      </c>
      <c r="P25" s="71">
        <f>235*0.5*Tableau1[[#This Row],[Facteur Solaire rénové]]*Tableau1[[#This Row],[Surface (m²)]]</f>
        <v>0</v>
      </c>
      <c r="Q25" s="71">
        <f>_xlfn.XLOOKUP(Tableau1[[#This Row],[Rénovation prévue ?]],'Données Giant'!$A$8:$A$21,'Données Giant'!$C$8:$C$21,0)</f>
        <v>0</v>
      </c>
      <c r="R25" s="27">
        <f>_xlfn.XLOOKUP(Tableau1[[#This Row],[Rénovation prévue ?]],'Données Giant'!$A$8:$A$21,'Données Giant'!$D$8:$D$21,0)</f>
        <v>0</v>
      </c>
      <c r="S25">
        <f>_xlfn.XLOOKUP(Tableau1[[#This Row],[Rénovation prévue ?]],'Données Giant'!$A$8:$A$21,'Données Giant'!$E$8:$E$21,0)</f>
        <v>0</v>
      </c>
      <c r="T25">
        <f>_xlfn.XLOOKUP(Tableau1[[#This Row],[Rénovation prévue ?]],'Données Giant'!$A$8:$A$21,'Données Giant'!$F$8:$F$21,0)</f>
        <v>0</v>
      </c>
      <c r="U25">
        <f>_xlfn.XLOOKUP(Tableau1[[#This Row],[Rénovation prévue ?]],'Données Giant'!$A$8:$A$21,'Données Giant'!$G$8:$G$21,0)</f>
        <v>0</v>
      </c>
      <c r="V25">
        <f>_xlfn.XLOOKUP(Tableau1[[#This Row],[Rénovation prévue ?]],'Données Giant'!$A$8:$A$21,'Données Giant'!$H$8:$H$21,0)</f>
        <v>0</v>
      </c>
    </row>
    <row r="26" spans="1:22" x14ac:dyDescent="0.25">
      <c r="A26" s="29">
        <f>'Encodage données'!C88</f>
        <v>0</v>
      </c>
      <c r="B26" s="29">
        <f>'Encodage données'!D88</f>
        <v>0</v>
      </c>
      <c r="C26" s="29">
        <f>'Encodage données'!E88</f>
        <v>0</v>
      </c>
      <c r="D26" s="29">
        <f>'Encodage données'!F88</f>
        <v>0</v>
      </c>
      <c r="E26" s="29">
        <f>'Encodage données'!G88</f>
        <v>0</v>
      </c>
      <c r="F26" s="29">
        <f>'Encodage données'!H88</f>
        <v>0</v>
      </c>
      <c r="G26" s="29">
        <f>'Encodage données'!J88</f>
        <v>0</v>
      </c>
      <c r="H26" s="29">
        <f>IF(OR(Tableau1[[#This Row],[Isolation actuelle]]="U connu",Tableau1[[#This Row],[Isolation actuelle]]="U connu (porte et fenêtres)"),Tableau1[[#This Row],[Si U connu de la paroi]],_xlfn.XLOOKUP(Tableau1[[#This Row],[Isolation actuelle]],'Parois types'!$B$9:$B$71,'Parois types'!$C$9:$C$71,0))</f>
        <v>0</v>
      </c>
      <c r="I26" s="29">
        <f>IF(Tableau1[[#This Row],[Rénovation prévue ?]]='Données Giant'!$A$21,Tableau1[[#This Row],[Uactuel (W/m²K)]],'Encodage données'!I88)</f>
        <v>0</v>
      </c>
      <c r="J26">
        <f>_xlfn.XLOOKUP(Tableau1[[#This Row],[Catégorie]],Tableau4[Catégories de parois],Tableau4[ai],0)</f>
        <v>0</v>
      </c>
      <c r="K26">
        <f>Tableau1[[#This Row],[aj]]*Tableau1[[#This Row],[Uactuel (W/m²K)]]*Tableau1[[#This Row],[Surface (m²)]]</f>
        <v>0</v>
      </c>
      <c r="L26">
        <f>Tableau1[[#This Row],[aj]]*Tableau1[[#This Row],[Urénové (W/m²K)]]*Tableau1[[#This Row],[Surface (m²)]]</f>
        <v>0</v>
      </c>
      <c r="M26">
        <f>_xlfn.XLOOKUP(Tableau1[[#This Row],[Isolation actuelle]],'Parois types'!$B$9:$B$71,'Parois types'!$D$9:$D$71,0)</f>
        <v>0</v>
      </c>
      <c r="N26">
        <f>IF(Tableau1[[#This Row],[Rénovation prévue ?]]='Données Giant'!$A$21,Tableau1[[#This Row],[Facteur solaire actuel]],_xlfn.XLOOKUP(Tableau1[[#This Row],[Rénovation prévue ?]],'Données Giant'!$A$8:$A$21,'Données Giant'!$B$8:$B$21,0))</f>
        <v>0</v>
      </c>
      <c r="O26">
        <f>IF(Tableau1[[#This Row],[Catégorie]]=DonnéesAutres!$A$100,235*0.5*Tableau1[[#This Row],[Facteur solaire actuel]]*Tableau1[[#This Row],[Surface (m²)]],0)</f>
        <v>0</v>
      </c>
      <c r="P26" s="71">
        <f>235*0.5*Tableau1[[#This Row],[Facteur Solaire rénové]]*Tableau1[[#This Row],[Surface (m²)]]</f>
        <v>0</v>
      </c>
      <c r="Q26" s="71">
        <f>_xlfn.XLOOKUP(Tableau1[[#This Row],[Rénovation prévue ?]],'Données Giant'!$A$8:$A$21,'Données Giant'!$C$8:$C$21,0)</f>
        <v>0</v>
      </c>
      <c r="R26" s="27">
        <f>_xlfn.XLOOKUP(Tableau1[[#This Row],[Rénovation prévue ?]],'Données Giant'!$A$8:$A$21,'Données Giant'!$D$8:$D$21,0)</f>
        <v>0</v>
      </c>
      <c r="S26">
        <f>_xlfn.XLOOKUP(Tableau1[[#This Row],[Rénovation prévue ?]],'Données Giant'!$A$8:$A$21,'Données Giant'!$E$8:$E$21,0)</f>
        <v>0</v>
      </c>
      <c r="T26">
        <f>_xlfn.XLOOKUP(Tableau1[[#This Row],[Rénovation prévue ?]],'Données Giant'!$A$8:$A$21,'Données Giant'!$F$8:$F$21,0)</f>
        <v>0</v>
      </c>
      <c r="U26">
        <f>_xlfn.XLOOKUP(Tableau1[[#This Row],[Rénovation prévue ?]],'Données Giant'!$A$8:$A$21,'Données Giant'!$G$8:$G$21,0)</f>
        <v>0</v>
      </c>
      <c r="V26">
        <f>_xlfn.XLOOKUP(Tableau1[[#This Row],[Rénovation prévue ?]],'Données Giant'!$A$8:$A$21,'Données Giant'!$H$8:$H$21,0)</f>
        <v>0</v>
      </c>
    </row>
    <row r="27" spans="1:22" x14ac:dyDescent="0.25">
      <c r="A27" s="29">
        <f>'Encodage données'!C89</f>
        <v>0</v>
      </c>
      <c r="B27" s="29">
        <f>'Encodage données'!D89</f>
        <v>0</v>
      </c>
      <c r="C27" s="29">
        <f>'Encodage données'!E89</f>
        <v>0</v>
      </c>
      <c r="D27" s="29">
        <f>'Encodage données'!F89</f>
        <v>0</v>
      </c>
      <c r="E27" s="29">
        <f>'Encodage données'!G89</f>
        <v>0</v>
      </c>
      <c r="F27" s="29">
        <f>'Encodage données'!H89</f>
        <v>0</v>
      </c>
      <c r="G27" s="29">
        <f>'Encodage données'!J89</f>
        <v>0</v>
      </c>
      <c r="H27" s="29">
        <f>IF(OR(Tableau1[[#This Row],[Isolation actuelle]]="U connu",Tableau1[[#This Row],[Isolation actuelle]]="U connu (porte et fenêtres)"),Tableau1[[#This Row],[Si U connu de la paroi]],_xlfn.XLOOKUP(Tableau1[[#This Row],[Isolation actuelle]],'Parois types'!$B$9:$B$71,'Parois types'!$C$9:$C$71,0))</f>
        <v>0</v>
      </c>
      <c r="I27" s="29">
        <f>IF(Tableau1[[#This Row],[Rénovation prévue ?]]='Données Giant'!$A$21,Tableau1[[#This Row],[Uactuel (W/m²K)]],'Encodage données'!I89)</f>
        <v>0</v>
      </c>
      <c r="J27">
        <f>_xlfn.XLOOKUP(Tableau1[[#This Row],[Catégorie]],Tableau4[Catégories de parois],Tableau4[ai],0)</f>
        <v>0</v>
      </c>
      <c r="K27">
        <f>Tableau1[[#This Row],[aj]]*Tableau1[[#This Row],[Uactuel (W/m²K)]]*Tableau1[[#This Row],[Surface (m²)]]</f>
        <v>0</v>
      </c>
      <c r="L27">
        <f>Tableau1[[#This Row],[aj]]*Tableau1[[#This Row],[Urénové (W/m²K)]]*Tableau1[[#This Row],[Surface (m²)]]</f>
        <v>0</v>
      </c>
      <c r="M27">
        <f>_xlfn.XLOOKUP(Tableau1[[#This Row],[Isolation actuelle]],'Parois types'!$B$9:$B$71,'Parois types'!$D$9:$D$71,0)</f>
        <v>0</v>
      </c>
      <c r="N27">
        <f>IF(Tableau1[[#This Row],[Rénovation prévue ?]]='Données Giant'!$A$21,Tableau1[[#This Row],[Facteur solaire actuel]],_xlfn.XLOOKUP(Tableau1[[#This Row],[Rénovation prévue ?]],'Données Giant'!$A$8:$A$21,'Données Giant'!$B$8:$B$21,0))</f>
        <v>0</v>
      </c>
      <c r="O27">
        <f>IF(Tableau1[[#This Row],[Catégorie]]=DonnéesAutres!$A$100,235*0.5*Tableau1[[#This Row],[Facteur solaire actuel]]*Tableau1[[#This Row],[Surface (m²)]],0)</f>
        <v>0</v>
      </c>
      <c r="P27" s="71">
        <f>235*0.5*Tableau1[[#This Row],[Facteur Solaire rénové]]*Tableau1[[#This Row],[Surface (m²)]]</f>
        <v>0</v>
      </c>
      <c r="Q27" s="71">
        <f>_xlfn.XLOOKUP(Tableau1[[#This Row],[Rénovation prévue ?]],'Données Giant'!$A$8:$A$21,'Données Giant'!$C$8:$C$21,0)</f>
        <v>0</v>
      </c>
      <c r="R27" s="27">
        <f>_xlfn.XLOOKUP(Tableau1[[#This Row],[Rénovation prévue ?]],'Données Giant'!$A$8:$A$21,'Données Giant'!$D$8:$D$21,0)</f>
        <v>0</v>
      </c>
      <c r="S27">
        <f>_xlfn.XLOOKUP(Tableau1[[#This Row],[Rénovation prévue ?]],'Données Giant'!$A$8:$A$21,'Données Giant'!$E$8:$E$21,0)</f>
        <v>0</v>
      </c>
      <c r="T27">
        <f>_xlfn.XLOOKUP(Tableau1[[#This Row],[Rénovation prévue ?]],'Données Giant'!$A$8:$A$21,'Données Giant'!$F$8:$F$21,0)</f>
        <v>0</v>
      </c>
      <c r="U27">
        <f>_xlfn.XLOOKUP(Tableau1[[#This Row],[Rénovation prévue ?]],'Données Giant'!$A$8:$A$21,'Données Giant'!$G$8:$G$21,0)</f>
        <v>0</v>
      </c>
      <c r="V27">
        <f>_xlfn.XLOOKUP(Tableau1[[#This Row],[Rénovation prévue ?]],'Données Giant'!$A$8:$A$21,'Données Giant'!$H$8:$H$21,0)</f>
        <v>0</v>
      </c>
    </row>
    <row r="28" spans="1:22" x14ac:dyDescent="0.25">
      <c r="A28" s="29">
        <f>'Encodage données'!C90</f>
        <v>0</v>
      </c>
      <c r="B28" s="29">
        <f>'Encodage données'!D90</f>
        <v>0</v>
      </c>
      <c r="C28" s="29">
        <f>'Encodage données'!E90</f>
        <v>0</v>
      </c>
      <c r="D28" s="29">
        <f>'Encodage données'!F90</f>
        <v>0</v>
      </c>
      <c r="E28" s="29">
        <f>'Encodage données'!G90</f>
        <v>0</v>
      </c>
      <c r="F28" s="29">
        <f>'Encodage données'!H90</f>
        <v>0</v>
      </c>
      <c r="G28" s="29">
        <f>'Encodage données'!J90</f>
        <v>0</v>
      </c>
      <c r="H28" s="29">
        <f>IF(OR(Tableau1[[#This Row],[Isolation actuelle]]="U connu",Tableau1[[#This Row],[Isolation actuelle]]="U connu (porte et fenêtres)"),Tableau1[[#This Row],[Si U connu de la paroi]],_xlfn.XLOOKUP(Tableau1[[#This Row],[Isolation actuelle]],'Parois types'!$B$9:$B$71,'Parois types'!$C$9:$C$71,0))</f>
        <v>0</v>
      </c>
      <c r="I28" s="29">
        <f>IF(Tableau1[[#This Row],[Rénovation prévue ?]]='Données Giant'!$A$21,Tableau1[[#This Row],[Uactuel (W/m²K)]],'Encodage données'!I90)</f>
        <v>0</v>
      </c>
      <c r="J28">
        <f>_xlfn.XLOOKUP(Tableau1[[#This Row],[Catégorie]],Tableau4[Catégories de parois],Tableau4[ai],0)</f>
        <v>0</v>
      </c>
      <c r="K28">
        <f>Tableau1[[#This Row],[aj]]*Tableau1[[#This Row],[Uactuel (W/m²K)]]*Tableau1[[#This Row],[Surface (m²)]]</f>
        <v>0</v>
      </c>
      <c r="L28">
        <f>Tableau1[[#This Row],[aj]]*Tableau1[[#This Row],[Urénové (W/m²K)]]*Tableau1[[#This Row],[Surface (m²)]]</f>
        <v>0</v>
      </c>
      <c r="M28">
        <f>_xlfn.XLOOKUP(Tableau1[[#This Row],[Isolation actuelle]],'Parois types'!$B$9:$B$71,'Parois types'!$D$9:$D$71,0)</f>
        <v>0</v>
      </c>
      <c r="N28">
        <f>IF(Tableau1[[#This Row],[Rénovation prévue ?]]='Données Giant'!$A$21,Tableau1[[#This Row],[Facteur solaire actuel]],_xlfn.XLOOKUP(Tableau1[[#This Row],[Rénovation prévue ?]],'Données Giant'!$A$8:$A$21,'Données Giant'!$B$8:$B$21,0))</f>
        <v>0</v>
      </c>
      <c r="O28">
        <f>IF(Tableau1[[#This Row],[Catégorie]]=DonnéesAutres!$A$100,235*0.5*Tableau1[[#This Row],[Facteur solaire actuel]]*Tableau1[[#This Row],[Surface (m²)]],0)</f>
        <v>0</v>
      </c>
      <c r="P28" s="71">
        <f>235*0.5*Tableau1[[#This Row],[Facteur Solaire rénové]]*Tableau1[[#This Row],[Surface (m²)]]</f>
        <v>0</v>
      </c>
      <c r="Q28" s="71">
        <f>_xlfn.XLOOKUP(Tableau1[[#This Row],[Rénovation prévue ?]],'Données Giant'!$A$8:$A$21,'Données Giant'!$C$8:$C$21,0)</f>
        <v>0</v>
      </c>
      <c r="R28" s="27">
        <f>_xlfn.XLOOKUP(Tableau1[[#This Row],[Rénovation prévue ?]],'Données Giant'!$A$8:$A$21,'Données Giant'!$D$8:$D$21,0)</f>
        <v>0</v>
      </c>
      <c r="S28">
        <f>_xlfn.XLOOKUP(Tableau1[[#This Row],[Rénovation prévue ?]],'Données Giant'!$A$8:$A$21,'Données Giant'!$E$8:$E$21,0)</f>
        <v>0</v>
      </c>
      <c r="T28">
        <f>_xlfn.XLOOKUP(Tableau1[[#This Row],[Rénovation prévue ?]],'Données Giant'!$A$8:$A$21,'Données Giant'!$F$8:$F$21,0)</f>
        <v>0</v>
      </c>
      <c r="U28">
        <f>_xlfn.XLOOKUP(Tableau1[[#This Row],[Rénovation prévue ?]],'Données Giant'!$A$8:$A$21,'Données Giant'!$G$8:$G$21,0)</f>
        <v>0</v>
      </c>
      <c r="V28">
        <f>_xlfn.XLOOKUP(Tableau1[[#This Row],[Rénovation prévue ?]],'Données Giant'!$A$8:$A$21,'Données Giant'!$H$8:$H$21,0)</f>
        <v>0</v>
      </c>
    </row>
    <row r="29" spans="1:22" x14ac:dyDescent="0.25">
      <c r="A29" s="29">
        <f>'Encodage données'!C91</f>
        <v>0</v>
      </c>
      <c r="B29" s="29">
        <f>'Encodage données'!D91</f>
        <v>0</v>
      </c>
      <c r="C29" s="29">
        <f>'Encodage données'!E91</f>
        <v>0</v>
      </c>
      <c r="D29" s="29">
        <f>'Encodage données'!F91</f>
        <v>0</v>
      </c>
      <c r="E29" s="29">
        <f>'Encodage données'!G91</f>
        <v>0</v>
      </c>
      <c r="F29" s="29">
        <f>'Encodage données'!H91</f>
        <v>0</v>
      </c>
      <c r="G29" s="29">
        <f>'Encodage données'!J91</f>
        <v>0</v>
      </c>
      <c r="H29" s="29">
        <f>IF(OR(Tableau1[[#This Row],[Isolation actuelle]]="U connu",Tableau1[[#This Row],[Isolation actuelle]]="U connu (porte et fenêtres)"),Tableau1[[#This Row],[Si U connu de la paroi]],_xlfn.XLOOKUP(Tableau1[[#This Row],[Isolation actuelle]],'Parois types'!$B$9:$B$71,'Parois types'!$C$9:$C$71,0))</f>
        <v>0</v>
      </c>
      <c r="I29" s="29">
        <f>IF(Tableau1[[#This Row],[Rénovation prévue ?]]='Données Giant'!$A$21,Tableau1[[#This Row],[Uactuel (W/m²K)]],'Encodage données'!I91)</f>
        <v>0</v>
      </c>
      <c r="J29">
        <f>_xlfn.XLOOKUP(Tableau1[[#This Row],[Catégorie]],Tableau4[Catégories de parois],Tableau4[ai],0)</f>
        <v>0</v>
      </c>
      <c r="K29">
        <f>Tableau1[[#This Row],[aj]]*Tableau1[[#This Row],[Uactuel (W/m²K)]]*Tableau1[[#This Row],[Surface (m²)]]</f>
        <v>0</v>
      </c>
      <c r="L29">
        <f>Tableau1[[#This Row],[aj]]*Tableau1[[#This Row],[Urénové (W/m²K)]]*Tableau1[[#This Row],[Surface (m²)]]</f>
        <v>0</v>
      </c>
      <c r="M29">
        <f>_xlfn.XLOOKUP(Tableau1[[#This Row],[Isolation actuelle]],'Parois types'!$B$9:$B$71,'Parois types'!$D$9:$D$71,0)</f>
        <v>0</v>
      </c>
      <c r="N29">
        <f>IF(Tableau1[[#This Row],[Rénovation prévue ?]]='Données Giant'!$A$21,Tableau1[[#This Row],[Facteur solaire actuel]],_xlfn.XLOOKUP(Tableau1[[#This Row],[Rénovation prévue ?]],'Données Giant'!$A$8:$A$21,'Données Giant'!$B$8:$B$21,0))</f>
        <v>0</v>
      </c>
      <c r="O29">
        <f>IF(Tableau1[[#This Row],[Catégorie]]=DonnéesAutres!$A$100,235*0.5*Tableau1[[#This Row],[Facteur solaire actuel]]*Tableau1[[#This Row],[Surface (m²)]],0)</f>
        <v>0</v>
      </c>
      <c r="P29" s="71">
        <f>235*0.5*Tableau1[[#This Row],[Facteur Solaire rénové]]*Tableau1[[#This Row],[Surface (m²)]]</f>
        <v>0</v>
      </c>
      <c r="Q29" s="71">
        <f>_xlfn.XLOOKUP(Tableau1[[#This Row],[Rénovation prévue ?]],'Données Giant'!$A$8:$A$21,'Données Giant'!$C$8:$C$21,0)</f>
        <v>0</v>
      </c>
      <c r="R29" s="27">
        <f>_xlfn.XLOOKUP(Tableau1[[#This Row],[Rénovation prévue ?]],'Données Giant'!$A$8:$A$21,'Données Giant'!$D$8:$D$21,0)</f>
        <v>0</v>
      </c>
      <c r="S29">
        <f>_xlfn.XLOOKUP(Tableau1[[#This Row],[Rénovation prévue ?]],'Données Giant'!$A$8:$A$21,'Données Giant'!$E$8:$E$21,0)</f>
        <v>0</v>
      </c>
      <c r="T29">
        <f>_xlfn.XLOOKUP(Tableau1[[#This Row],[Rénovation prévue ?]],'Données Giant'!$A$8:$A$21,'Données Giant'!$F$8:$F$21,0)</f>
        <v>0</v>
      </c>
      <c r="U29">
        <f>_xlfn.XLOOKUP(Tableau1[[#This Row],[Rénovation prévue ?]],'Données Giant'!$A$8:$A$21,'Données Giant'!$G$8:$G$21,0)</f>
        <v>0</v>
      </c>
      <c r="V29">
        <f>_xlfn.XLOOKUP(Tableau1[[#This Row],[Rénovation prévue ?]],'Données Giant'!$A$8:$A$21,'Données Giant'!$H$8:$H$21,0)</f>
        <v>0</v>
      </c>
    </row>
    <row r="30" spans="1:22" x14ac:dyDescent="0.25">
      <c r="A30" s="29">
        <f>'Encodage données'!C92</f>
        <v>0</v>
      </c>
      <c r="B30" s="29">
        <f>'Encodage données'!D92</f>
        <v>0</v>
      </c>
      <c r="C30" s="29">
        <f>'Encodage données'!E92</f>
        <v>0</v>
      </c>
      <c r="D30" s="29">
        <f>'Encodage données'!F92</f>
        <v>0</v>
      </c>
      <c r="E30" s="29">
        <f>'Encodage données'!G92</f>
        <v>0</v>
      </c>
      <c r="F30" s="29">
        <f>'Encodage données'!H92</f>
        <v>0</v>
      </c>
      <c r="G30" s="29">
        <f>'Encodage données'!J92</f>
        <v>0</v>
      </c>
      <c r="H30" s="29">
        <f>IF(OR(Tableau1[[#This Row],[Isolation actuelle]]="U connu",Tableau1[[#This Row],[Isolation actuelle]]="U connu (porte et fenêtres)"),Tableau1[[#This Row],[Si U connu de la paroi]],_xlfn.XLOOKUP(Tableau1[[#This Row],[Isolation actuelle]],'Parois types'!$B$9:$B$71,'Parois types'!$C$9:$C$71,0))</f>
        <v>0</v>
      </c>
      <c r="I30" s="29">
        <f>IF(Tableau1[[#This Row],[Rénovation prévue ?]]='Données Giant'!$A$21,Tableau1[[#This Row],[Uactuel (W/m²K)]],'Encodage données'!I92)</f>
        <v>0</v>
      </c>
      <c r="J30">
        <f>_xlfn.XLOOKUP(Tableau1[[#This Row],[Catégorie]],Tableau4[Catégories de parois],Tableau4[ai],0)</f>
        <v>0</v>
      </c>
      <c r="K30">
        <f>Tableau1[[#This Row],[aj]]*Tableau1[[#This Row],[Uactuel (W/m²K)]]*Tableau1[[#This Row],[Surface (m²)]]</f>
        <v>0</v>
      </c>
      <c r="L30">
        <f>Tableau1[[#This Row],[aj]]*Tableau1[[#This Row],[Urénové (W/m²K)]]*Tableau1[[#This Row],[Surface (m²)]]</f>
        <v>0</v>
      </c>
      <c r="M30">
        <f>_xlfn.XLOOKUP(Tableau1[[#This Row],[Isolation actuelle]],'Parois types'!$B$9:$B$71,'Parois types'!$D$9:$D$71,0)</f>
        <v>0</v>
      </c>
      <c r="N30">
        <f>IF(Tableau1[[#This Row],[Rénovation prévue ?]]='Données Giant'!$A$21,Tableau1[[#This Row],[Facteur solaire actuel]],_xlfn.XLOOKUP(Tableau1[[#This Row],[Rénovation prévue ?]],'Données Giant'!$A$8:$A$21,'Données Giant'!$B$8:$B$21,0))</f>
        <v>0</v>
      </c>
      <c r="O30">
        <f>IF(Tableau1[[#This Row],[Catégorie]]=DonnéesAutres!$A$100,235*0.5*Tableau1[[#This Row],[Facteur solaire actuel]]*Tableau1[[#This Row],[Surface (m²)]],0)</f>
        <v>0</v>
      </c>
      <c r="P30" s="71">
        <f>235*0.5*Tableau1[[#This Row],[Facteur Solaire rénové]]*Tableau1[[#This Row],[Surface (m²)]]</f>
        <v>0</v>
      </c>
      <c r="Q30" s="71">
        <f>_xlfn.XLOOKUP(Tableau1[[#This Row],[Rénovation prévue ?]],'Données Giant'!$A$8:$A$21,'Données Giant'!$C$8:$C$21,0)</f>
        <v>0</v>
      </c>
      <c r="R30" s="27">
        <f>_xlfn.XLOOKUP(Tableau1[[#This Row],[Rénovation prévue ?]],'Données Giant'!$A$8:$A$21,'Données Giant'!$D$8:$D$21,0)</f>
        <v>0</v>
      </c>
      <c r="S30">
        <f>_xlfn.XLOOKUP(Tableau1[[#This Row],[Rénovation prévue ?]],'Données Giant'!$A$8:$A$21,'Données Giant'!$E$8:$E$21,0)</f>
        <v>0</v>
      </c>
      <c r="T30">
        <f>_xlfn.XLOOKUP(Tableau1[[#This Row],[Rénovation prévue ?]],'Données Giant'!$A$8:$A$21,'Données Giant'!$F$8:$F$21,0)</f>
        <v>0</v>
      </c>
      <c r="U30">
        <f>_xlfn.XLOOKUP(Tableau1[[#This Row],[Rénovation prévue ?]],'Données Giant'!$A$8:$A$21,'Données Giant'!$G$8:$G$21,0)</f>
        <v>0</v>
      </c>
      <c r="V30">
        <f>_xlfn.XLOOKUP(Tableau1[[#This Row],[Rénovation prévue ?]],'Données Giant'!$A$8:$A$21,'Données Giant'!$H$8:$H$21,0)</f>
        <v>0</v>
      </c>
    </row>
    <row r="31" spans="1:22" x14ac:dyDescent="0.25">
      <c r="A31" s="29">
        <f>'Encodage données'!C93</f>
        <v>0</v>
      </c>
      <c r="B31" s="29">
        <f>'Encodage données'!D93</f>
        <v>0</v>
      </c>
      <c r="C31" s="29">
        <f>'Encodage données'!E93</f>
        <v>0</v>
      </c>
      <c r="D31" s="29">
        <f>'Encodage données'!F93</f>
        <v>0</v>
      </c>
      <c r="E31" s="29">
        <f>'Encodage données'!G93</f>
        <v>0</v>
      </c>
      <c r="F31" s="29">
        <f>'Encodage données'!H93</f>
        <v>0</v>
      </c>
      <c r="G31" s="29">
        <f>'Encodage données'!J93</f>
        <v>0</v>
      </c>
      <c r="H31" s="29">
        <f>IF(OR(Tableau1[[#This Row],[Isolation actuelle]]="U connu",Tableau1[[#This Row],[Isolation actuelle]]="U connu (porte et fenêtres)"),Tableau1[[#This Row],[Si U connu de la paroi]],_xlfn.XLOOKUP(Tableau1[[#This Row],[Isolation actuelle]],'Parois types'!$B$9:$B$71,'Parois types'!$C$9:$C$71,0))</f>
        <v>0</v>
      </c>
      <c r="I31" s="29">
        <f>IF(Tableau1[[#This Row],[Rénovation prévue ?]]='Données Giant'!$A$21,Tableau1[[#This Row],[Uactuel (W/m²K)]],'Encodage données'!I93)</f>
        <v>0</v>
      </c>
      <c r="J31">
        <f>_xlfn.XLOOKUP(Tableau1[[#This Row],[Catégorie]],Tableau4[Catégories de parois],Tableau4[ai],0)</f>
        <v>0</v>
      </c>
      <c r="K31">
        <f>Tableau1[[#This Row],[aj]]*Tableau1[[#This Row],[Uactuel (W/m²K)]]*Tableau1[[#This Row],[Surface (m²)]]</f>
        <v>0</v>
      </c>
      <c r="L31">
        <f>Tableau1[[#This Row],[aj]]*Tableau1[[#This Row],[Urénové (W/m²K)]]*Tableau1[[#This Row],[Surface (m²)]]</f>
        <v>0</v>
      </c>
      <c r="M31">
        <f>_xlfn.XLOOKUP(Tableau1[[#This Row],[Isolation actuelle]],'Parois types'!$B$9:$B$71,'Parois types'!$D$9:$D$71,0)</f>
        <v>0</v>
      </c>
      <c r="N31">
        <f>IF(Tableau1[[#This Row],[Rénovation prévue ?]]='Données Giant'!$A$21,Tableau1[[#This Row],[Facteur solaire actuel]],_xlfn.XLOOKUP(Tableau1[[#This Row],[Rénovation prévue ?]],'Données Giant'!$A$8:$A$21,'Données Giant'!$B$8:$B$21,0))</f>
        <v>0</v>
      </c>
      <c r="O31">
        <f>IF(Tableau1[[#This Row],[Catégorie]]=DonnéesAutres!$A$100,235*0.5*Tableau1[[#This Row],[Facteur solaire actuel]]*Tableau1[[#This Row],[Surface (m²)]],0)</f>
        <v>0</v>
      </c>
      <c r="P31" s="71">
        <f>235*0.5*Tableau1[[#This Row],[Facteur Solaire rénové]]*Tableau1[[#This Row],[Surface (m²)]]</f>
        <v>0</v>
      </c>
      <c r="Q31" s="71">
        <f>_xlfn.XLOOKUP(Tableau1[[#This Row],[Rénovation prévue ?]],'Données Giant'!$A$8:$A$21,'Données Giant'!$C$8:$C$21,0)</f>
        <v>0</v>
      </c>
      <c r="R31" s="27">
        <f>_xlfn.XLOOKUP(Tableau1[[#This Row],[Rénovation prévue ?]],'Données Giant'!$A$8:$A$21,'Données Giant'!$D$8:$D$21,0)</f>
        <v>0</v>
      </c>
      <c r="S31">
        <f>_xlfn.XLOOKUP(Tableau1[[#This Row],[Rénovation prévue ?]],'Données Giant'!$A$8:$A$21,'Données Giant'!$E$8:$E$21,0)</f>
        <v>0</v>
      </c>
      <c r="T31">
        <f>_xlfn.XLOOKUP(Tableau1[[#This Row],[Rénovation prévue ?]],'Données Giant'!$A$8:$A$21,'Données Giant'!$F$8:$F$21,0)</f>
        <v>0</v>
      </c>
      <c r="U31">
        <f>_xlfn.XLOOKUP(Tableau1[[#This Row],[Rénovation prévue ?]],'Données Giant'!$A$8:$A$21,'Données Giant'!$G$8:$G$21,0)</f>
        <v>0</v>
      </c>
      <c r="V31">
        <f>_xlfn.XLOOKUP(Tableau1[[#This Row],[Rénovation prévue ?]],'Données Giant'!$A$8:$A$21,'Données Giant'!$H$8:$H$21,0)</f>
        <v>0</v>
      </c>
    </row>
    <row r="32" spans="1:22" x14ac:dyDescent="0.25">
      <c r="A32" s="29">
        <f>'Encodage données'!C94</f>
        <v>0</v>
      </c>
      <c r="B32" s="29">
        <f>'Encodage données'!D94</f>
        <v>0</v>
      </c>
      <c r="C32" s="29">
        <f>'Encodage données'!E94</f>
        <v>0</v>
      </c>
      <c r="D32" s="29">
        <f>'Encodage données'!F94</f>
        <v>0</v>
      </c>
      <c r="E32" s="29">
        <f>'Encodage données'!G94</f>
        <v>0</v>
      </c>
      <c r="F32" s="29">
        <f>'Encodage données'!H94</f>
        <v>0</v>
      </c>
      <c r="G32" s="29">
        <f>'Encodage données'!J94</f>
        <v>0</v>
      </c>
      <c r="H32" s="29">
        <f>IF(OR(Tableau1[[#This Row],[Isolation actuelle]]="U connu",Tableau1[[#This Row],[Isolation actuelle]]="U connu (porte et fenêtres)"),Tableau1[[#This Row],[Si U connu de la paroi]],_xlfn.XLOOKUP(Tableau1[[#This Row],[Isolation actuelle]],'Parois types'!$B$9:$B$71,'Parois types'!$C$9:$C$71,0))</f>
        <v>0</v>
      </c>
      <c r="I32" s="29">
        <f>IF(Tableau1[[#This Row],[Rénovation prévue ?]]='Données Giant'!$A$21,Tableau1[[#This Row],[Uactuel (W/m²K)]],'Encodage données'!I94)</f>
        <v>0</v>
      </c>
      <c r="J32">
        <f>_xlfn.XLOOKUP(Tableau1[[#This Row],[Catégorie]],Tableau4[Catégories de parois],Tableau4[ai],0)</f>
        <v>0</v>
      </c>
      <c r="K32">
        <f>Tableau1[[#This Row],[aj]]*Tableau1[[#This Row],[Uactuel (W/m²K)]]*Tableau1[[#This Row],[Surface (m²)]]</f>
        <v>0</v>
      </c>
      <c r="L32">
        <f>Tableau1[[#This Row],[aj]]*Tableau1[[#This Row],[Urénové (W/m²K)]]*Tableau1[[#This Row],[Surface (m²)]]</f>
        <v>0</v>
      </c>
      <c r="M32">
        <f>_xlfn.XLOOKUP(Tableau1[[#This Row],[Isolation actuelle]],'Parois types'!$B$9:$B$71,'Parois types'!$D$9:$D$71,0)</f>
        <v>0</v>
      </c>
      <c r="N32">
        <f>IF(Tableau1[[#This Row],[Rénovation prévue ?]]='Données Giant'!$A$21,Tableau1[[#This Row],[Facteur solaire actuel]],_xlfn.XLOOKUP(Tableau1[[#This Row],[Rénovation prévue ?]],'Données Giant'!$A$8:$A$21,'Données Giant'!$B$8:$B$21,0))</f>
        <v>0</v>
      </c>
      <c r="O32">
        <f>IF(Tableau1[[#This Row],[Catégorie]]=DonnéesAutres!$A$100,235*0.5*Tableau1[[#This Row],[Facteur solaire actuel]]*Tableau1[[#This Row],[Surface (m²)]],0)</f>
        <v>0</v>
      </c>
      <c r="P32" s="71">
        <f>235*0.5*Tableau1[[#This Row],[Facteur Solaire rénové]]*Tableau1[[#This Row],[Surface (m²)]]</f>
        <v>0</v>
      </c>
      <c r="Q32" s="71">
        <f>_xlfn.XLOOKUP(Tableau1[[#This Row],[Rénovation prévue ?]],'Données Giant'!$A$8:$A$21,'Données Giant'!$C$8:$C$21,0)</f>
        <v>0</v>
      </c>
      <c r="R32" s="27">
        <f>_xlfn.XLOOKUP(Tableau1[[#This Row],[Rénovation prévue ?]],'Données Giant'!$A$8:$A$21,'Données Giant'!$D$8:$D$21,0)</f>
        <v>0</v>
      </c>
      <c r="S32">
        <f>_xlfn.XLOOKUP(Tableau1[[#This Row],[Rénovation prévue ?]],'Données Giant'!$A$8:$A$21,'Données Giant'!$E$8:$E$21,0)</f>
        <v>0</v>
      </c>
      <c r="T32">
        <f>_xlfn.XLOOKUP(Tableau1[[#This Row],[Rénovation prévue ?]],'Données Giant'!$A$8:$A$21,'Données Giant'!$F$8:$F$21,0)</f>
        <v>0</v>
      </c>
      <c r="U32">
        <f>_xlfn.XLOOKUP(Tableau1[[#This Row],[Rénovation prévue ?]],'Données Giant'!$A$8:$A$21,'Données Giant'!$G$8:$G$21,0)</f>
        <v>0</v>
      </c>
      <c r="V32">
        <f>_xlfn.XLOOKUP(Tableau1[[#This Row],[Rénovation prévue ?]],'Données Giant'!$A$8:$A$21,'Données Giant'!$H$8:$H$21,0)</f>
        <v>0</v>
      </c>
    </row>
    <row r="33" spans="1:22" x14ac:dyDescent="0.25">
      <c r="A33" s="29">
        <f>'Encodage données'!C95</f>
        <v>0</v>
      </c>
      <c r="B33" s="29">
        <f>'Encodage données'!D95</f>
        <v>0</v>
      </c>
      <c r="C33" s="29">
        <f>'Encodage données'!E95</f>
        <v>0</v>
      </c>
      <c r="D33" s="29">
        <f>'Encodage données'!F95</f>
        <v>0</v>
      </c>
      <c r="E33" s="29">
        <f>'Encodage données'!G95</f>
        <v>0</v>
      </c>
      <c r="F33" s="29">
        <f>'Encodage données'!H95</f>
        <v>0</v>
      </c>
      <c r="G33" s="29">
        <f>'Encodage données'!J95</f>
        <v>0</v>
      </c>
      <c r="H33" s="29">
        <f>IF(OR(Tableau1[[#This Row],[Isolation actuelle]]="U connu",Tableau1[[#This Row],[Isolation actuelle]]="U connu (porte et fenêtres)"),Tableau1[[#This Row],[Si U connu de la paroi]],_xlfn.XLOOKUP(Tableau1[[#This Row],[Isolation actuelle]],'Parois types'!$B$9:$B$71,'Parois types'!$C$9:$C$71,0))</f>
        <v>0</v>
      </c>
      <c r="I33" s="29">
        <f>IF(Tableau1[[#This Row],[Rénovation prévue ?]]='Données Giant'!$A$21,Tableau1[[#This Row],[Uactuel (W/m²K)]],'Encodage données'!I95)</f>
        <v>0</v>
      </c>
      <c r="J33">
        <f>_xlfn.XLOOKUP(Tableau1[[#This Row],[Catégorie]],Tableau4[Catégories de parois],Tableau4[ai],0)</f>
        <v>0</v>
      </c>
      <c r="K33">
        <f>Tableau1[[#This Row],[aj]]*Tableau1[[#This Row],[Uactuel (W/m²K)]]*Tableau1[[#This Row],[Surface (m²)]]</f>
        <v>0</v>
      </c>
      <c r="L33">
        <f>Tableau1[[#This Row],[aj]]*Tableau1[[#This Row],[Urénové (W/m²K)]]*Tableau1[[#This Row],[Surface (m²)]]</f>
        <v>0</v>
      </c>
      <c r="M33">
        <f>_xlfn.XLOOKUP(Tableau1[[#This Row],[Isolation actuelle]],'Parois types'!$B$9:$B$71,'Parois types'!$D$9:$D$71,0)</f>
        <v>0</v>
      </c>
      <c r="N33">
        <f>IF(Tableau1[[#This Row],[Rénovation prévue ?]]='Données Giant'!$A$21,Tableau1[[#This Row],[Facteur solaire actuel]],_xlfn.XLOOKUP(Tableau1[[#This Row],[Rénovation prévue ?]],'Données Giant'!$A$8:$A$21,'Données Giant'!$B$8:$B$21,0))</f>
        <v>0</v>
      </c>
      <c r="O33">
        <f>IF(Tableau1[[#This Row],[Catégorie]]=DonnéesAutres!$A$100,235*0.5*Tableau1[[#This Row],[Facteur solaire actuel]]*Tableau1[[#This Row],[Surface (m²)]],0)</f>
        <v>0</v>
      </c>
      <c r="P33" s="71">
        <f>235*0.5*Tableau1[[#This Row],[Facteur Solaire rénové]]*Tableau1[[#This Row],[Surface (m²)]]</f>
        <v>0</v>
      </c>
      <c r="Q33" s="71">
        <f>_xlfn.XLOOKUP(Tableau1[[#This Row],[Rénovation prévue ?]],'Données Giant'!$A$8:$A$21,'Données Giant'!$C$8:$C$21,0)</f>
        <v>0</v>
      </c>
      <c r="R33" s="27">
        <f>_xlfn.XLOOKUP(Tableau1[[#This Row],[Rénovation prévue ?]],'Données Giant'!$A$8:$A$21,'Données Giant'!$D$8:$D$21,0)</f>
        <v>0</v>
      </c>
      <c r="S33">
        <f>_xlfn.XLOOKUP(Tableau1[[#This Row],[Rénovation prévue ?]],'Données Giant'!$A$8:$A$21,'Données Giant'!$E$8:$E$21,0)</f>
        <v>0</v>
      </c>
      <c r="T33">
        <f>_xlfn.XLOOKUP(Tableau1[[#This Row],[Rénovation prévue ?]],'Données Giant'!$A$8:$A$21,'Données Giant'!$F$8:$F$21,0)</f>
        <v>0</v>
      </c>
      <c r="U33">
        <f>_xlfn.XLOOKUP(Tableau1[[#This Row],[Rénovation prévue ?]],'Données Giant'!$A$8:$A$21,'Données Giant'!$G$8:$G$21,0)</f>
        <v>0</v>
      </c>
      <c r="V33">
        <f>_xlfn.XLOOKUP(Tableau1[[#This Row],[Rénovation prévue ?]],'Données Giant'!$A$8:$A$21,'Données Giant'!$H$8:$H$21,0)</f>
        <v>0</v>
      </c>
    </row>
    <row r="34" spans="1:22" x14ac:dyDescent="0.25">
      <c r="A34" s="29">
        <f>'Encodage données'!C96</f>
        <v>0</v>
      </c>
      <c r="B34" s="29">
        <f>'Encodage données'!D96</f>
        <v>0</v>
      </c>
      <c r="C34" s="29">
        <f>'Encodage données'!E96</f>
        <v>0</v>
      </c>
      <c r="D34" s="29">
        <f>'Encodage données'!F96</f>
        <v>0</v>
      </c>
      <c r="E34" s="29">
        <f>'Encodage données'!G96</f>
        <v>0</v>
      </c>
      <c r="F34" s="29">
        <f>'Encodage données'!H96</f>
        <v>0</v>
      </c>
      <c r="G34" s="29">
        <f>'Encodage données'!J96</f>
        <v>0</v>
      </c>
      <c r="H34" s="29">
        <f>IF(OR(Tableau1[[#This Row],[Isolation actuelle]]="U connu",Tableau1[[#This Row],[Isolation actuelle]]="U connu (porte et fenêtres)"),Tableau1[[#This Row],[Si U connu de la paroi]],_xlfn.XLOOKUP(Tableau1[[#This Row],[Isolation actuelle]],'Parois types'!$B$9:$B$71,'Parois types'!$C$9:$C$71,0))</f>
        <v>0</v>
      </c>
      <c r="I34" s="29">
        <f>IF(Tableau1[[#This Row],[Rénovation prévue ?]]='Données Giant'!$A$21,Tableau1[[#This Row],[Uactuel (W/m²K)]],'Encodage données'!I96)</f>
        <v>0</v>
      </c>
      <c r="J34">
        <f>_xlfn.XLOOKUP(Tableau1[[#This Row],[Catégorie]],Tableau4[Catégories de parois],Tableau4[ai],0)</f>
        <v>0</v>
      </c>
      <c r="K34">
        <f>Tableau1[[#This Row],[aj]]*Tableau1[[#This Row],[Uactuel (W/m²K)]]*Tableau1[[#This Row],[Surface (m²)]]</f>
        <v>0</v>
      </c>
      <c r="L34">
        <f>Tableau1[[#This Row],[aj]]*Tableau1[[#This Row],[Urénové (W/m²K)]]*Tableau1[[#This Row],[Surface (m²)]]</f>
        <v>0</v>
      </c>
      <c r="M34">
        <f>_xlfn.XLOOKUP(Tableau1[[#This Row],[Isolation actuelle]],'Parois types'!$B$9:$B$71,'Parois types'!$D$9:$D$71,0)</f>
        <v>0</v>
      </c>
      <c r="N34">
        <f>IF(Tableau1[[#This Row],[Rénovation prévue ?]]='Données Giant'!$A$21,Tableau1[[#This Row],[Facteur solaire actuel]],_xlfn.XLOOKUP(Tableau1[[#This Row],[Rénovation prévue ?]],'Données Giant'!$A$8:$A$21,'Données Giant'!$B$8:$B$21,0))</f>
        <v>0</v>
      </c>
      <c r="O34">
        <f>IF(Tableau1[[#This Row],[Catégorie]]=DonnéesAutres!$A$100,235*0.5*Tableau1[[#This Row],[Facteur solaire actuel]]*Tableau1[[#This Row],[Surface (m²)]],0)</f>
        <v>0</v>
      </c>
      <c r="P34" s="71">
        <f>235*0.5*Tableau1[[#This Row],[Facteur Solaire rénové]]*Tableau1[[#This Row],[Surface (m²)]]</f>
        <v>0</v>
      </c>
      <c r="Q34" s="71">
        <f>_xlfn.XLOOKUP(Tableau1[[#This Row],[Rénovation prévue ?]],'Données Giant'!$A$8:$A$21,'Données Giant'!$C$8:$C$21,0)</f>
        <v>0</v>
      </c>
      <c r="R34" s="27">
        <f>_xlfn.XLOOKUP(Tableau1[[#This Row],[Rénovation prévue ?]],'Données Giant'!$A$8:$A$21,'Données Giant'!$D$8:$D$21,0)</f>
        <v>0</v>
      </c>
      <c r="S34">
        <f>_xlfn.XLOOKUP(Tableau1[[#This Row],[Rénovation prévue ?]],'Données Giant'!$A$8:$A$21,'Données Giant'!$E$8:$E$21,0)</f>
        <v>0</v>
      </c>
      <c r="T34">
        <f>_xlfn.XLOOKUP(Tableau1[[#This Row],[Rénovation prévue ?]],'Données Giant'!$A$8:$A$21,'Données Giant'!$F$8:$F$21,0)</f>
        <v>0</v>
      </c>
      <c r="U34">
        <f>_xlfn.XLOOKUP(Tableau1[[#This Row],[Rénovation prévue ?]],'Données Giant'!$A$8:$A$21,'Données Giant'!$G$8:$G$21,0)</f>
        <v>0</v>
      </c>
      <c r="V34">
        <f>_xlfn.XLOOKUP(Tableau1[[#This Row],[Rénovation prévue ?]],'Données Giant'!$A$8:$A$21,'Données Giant'!$H$8:$H$21,0)</f>
        <v>0</v>
      </c>
    </row>
    <row r="35" spans="1:22" x14ac:dyDescent="0.25">
      <c r="A35" s="29">
        <f>'Encodage données'!C97</f>
        <v>0</v>
      </c>
      <c r="B35" s="29">
        <f>'Encodage données'!D97</f>
        <v>0</v>
      </c>
      <c r="C35" s="29">
        <f>'Encodage données'!E97</f>
        <v>0</v>
      </c>
      <c r="D35" s="29">
        <f>'Encodage données'!F97</f>
        <v>0</v>
      </c>
      <c r="E35" s="29">
        <f>'Encodage données'!G97</f>
        <v>0</v>
      </c>
      <c r="F35" s="29">
        <f>'Encodage données'!H97</f>
        <v>0</v>
      </c>
      <c r="G35" s="29">
        <f>'Encodage données'!J97</f>
        <v>0</v>
      </c>
      <c r="H35" s="29">
        <f>IF(OR(Tableau1[[#This Row],[Isolation actuelle]]="U connu",Tableau1[[#This Row],[Isolation actuelle]]="U connu (porte et fenêtres)"),Tableau1[[#This Row],[Si U connu de la paroi]],_xlfn.XLOOKUP(Tableau1[[#This Row],[Isolation actuelle]],'Parois types'!$B$9:$B$71,'Parois types'!$C$9:$C$71,0))</f>
        <v>0</v>
      </c>
      <c r="I35" s="29">
        <f>IF(Tableau1[[#This Row],[Rénovation prévue ?]]='Données Giant'!$A$21,Tableau1[[#This Row],[Uactuel (W/m²K)]],'Encodage données'!I97)</f>
        <v>0</v>
      </c>
      <c r="J35">
        <f>_xlfn.XLOOKUP(Tableau1[[#This Row],[Catégorie]],Tableau4[Catégories de parois],Tableau4[ai],0)</f>
        <v>0</v>
      </c>
      <c r="K35">
        <f>Tableau1[[#This Row],[aj]]*Tableau1[[#This Row],[Uactuel (W/m²K)]]*Tableau1[[#This Row],[Surface (m²)]]</f>
        <v>0</v>
      </c>
      <c r="L35">
        <f>Tableau1[[#This Row],[aj]]*Tableau1[[#This Row],[Urénové (W/m²K)]]*Tableau1[[#This Row],[Surface (m²)]]</f>
        <v>0</v>
      </c>
      <c r="M35">
        <f>_xlfn.XLOOKUP(Tableau1[[#This Row],[Isolation actuelle]],'Parois types'!$B$9:$B$71,'Parois types'!$D$9:$D$71,0)</f>
        <v>0</v>
      </c>
      <c r="N35">
        <f>IF(Tableau1[[#This Row],[Rénovation prévue ?]]='Données Giant'!$A$21,Tableau1[[#This Row],[Facteur solaire actuel]],_xlfn.XLOOKUP(Tableau1[[#This Row],[Rénovation prévue ?]],'Données Giant'!$A$8:$A$21,'Données Giant'!$B$8:$B$21,0))</f>
        <v>0</v>
      </c>
      <c r="O35">
        <f>IF(Tableau1[[#This Row],[Catégorie]]=DonnéesAutres!$A$100,235*0.5*Tableau1[[#This Row],[Facteur solaire actuel]]*Tableau1[[#This Row],[Surface (m²)]],0)</f>
        <v>0</v>
      </c>
      <c r="P35" s="71">
        <f>235*0.5*Tableau1[[#This Row],[Facteur Solaire rénové]]*Tableau1[[#This Row],[Surface (m²)]]</f>
        <v>0</v>
      </c>
      <c r="Q35" s="71">
        <f>_xlfn.XLOOKUP(Tableau1[[#This Row],[Rénovation prévue ?]],'Données Giant'!$A$8:$A$21,'Données Giant'!$C$8:$C$21,0)</f>
        <v>0</v>
      </c>
      <c r="R35" s="27">
        <f>_xlfn.XLOOKUP(Tableau1[[#This Row],[Rénovation prévue ?]],'Données Giant'!$A$8:$A$21,'Données Giant'!$D$8:$D$21,0)</f>
        <v>0</v>
      </c>
      <c r="S35">
        <f>_xlfn.XLOOKUP(Tableau1[[#This Row],[Rénovation prévue ?]],'Données Giant'!$A$8:$A$21,'Données Giant'!$E$8:$E$21,0)</f>
        <v>0</v>
      </c>
      <c r="T35">
        <f>_xlfn.XLOOKUP(Tableau1[[#This Row],[Rénovation prévue ?]],'Données Giant'!$A$8:$A$21,'Données Giant'!$F$8:$F$21,0)</f>
        <v>0</v>
      </c>
      <c r="U35">
        <f>_xlfn.XLOOKUP(Tableau1[[#This Row],[Rénovation prévue ?]],'Données Giant'!$A$8:$A$21,'Données Giant'!$G$8:$G$21,0)</f>
        <v>0</v>
      </c>
      <c r="V35">
        <f>_xlfn.XLOOKUP(Tableau1[[#This Row],[Rénovation prévue ?]],'Données Giant'!$A$8:$A$21,'Données Giant'!$H$8:$H$21,0)</f>
        <v>0</v>
      </c>
    </row>
    <row r="36" spans="1:22" x14ac:dyDescent="0.25">
      <c r="A36" s="29">
        <f>'Encodage données'!C98</f>
        <v>0</v>
      </c>
      <c r="B36" s="29">
        <f>'Encodage données'!D98</f>
        <v>0</v>
      </c>
      <c r="C36" s="29">
        <f>'Encodage données'!E98</f>
        <v>0</v>
      </c>
      <c r="D36" s="29">
        <f>'Encodage données'!F98</f>
        <v>0</v>
      </c>
      <c r="E36" s="29">
        <f>'Encodage données'!G98</f>
        <v>0</v>
      </c>
      <c r="F36" s="29">
        <f>'Encodage données'!H98</f>
        <v>0</v>
      </c>
      <c r="G36" s="29">
        <f>'Encodage données'!J98</f>
        <v>0</v>
      </c>
      <c r="H36" s="29">
        <f>IF(OR(Tableau1[[#This Row],[Isolation actuelle]]="U connu",Tableau1[[#This Row],[Isolation actuelle]]="U connu (porte et fenêtres)"),Tableau1[[#This Row],[Si U connu de la paroi]],_xlfn.XLOOKUP(Tableau1[[#This Row],[Isolation actuelle]],'Parois types'!$B$9:$B$71,'Parois types'!$C$9:$C$71,0))</f>
        <v>0</v>
      </c>
      <c r="I36" s="29">
        <f>IF(Tableau1[[#This Row],[Rénovation prévue ?]]='Données Giant'!$A$21,Tableau1[[#This Row],[Uactuel (W/m²K)]],'Encodage données'!I98)</f>
        <v>0</v>
      </c>
      <c r="J36">
        <f>_xlfn.XLOOKUP(Tableau1[[#This Row],[Catégorie]],Tableau4[Catégories de parois],Tableau4[ai],0)</f>
        <v>0</v>
      </c>
      <c r="K36">
        <f>Tableau1[[#This Row],[aj]]*Tableau1[[#This Row],[Uactuel (W/m²K)]]*Tableau1[[#This Row],[Surface (m²)]]</f>
        <v>0</v>
      </c>
      <c r="L36">
        <f>Tableau1[[#This Row],[aj]]*Tableau1[[#This Row],[Urénové (W/m²K)]]*Tableau1[[#This Row],[Surface (m²)]]</f>
        <v>0</v>
      </c>
      <c r="M36">
        <f>_xlfn.XLOOKUP(Tableau1[[#This Row],[Isolation actuelle]],'Parois types'!$B$9:$B$71,'Parois types'!$D$9:$D$71,0)</f>
        <v>0</v>
      </c>
      <c r="N36">
        <f>IF(Tableau1[[#This Row],[Rénovation prévue ?]]='Données Giant'!$A$21,Tableau1[[#This Row],[Facteur solaire actuel]],_xlfn.XLOOKUP(Tableau1[[#This Row],[Rénovation prévue ?]],'Données Giant'!$A$8:$A$21,'Données Giant'!$B$8:$B$21,0))</f>
        <v>0</v>
      </c>
      <c r="O36">
        <f>IF(Tableau1[[#This Row],[Catégorie]]=DonnéesAutres!$A$100,235*0.5*Tableau1[[#This Row],[Facteur solaire actuel]]*Tableau1[[#This Row],[Surface (m²)]],0)</f>
        <v>0</v>
      </c>
      <c r="P36" s="71">
        <f>235*0.5*Tableau1[[#This Row],[Facteur Solaire rénové]]*Tableau1[[#This Row],[Surface (m²)]]</f>
        <v>0</v>
      </c>
      <c r="Q36" s="71">
        <f>_xlfn.XLOOKUP(Tableau1[[#This Row],[Rénovation prévue ?]],'Données Giant'!$A$8:$A$21,'Données Giant'!$C$8:$C$21,0)</f>
        <v>0</v>
      </c>
      <c r="R36" s="27">
        <f>_xlfn.XLOOKUP(Tableau1[[#This Row],[Rénovation prévue ?]],'Données Giant'!$A$8:$A$21,'Données Giant'!$D$8:$D$21,0)</f>
        <v>0</v>
      </c>
      <c r="S36">
        <f>_xlfn.XLOOKUP(Tableau1[[#This Row],[Rénovation prévue ?]],'Données Giant'!$A$8:$A$21,'Données Giant'!$E$8:$E$21,0)</f>
        <v>0</v>
      </c>
      <c r="T36">
        <f>_xlfn.XLOOKUP(Tableau1[[#This Row],[Rénovation prévue ?]],'Données Giant'!$A$8:$A$21,'Données Giant'!$F$8:$F$21,0)</f>
        <v>0</v>
      </c>
      <c r="U36">
        <f>_xlfn.XLOOKUP(Tableau1[[#This Row],[Rénovation prévue ?]],'Données Giant'!$A$8:$A$21,'Données Giant'!$G$8:$G$21,0)</f>
        <v>0</v>
      </c>
      <c r="V36">
        <f>_xlfn.XLOOKUP(Tableau1[[#This Row],[Rénovation prévue ?]],'Données Giant'!$A$8:$A$21,'Données Giant'!$H$8:$H$21,0)</f>
        <v>0</v>
      </c>
    </row>
    <row r="37" spans="1:22" x14ac:dyDescent="0.25">
      <c r="A37" s="29">
        <f>'Encodage données'!C99</f>
        <v>0</v>
      </c>
      <c r="B37" s="29">
        <f>'Encodage données'!D99</f>
        <v>0</v>
      </c>
      <c r="C37" s="29">
        <f>'Encodage données'!E99</f>
        <v>0</v>
      </c>
      <c r="D37" s="29">
        <f>'Encodage données'!F99</f>
        <v>0</v>
      </c>
      <c r="E37" s="29">
        <f>'Encodage données'!G99</f>
        <v>0</v>
      </c>
      <c r="F37" s="29">
        <f>'Encodage données'!H99</f>
        <v>0</v>
      </c>
      <c r="G37" s="29">
        <f>'Encodage données'!J99</f>
        <v>0</v>
      </c>
      <c r="H37" s="29">
        <f>IF(OR(Tableau1[[#This Row],[Isolation actuelle]]="U connu",Tableau1[[#This Row],[Isolation actuelle]]="U connu (porte et fenêtres)"),Tableau1[[#This Row],[Si U connu de la paroi]],_xlfn.XLOOKUP(Tableau1[[#This Row],[Isolation actuelle]],'Parois types'!$B$9:$B$71,'Parois types'!$C$9:$C$71,0))</f>
        <v>0</v>
      </c>
      <c r="I37" s="29">
        <f>IF(Tableau1[[#This Row],[Rénovation prévue ?]]='Données Giant'!$A$21,Tableau1[[#This Row],[Uactuel (W/m²K)]],'Encodage données'!I99)</f>
        <v>0</v>
      </c>
      <c r="J37">
        <f>_xlfn.XLOOKUP(Tableau1[[#This Row],[Catégorie]],Tableau4[Catégories de parois],Tableau4[ai],0)</f>
        <v>0</v>
      </c>
      <c r="K37">
        <f>Tableau1[[#This Row],[aj]]*Tableau1[[#This Row],[Uactuel (W/m²K)]]*Tableau1[[#This Row],[Surface (m²)]]</f>
        <v>0</v>
      </c>
      <c r="L37">
        <f>Tableau1[[#This Row],[aj]]*Tableau1[[#This Row],[Urénové (W/m²K)]]*Tableau1[[#This Row],[Surface (m²)]]</f>
        <v>0</v>
      </c>
      <c r="M37">
        <f>_xlfn.XLOOKUP(Tableau1[[#This Row],[Isolation actuelle]],'Parois types'!$B$9:$B$71,'Parois types'!$D$9:$D$71,0)</f>
        <v>0</v>
      </c>
      <c r="N37">
        <f>IF(Tableau1[[#This Row],[Rénovation prévue ?]]='Données Giant'!$A$21,Tableau1[[#This Row],[Facteur solaire actuel]],_xlfn.XLOOKUP(Tableau1[[#This Row],[Rénovation prévue ?]],'Données Giant'!$A$8:$A$21,'Données Giant'!$B$8:$B$21,0))</f>
        <v>0</v>
      </c>
      <c r="O37">
        <f>IF(Tableau1[[#This Row],[Catégorie]]=DonnéesAutres!$A$100,235*0.5*Tableau1[[#This Row],[Facteur solaire actuel]]*Tableau1[[#This Row],[Surface (m²)]],0)</f>
        <v>0</v>
      </c>
      <c r="P37" s="71">
        <f>235*0.5*Tableau1[[#This Row],[Facteur Solaire rénové]]*Tableau1[[#This Row],[Surface (m²)]]</f>
        <v>0</v>
      </c>
      <c r="Q37" s="71">
        <f>_xlfn.XLOOKUP(Tableau1[[#This Row],[Rénovation prévue ?]],'Données Giant'!$A$8:$A$21,'Données Giant'!$C$8:$C$21,0)</f>
        <v>0</v>
      </c>
      <c r="R37" s="27">
        <f>_xlfn.XLOOKUP(Tableau1[[#This Row],[Rénovation prévue ?]],'Données Giant'!$A$8:$A$21,'Données Giant'!$D$8:$D$21,0)</f>
        <v>0</v>
      </c>
      <c r="S37">
        <f>_xlfn.XLOOKUP(Tableau1[[#This Row],[Rénovation prévue ?]],'Données Giant'!$A$8:$A$21,'Données Giant'!$E$8:$E$21,0)</f>
        <v>0</v>
      </c>
      <c r="T37">
        <f>_xlfn.XLOOKUP(Tableau1[[#This Row],[Rénovation prévue ?]],'Données Giant'!$A$8:$A$21,'Données Giant'!$F$8:$F$21,0)</f>
        <v>0</v>
      </c>
      <c r="U37">
        <f>_xlfn.XLOOKUP(Tableau1[[#This Row],[Rénovation prévue ?]],'Données Giant'!$A$8:$A$21,'Données Giant'!$G$8:$G$21,0)</f>
        <v>0</v>
      </c>
      <c r="V37">
        <f>_xlfn.XLOOKUP(Tableau1[[#This Row],[Rénovation prévue ?]],'Données Giant'!$A$8:$A$21,'Données Giant'!$H$8:$H$21,0)</f>
        <v>0</v>
      </c>
    </row>
    <row r="38" spans="1:22" x14ac:dyDescent="0.25">
      <c r="A38" s="29">
        <f>'Encodage données'!C100</f>
        <v>0</v>
      </c>
      <c r="B38" s="29">
        <f>'Encodage données'!D100</f>
        <v>0</v>
      </c>
      <c r="C38" s="29">
        <f>'Encodage données'!E100</f>
        <v>0</v>
      </c>
      <c r="D38" s="29">
        <f>'Encodage données'!F100</f>
        <v>0</v>
      </c>
      <c r="E38" s="29">
        <f>'Encodage données'!G100</f>
        <v>0</v>
      </c>
      <c r="F38" s="29">
        <f>'Encodage données'!H100</f>
        <v>0</v>
      </c>
      <c r="G38" s="29">
        <f>'Encodage données'!J100</f>
        <v>0</v>
      </c>
      <c r="H38" s="29">
        <f>IF(OR(Tableau1[[#This Row],[Isolation actuelle]]="U connu",Tableau1[[#This Row],[Isolation actuelle]]="U connu (porte et fenêtres)"),Tableau1[[#This Row],[Si U connu de la paroi]],_xlfn.XLOOKUP(Tableau1[[#This Row],[Isolation actuelle]],'Parois types'!$B$9:$B$71,'Parois types'!$C$9:$C$71,0))</f>
        <v>0</v>
      </c>
      <c r="I38" s="29">
        <f>IF(Tableau1[[#This Row],[Rénovation prévue ?]]='Données Giant'!$A$21,Tableau1[[#This Row],[Uactuel (W/m²K)]],'Encodage données'!I100)</f>
        <v>0</v>
      </c>
      <c r="J38">
        <f>_xlfn.XLOOKUP(Tableau1[[#This Row],[Catégorie]],Tableau4[Catégories de parois],Tableau4[ai],0)</f>
        <v>0</v>
      </c>
      <c r="K38">
        <f>Tableau1[[#This Row],[aj]]*Tableau1[[#This Row],[Uactuel (W/m²K)]]*Tableau1[[#This Row],[Surface (m²)]]</f>
        <v>0</v>
      </c>
      <c r="L38">
        <f>Tableau1[[#This Row],[aj]]*Tableau1[[#This Row],[Urénové (W/m²K)]]*Tableau1[[#This Row],[Surface (m²)]]</f>
        <v>0</v>
      </c>
      <c r="M38">
        <f>_xlfn.XLOOKUP(Tableau1[[#This Row],[Isolation actuelle]],'Parois types'!$B$9:$B$71,'Parois types'!$D$9:$D$71,0)</f>
        <v>0</v>
      </c>
      <c r="N38">
        <f>IF(Tableau1[[#This Row],[Rénovation prévue ?]]='Données Giant'!$A$21,Tableau1[[#This Row],[Facteur solaire actuel]],_xlfn.XLOOKUP(Tableau1[[#This Row],[Rénovation prévue ?]],'Données Giant'!$A$8:$A$21,'Données Giant'!$B$8:$B$21,0))</f>
        <v>0</v>
      </c>
      <c r="O38">
        <f>IF(Tableau1[[#This Row],[Catégorie]]=DonnéesAutres!$A$100,235*0.5*Tableau1[[#This Row],[Facteur solaire actuel]]*Tableau1[[#This Row],[Surface (m²)]],0)</f>
        <v>0</v>
      </c>
      <c r="P38" s="71">
        <f>235*0.5*Tableau1[[#This Row],[Facteur Solaire rénové]]*Tableau1[[#This Row],[Surface (m²)]]</f>
        <v>0</v>
      </c>
      <c r="Q38" s="71">
        <f>_xlfn.XLOOKUP(Tableau1[[#This Row],[Rénovation prévue ?]],'Données Giant'!$A$8:$A$21,'Données Giant'!$C$8:$C$21,0)</f>
        <v>0</v>
      </c>
      <c r="R38" s="27">
        <f>_xlfn.XLOOKUP(Tableau1[[#This Row],[Rénovation prévue ?]],'Données Giant'!$A$8:$A$21,'Données Giant'!$D$8:$D$21,0)</f>
        <v>0</v>
      </c>
      <c r="S38">
        <f>_xlfn.XLOOKUP(Tableau1[[#This Row],[Rénovation prévue ?]],'Données Giant'!$A$8:$A$21,'Données Giant'!$E$8:$E$21,0)</f>
        <v>0</v>
      </c>
      <c r="T38">
        <f>_xlfn.XLOOKUP(Tableau1[[#This Row],[Rénovation prévue ?]],'Données Giant'!$A$8:$A$21,'Données Giant'!$F$8:$F$21,0)</f>
        <v>0</v>
      </c>
      <c r="U38">
        <f>_xlfn.XLOOKUP(Tableau1[[#This Row],[Rénovation prévue ?]],'Données Giant'!$A$8:$A$21,'Données Giant'!$G$8:$G$21,0)</f>
        <v>0</v>
      </c>
      <c r="V38">
        <f>_xlfn.XLOOKUP(Tableau1[[#This Row],[Rénovation prévue ?]],'Données Giant'!$A$8:$A$21,'Données Giant'!$H$8:$H$21,0)</f>
        <v>0</v>
      </c>
    </row>
    <row r="39" spans="1:22" x14ac:dyDescent="0.25">
      <c r="A39" s="29">
        <f>'Encodage données'!C101</f>
        <v>0</v>
      </c>
      <c r="B39" s="29">
        <f>'Encodage données'!D101</f>
        <v>0</v>
      </c>
      <c r="C39" s="29">
        <f>'Encodage données'!E101</f>
        <v>0</v>
      </c>
      <c r="D39" s="29">
        <f>'Encodage données'!F101</f>
        <v>0</v>
      </c>
      <c r="E39" s="29">
        <f>'Encodage données'!G101</f>
        <v>0</v>
      </c>
      <c r="F39" s="29">
        <f>'Encodage données'!H101</f>
        <v>0</v>
      </c>
      <c r="G39" s="29">
        <f>'Encodage données'!J101</f>
        <v>0</v>
      </c>
      <c r="H39" s="29">
        <f>IF(OR(Tableau1[[#This Row],[Isolation actuelle]]="U connu",Tableau1[[#This Row],[Isolation actuelle]]="U connu (porte et fenêtres)"),Tableau1[[#This Row],[Si U connu de la paroi]],_xlfn.XLOOKUP(Tableau1[[#This Row],[Isolation actuelle]],'Parois types'!$B$9:$B$71,'Parois types'!$C$9:$C$71,0))</f>
        <v>0</v>
      </c>
      <c r="I39" s="29">
        <f>IF(Tableau1[[#This Row],[Rénovation prévue ?]]='Données Giant'!$A$21,Tableau1[[#This Row],[Uactuel (W/m²K)]],'Encodage données'!I101)</f>
        <v>0</v>
      </c>
      <c r="J39">
        <f>_xlfn.XLOOKUP(Tableau1[[#This Row],[Catégorie]],Tableau4[Catégories de parois],Tableau4[ai],0)</f>
        <v>0</v>
      </c>
      <c r="K39">
        <f>Tableau1[[#This Row],[aj]]*Tableau1[[#This Row],[Uactuel (W/m²K)]]*Tableau1[[#This Row],[Surface (m²)]]</f>
        <v>0</v>
      </c>
      <c r="L39">
        <f>Tableau1[[#This Row],[aj]]*Tableau1[[#This Row],[Urénové (W/m²K)]]*Tableau1[[#This Row],[Surface (m²)]]</f>
        <v>0</v>
      </c>
      <c r="M39">
        <f>_xlfn.XLOOKUP(Tableau1[[#This Row],[Isolation actuelle]],'Parois types'!$B$9:$B$71,'Parois types'!$D$9:$D$71,0)</f>
        <v>0</v>
      </c>
      <c r="N39">
        <f>IF(Tableau1[[#This Row],[Rénovation prévue ?]]='Données Giant'!$A$21,Tableau1[[#This Row],[Facteur solaire actuel]],_xlfn.XLOOKUP(Tableau1[[#This Row],[Rénovation prévue ?]],'Données Giant'!$A$8:$A$21,'Données Giant'!$B$8:$B$21,0))</f>
        <v>0</v>
      </c>
      <c r="O39">
        <f>IF(Tableau1[[#This Row],[Catégorie]]=DonnéesAutres!$A$100,235*0.5*Tableau1[[#This Row],[Facteur solaire actuel]]*Tableau1[[#This Row],[Surface (m²)]],0)</f>
        <v>0</v>
      </c>
      <c r="P39" s="71">
        <f>235*0.5*Tableau1[[#This Row],[Facteur Solaire rénové]]*Tableau1[[#This Row],[Surface (m²)]]</f>
        <v>0</v>
      </c>
      <c r="Q39" s="71">
        <f>_xlfn.XLOOKUP(Tableau1[[#This Row],[Rénovation prévue ?]],'Données Giant'!$A$8:$A$21,'Données Giant'!$C$8:$C$21,0)</f>
        <v>0</v>
      </c>
      <c r="R39" s="27">
        <f>_xlfn.XLOOKUP(Tableau1[[#This Row],[Rénovation prévue ?]],'Données Giant'!$A$8:$A$21,'Données Giant'!$D$8:$D$21,0)</f>
        <v>0</v>
      </c>
      <c r="S39">
        <f>_xlfn.XLOOKUP(Tableau1[[#This Row],[Rénovation prévue ?]],'Données Giant'!$A$8:$A$21,'Données Giant'!$E$8:$E$21,0)</f>
        <v>0</v>
      </c>
      <c r="T39">
        <f>_xlfn.XLOOKUP(Tableau1[[#This Row],[Rénovation prévue ?]],'Données Giant'!$A$8:$A$21,'Données Giant'!$F$8:$F$21,0)</f>
        <v>0</v>
      </c>
      <c r="U39">
        <f>_xlfn.XLOOKUP(Tableau1[[#This Row],[Rénovation prévue ?]],'Données Giant'!$A$8:$A$21,'Données Giant'!$G$8:$G$21,0)</f>
        <v>0</v>
      </c>
      <c r="V39">
        <f>_xlfn.XLOOKUP(Tableau1[[#This Row],[Rénovation prévue ?]],'Données Giant'!$A$8:$A$21,'Données Giant'!$H$8:$H$21,0)</f>
        <v>0</v>
      </c>
    </row>
    <row r="40" spans="1:22" x14ac:dyDescent="0.25">
      <c r="A40" s="29">
        <f>'Encodage données'!C102</f>
        <v>0</v>
      </c>
      <c r="B40" s="29">
        <f>'Encodage données'!D102</f>
        <v>0</v>
      </c>
      <c r="C40" s="29">
        <f>'Encodage données'!E102</f>
        <v>0</v>
      </c>
      <c r="D40" s="29">
        <f>'Encodage données'!F102</f>
        <v>0</v>
      </c>
      <c r="E40" s="29">
        <f>'Encodage données'!G102</f>
        <v>0</v>
      </c>
      <c r="F40" s="29">
        <f>'Encodage données'!H102</f>
        <v>0</v>
      </c>
      <c r="G40" s="29">
        <f>'Encodage données'!J102</f>
        <v>0</v>
      </c>
      <c r="H40" s="29">
        <f>IF(OR(Tableau1[[#This Row],[Isolation actuelle]]="U connu",Tableau1[[#This Row],[Isolation actuelle]]="U connu (porte et fenêtres)"),Tableau1[[#This Row],[Si U connu de la paroi]],_xlfn.XLOOKUP(Tableau1[[#This Row],[Isolation actuelle]],'Parois types'!$B$9:$B$71,'Parois types'!$C$9:$C$71,0))</f>
        <v>0</v>
      </c>
      <c r="I40" s="29">
        <f>IF(Tableau1[[#This Row],[Rénovation prévue ?]]='Données Giant'!$A$21,Tableau1[[#This Row],[Uactuel (W/m²K)]],'Encodage données'!I102)</f>
        <v>0</v>
      </c>
      <c r="J40">
        <f>_xlfn.XLOOKUP(Tableau1[[#This Row],[Catégorie]],Tableau4[Catégories de parois],Tableau4[ai],0)</f>
        <v>0</v>
      </c>
      <c r="K40">
        <f>Tableau1[[#This Row],[aj]]*Tableau1[[#This Row],[Uactuel (W/m²K)]]*Tableau1[[#This Row],[Surface (m²)]]</f>
        <v>0</v>
      </c>
      <c r="L40">
        <f>Tableau1[[#This Row],[aj]]*Tableau1[[#This Row],[Urénové (W/m²K)]]*Tableau1[[#This Row],[Surface (m²)]]</f>
        <v>0</v>
      </c>
      <c r="M40">
        <f>_xlfn.XLOOKUP(Tableau1[[#This Row],[Isolation actuelle]],'Parois types'!$B$9:$B$71,'Parois types'!$D$9:$D$71,0)</f>
        <v>0</v>
      </c>
      <c r="N40">
        <f>IF(Tableau1[[#This Row],[Rénovation prévue ?]]='Données Giant'!$A$21,Tableau1[[#This Row],[Facteur solaire actuel]],_xlfn.XLOOKUP(Tableau1[[#This Row],[Rénovation prévue ?]],'Données Giant'!$A$8:$A$21,'Données Giant'!$B$8:$B$21,0))</f>
        <v>0</v>
      </c>
      <c r="O40">
        <f>IF(Tableau1[[#This Row],[Catégorie]]=DonnéesAutres!$A$100,235*0.5*Tableau1[[#This Row],[Facteur solaire actuel]]*Tableau1[[#This Row],[Surface (m²)]],0)</f>
        <v>0</v>
      </c>
      <c r="P40" s="71">
        <f>235*0.5*Tableau1[[#This Row],[Facteur Solaire rénové]]*Tableau1[[#This Row],[Surface (m²)]]</f>
        <v>0</v>
      </c>
      <c r="Q40" s="71">
        <f>_xlfn.XLOOKUP(Tableau1[[#This Row],[Rénovation prévue ?]],'Données Giant'!$A$8:$A$21,'Données Giant'!$C$8:$C$21,0)</f>
        <v>0</v>
      </c>
      <c r="R40" s="27">
        <f>_xlfn.XLOOKUP(Tableau1[[#This Row],[Rénovation prévue ?]],'Données Giant'!$A$8:$A$21,'Données Giant'!$D$8:$D$21,0)</f>
        <v>0</v>
      </c>
      <c r="S40">
        <f>_xlfn.XLOOKUP(Tableau1[[#This Row],[Rénovation prévue ?]],'Données Giant'!$A$8:$A$21,'Données Giant'!$E$8:$E$21,0)</f>
        <v>0</v>
      </c>
      <c r="T40">
        <f>_xlfn.XLOOKUP(Tableau1[[#This Row],[Rénovation prévue ?]],'Données Giant'!$A$8:$A$21,'Données Giant'!$F$8:$F$21,0)</f>
        <v>0</v>
      </c>
      <c r="U40">
        <f>_xlfn.XLOOKUP(Tableau1[[#This Row],[Rénovation prévue ?]],'Données Giant'!$A$8:$A$21,'Données Giant'!$G$8:$G$21,0)</f>
        <v>0</v>
      </c>
      <c r="V40">
        <f>_xlfn.XLOOKUP(Tableau1[[#This Row],[Rénovation prévue ?]],'Données Giant'!$A$8:$A$21,'Données Giant'!$H$8:$H$21,0)</f>
        <v>0</v>
      </c>
    </row>
    <row r="41" spans="1:22" x14ac:dyDescent="0.25">
      <c r="A41" s="29">
        <f>'Encodage données'!C103</f>
        <v>0</v>
      </c>
      <c r="B41" s="29">
        <f>'Encodage données'!D103</f>
        <v>0</v>
      </c>
      <c r="C41" s="29">
        <f>'Encodage données'!E103</f>
        <v>0</v>
      </c>
      <c r="D41" s="29">
        <f>'Encodage données'!F103</f>
        <v>0</v>
      </c>
      <c r="E41" s="29">
        <f>'Encodage données'!G103</f>
        <v>0</v>
      </c>
      <c r="F41" s="29">
        <f>'Encodage données'!H103</f>
        <v>0</v>
      </c>
      <c r="G41" s="29">
        <f>'Encodage données'!J103</f>
        <v>0</v>
      </c>
      <c r="H41" s="29">
        <f>IF(OR(Tableau1[[#This Row],[Isolation actuelle]]="U connu",Tableau1[[#This Row],[Isolation actuelle]]="U connu (porte et fenêtres)"),Tableau1[[#This Row],[Si U connu de la paroi]],_xlfn.XLOOKUP(Tableau1[[#This Row],[Isolation actuelle]],'Parois types'!$B$9:$B$71,'Parois types'!$C$9:$C$71,0))</f>
        <v>0</v>
      </c>
      <c r="I41" s="29">
        <f>IF(Tableau1[[#This Row],[Rénovation prévue ?]]='Données Giant'!$A$21,Tableau1[[#This Row],[Uactuel (W/m²K)]],'Encodage données'!I103)</f>
        <v>0</v>
      </c>
      <c r="J41">
        <f>_xlfn.XLOOKUP(Tableau1[[#This Row],[Catégorie]],Tableau4[Catégories de parois],Tableau4[ai],0)</f>
        <v>0</v>
      </c>
      <c r="K41">
        <f>Tableau1[[#This Row],[aj]]*Tableau1[[#This Row],[Uactuel (W/m²K)]]*Tableau1[[#This Row],[Surface (m²)]]</f>
        <v>0</v>
      </c>
      <c r="L41">
        <f>Tableau1[[#This Row],[aj]]*Tableau1[[#This Row],[Urénové (W/m²K)]]*Tableau1[[#This Row],[Surface (m²)]]</f>
        <v>0</v>
      </c>
      <c r="M41">
        <f>_xlfn.XLOOKUP(Tableau1[[#This Row],[Isolation actuelle]],'Parois types'!$B$9:$B$71,'Parois types'!$D$9:$D$71,0)</f>
        <v>0</v>
      </c>
      <c r="N41">
        <f>IF(Tableau1[[#This Row],[Rénovation prévue ?]]='Données Giant'!$A$21,Tableau1[[#This Row],[Facteur solaire actuel]],_xlfn.XLOOKUP(Tableau1[[#This Row],[Rénovation prévue ?]],'Données Giant'!$A$8:$A$21,'Données Giant'!$B$8:$B$21,0))</f>
        <v>0</v>
      </c>
      <c r="O41">
        <f>IF(Tableau1[[#This Row],[Catégorie]]=DonnéesAutres!$A$100,235*0.5*Tableau1[[#This Row],[Facteur solaire actuel]]*Tableau1[[#This Row],[Surface (m²)]],0)</f>
        <v>0</v>
      </c>
      <c r="P41" s="71">
        <f>235*0.5*Tableau1[[#This Row],[Facteur Solaire rénové]]*Tableau1[[#This Row],[Surface (m²)]]</f>
        <v>0</v>
      </c>
      <c r="Q41" s="71">
        <f>_xlfn.XLOOKUP(Tableau1[[#This Row],[Rénovation prévue ?]],'Données Giant'!$A$8:$A$21,'Données Giant'!$C$8:$C$21,0)</f>
        <v>0</v>
      </c>
      <c r="R41" s="27">
        <f>_xlfn.XLOOKUP(Tableau1[[#This Row],[Rénovation prévue ?]],'Données Giant'!$A$8:$A$21,'Données Giant'!$D$8:$D$21,0)</f>
        <v>0</v>
      </c>
      <c r="S41">
        <f>_xlfn.XLOOKUP(Tableau1[[#This Row],[Rénovation prévue ?]],'Données Giant'!$A$8:$A$21,'Données Giant'!$E$8:$E$21,0)</f>
        <v>0</v>
      </c>
      <c r="T41">
        <f>_xlfn.XLOOKUP(Tableau1[[#This Row],[Rénovation prévue ?]],'Données Giant'!$A$8:$A$21,'Données Giant'!$F$8:$F$21,0)</f>
        <v>0</v>
      </c>
      <c r="U41">
        <f>_xlfn.XLOOKUP(Tableau1[[#This Row],[Rénovation prévue ?]],'Données Giant'!$A$8:$A$21,'Données Giant'!$G$8:$G$21,0)</f>
        <v>0</v>
      </c>
      <c r="V41">
        <f>_xlfn.XLOOKUP(Tableau1[[#This Row],[Rénovation prévue ?]],'Données Giant'!$A$8:$A$21,'Données Giant'!$H$8:$H$21,0)</f>
        <v>0</v>
      </c>
    </row>
    <row r="42" spans="1:22" x14ac:dyDescent="0.25">
      <c r="A42" s="29">
        <f>'Encodage données'!C104</f>
        <v>0</v>
      </c>
      <c r="B42" s="29">
        <f>'Encodage données'!D104</f>
        <v>0</v>
      </c>
      <c r="C42" s="29">
        <f>'Encodage données'!E104</f>
        <v>0</v>
      </c>
      <c r="D42" s="29">
        <f>'Encodage données'!F104</f>
        <v>0</v>
      </c>
      <c r="E42" s="29">
        <f>'Encodage données'!G104</f>
        <v>0</v>
      </c>
      <c r="F42" s="29">
        <f>'Encodage données'!H104</f>
        <v>0</v>
      </c>
      <c r="G42" s="29">
        <f>'Encodage données'!J104</f>
        <v>0</v>
      </c>
      <c r="H42" s="29">
        <f>IF(OR(Tableau1[[#This Row],[Isolation actuelle]]="U connu",Tableau1[[#This Row],[Isolation actuelle]]="U connu (porte et fenêtres)"),Tableau1[[#This Row],[Si U connu de la paroi]],_xlfn.XLOOKUP(Tableau1[[#This Row],[Isolation actuelle]],'Parois types'!$B$9:$B$71,'Parois types'!$C$9:$C$71,0))</f>
        <v>0</v>
      </c>
      <c r="I42" s="29">
        <f>IF(Tableau1[[#This Row],[Rénovation prévue ?]]='Données Giant'!$A$21,Tableau1[[#This Row],[Uactuel (W/m²K)]],'Encodage données'!I104)</f>
        <v>0</v>
      </c>
      <c r="J42">
        <f>_xlfn.XLOOKUP(Tableau1[[#This Row],[Catégorie]],Tableau4[Catégories de parois],Tableau4[ai],0)</f>
        <v>0</v>
      </c>
      <c r="K42">
        <f>Tableau1[[#This Row],[aj]]*Tableau1[[#This Row],[Uactuel (W/m²K)]]*Tableau1[[#This Row],[Surface (m²)]]</f>
        <v>0</v>
      </c>
      <c r="L42">
        <f>Tableau1[[#This Row],[aj]]*Tableau1[[#This Row],[Urénové (W/m²K)]]*Tableau1[[#This Row],[Surface (m²)]]</f>
        <v>0</v>
      </c>
      <c r="M42">
        <f>_xlfn.XLOOKUP(Tableau1[[#This Row],[Isolation actuelle]],'Parois types'!$B$9:$B$71,'Parois types'!$D$9:$D$71,0)</f>
        <v>0</v>
      </c>
      <c r="N42">
        <f>IF(Tableau1[[#This Row],[Rénovation prévue ?]]='Données Giant'!$A$21,Tableau1[[#This Row],[Facteur solaire actuel]],_xlfn.XLOOKUP(Tableau1[[#This Row],[Rénovation prévue ?]],'Données Giant'!$A$8:$A$21,'Données Giant'!$B$8:$B$21,0))</f>
        <v>0</v>
      </c>
      <c r="O42">
        <f>IF(Tableau1[[#This Row],[Catégorie]]=DonnéesAutres!$A$100,235*0.5*Tableau1[[#This Row],[Facteur solaire actuel]]*Tableau1[[#This Row],[Surface (m²)]],0)</f>
        <v>0</v>
      </c>
      <c r="P42" s="71">
        <f>235*0.5*Tableau1[[#This Row],[Facteur Solaire rénové]]*Tableau1[[#This Row],[Surface (m²)]]</f>
        <v>0</v>
      </c>
      <c r="Q42" s="71">
        <f>_xlfn.XLOOKUP(Tableau1[[#This Row],[Rénovation prévue ?]],'Données Giant'!$A$8:$A$21,'Données Giant'!$C$8:$C$21,0)</f>
        <v>0</v>
      </c>
      <c r="R42" s="27">
        <f>_xlfn.XLOOKUP(Tableau1[[#This Row],[Rénovation prévue ?]],'Données Giant'!$A$8:$A$21,'Données Giant'!$D$8:$D$21,0)</f>
        <v>0</v>
      </c>
      <c r="S42">
        <f>_xlfn.XLOOKUP(Tableau1[[#This Row],[Rénovation prévue ?]],'Données Giant'!$A$8:$A$21,'Données Giant'!$E$8:$E$21,0)</f>
        <v>0</v>
      </c>
      <c r="T42">
        <f>_xlfn.XLOOKUP(Tableau1[[#This Row],[Rénovation prévue ?]],'Données Giant'!$A$8:$A$21,'Données Giant'!$F$8:$F$21,0)</f>
        <v>0</v>
      </c>
      <c r="U42">
        <f>_xlfn.XLOOKUP(Tableau1[[#This Row],[Rénovation prévue ?]],'Données Giant'!$A$8:$A$21,'Données Giant'!$G$8:$G$21,0)</f>
        <v>0</v>
      </c>
      <c r="V42">
        <f>_xlfn.XLOOKUP(Tableau1[[#This Row],[Rénovation prévue ?]],'Données Giant'!$A$8:$A$21,'Données Giant'!$H$8:$H$21,0)</f>
        <v>0</v>
      </c>
    </row>
    <row r="43" spans="1:22" x14ac:dyDescent="0.25">
      <c r="A43" s="29">
        <f>'Encodage données'!C105</f>
        <v>0</v>
      </c>
      <c r="B43" s="29">
        <f>'Encodage données'!D105</f>
        <v>0</v>
      </c>
      <c r="C43" s="29">
        <f>'Encodage données'!E105</f>
        <v>0</v>
      </c>
      <c r="D43" s="29">
        <f>'Encodage données'!F105</f>
        <v>0</v>
      </c>
      <c r="E43" s="29">
        <f>'Encodage données'!G105</f>
        <v>0</v>
      </c>
      <c r="F43" s="29">
        <f>'Encodage données'!H105</f>
        <v>0</v>
      </c>
      <c r="G43" s="29">
        <f>'Encodage données'!J105</f>
        <v>0</v>
      </c>
      <c r="H43" s="29">
        <f>IF(OR(Tableau1[[#This Row],[Isolation actuelle]]="U connu",Tableau1[[#This Row],[Isolation actuelle]]="U connu (porte et fenêtres)"),Tableau1[[#This Row],[Si U connu de la paroi]],_xlfn.XLOOKUP(Tableau1[[#This Row],[Isolation actuelle]],'Parois types'!$B$9:$B$71,'Parois types'!$C$9:$C$71,0))</f>
        <v>0</v>
      </c>
      <c r="I43" s="29">
        <f>IF(Tableau1[[#This Row],[Rénovation prévue ?]]='Données Giant'!$A$21,Tableau1[[#This Row],[Uactuel (W/m²K)]],'Encodage données'!I105)</f>
        <v>0</v>
      </c>
      <c r="J43">
        <f>_xlfn.XLOOKUP(Tableau1[[#This Row],[Catégorie]],Tableau4[Catégories de parois],Tableau4[ai],0)</f>
        <v>0</v>
      </c>
      <c r="K43">
        <f>Tableau1[[#This Row],[aj]]*Tableau1[[#This Row],[Uactuel (W/m²K)]]*Tableau1[[#This Row],[Surface (m²)]]</f>
        <v>0</v>
      </c>
      <c r="L43">
        <f>Tableau1[[#This Row],[aj]]*Tableau1[[#This Row],[Urénové (W/m²K)]]*Tableau1[[#This Row],[Surface (m²)]]</f>
        <v>0</v>
      </c>
      <c r="M43">
        <f>_xlfn.XLOOKUP(Tableau1[[#This Row],[Isolation actuelle]],'Parois types'!$B$9:$B$71,'Parois types'!$D$9:$D$71,0)</f>
        <v>0</v>
      </c>
      <c r="N43">
        <f>IF(Tableau1[[#This Row],[Rénovation prévue ?]]='Données Giant'!$A$21,Tableau1[[#This Row],[Facteur solaire actuel]],_xlfn.XLOOKUP(Tableau1[[#This Row],[Rénovation prévue ?]],'Données Giant'!$A$8:$A$21,'Données Giant'!$B$8:$B$21,0))</f>
        <v>0</v>
      </c>
      <c r="O43">
        <f>IF(Tableau1[[#This Row],[Catégorie]]=DonnéesAutres!$A$100,235*0.5*Tableau1[[#This Row],[Facteur solaire actuel]]*Tableau1[[#This Row],[Surface (m²)]],0)</f>
        <v>0</v>
      </c>
      <c r="P43" s="71">
        <f>235*0.5*Tableau1[[#This Row],[Facteur Solaire rénové]]*Tableau1[[#This Row],[Surface (m²)]]</f>
        <v>0</v>
      </c>
      <c r="Q43" s="71">
        <f>_xlfn.XLOOKUP(Tableau1[[#This Row],[Rénovation prévue ?]],'Données Giant'!$A$8:$A$21,'Données Giant'!$C$8:$C$21,0)</f>
        <v>0</v>
      </c>
      <c r="R43" s="27">
        <f>_xlfn.XLOOKUP(Tableau1[[#This Row],[Rénovation prévue ?]],'Données Giant'!$A$8:$A$21,'Données Giant'!$D$8:$D$21,0)</f>
        <v>0</v>
      </c>
      <c r="S43">
        <f>_xlfn.XLOOKUP(Tableau1[[#This Row],[Rénovation prévue ?]],'Données Giant'!$A$8:$A$21,'Données Giant'!$E$8:$E$21,0)</f>
        <v>0</v>
      </c>
      <c r="T43">
        <f>_xlfn.XLOOKUP(Tableau1[[#This Row],[Rénovation prévue ?]],'Données Giant'!$A$8:$A$21,'Données Giant'!$F$8:$F$21,0)</f>
        <v>0</v>
      </c>
      <c r="U43">
        <f>_xlfn.XLOOKUP(Tableau1[[#This Row],[Rénovation prévue ?]],'Données Giant'!$A$8:$A$21,'Données Giant'!$G$8:$G$21,0)</f>
        <v>0</v>
      </c>
      <c r="V43">
        <f>_xlfn.XLOOKUP(Tableau1[[#This Row],[Rénovation prévue ?]],'Données Giant'!$A$8:$A$21,'Données Giant'!$H$8:$H$21,0)</f>
        <v>0</v>
      </c>
    </row>
    <row r="44" spans="1:22" x14ac:dyDescent="0.25">
      <c r="A44" s="29">
        <f>'Encodage données'!C106</f>
        <v>0</v>
      </c>
      <c r="B44" s="29">
        <f>'Encodage données'!D106</f>
        <v>0</v>
      </c>
      <c r="C44" s="29">
        <f>'Encodage données'!E106</f>
        <v>0</v>
      </c>
      <c r="D44" s="29">
        <f>'Encodage données'!F106</f>
        <v>0</v>
      </c>
      <c r="E44" s="29">
        <f>'Encodage données'!G106</f>
        <v>0</v>
      </c>
      <c r="F44" s="29">
        <f>'Encodage données'!H106</f>
        <v>0</v>
      </c>
      <c r="G44" s="29">
        <f>'Encodage données'!J106</f>
        <v>0</v>
      </c>
      <c r="H44" s="29">
        <f>IF(OR(Tableau1[[#This Row],[Isolation actuelle]]="U connu",Tableau1[[#This Row],[Isolation actuelle]]="U connu (porte et fenêtres)"),Tableau1[[#This Row],[Si U connu de la paroi]],_xlfn.XLOOKUP(Tableau1[[#This Row],[Isolation actuelle]],'Parois types'!$B$9:$B$71,'Parois types'!$C$9:$C$71,0))</f>
        <v>0</v>
      </c>
      <c r="I44" s="29">
        <f>IF(Tableau1[[#This Row],[Rénovation prévue ?]]='Données Giant'!$A$21,Tableau1[[#This Row],[Uactuel (W/m²K)]],'Encodage données'!I106)</f>
        <v>0</v>
      </c>
      <c r="J44">
        <f>_xlfn.XLOOKUP(Tableau1[[#This Row],[Catégorie]],Tableau4[Catégories de parois],Tableau4[ai],0)</f>
        <v>0</v>
      </c>
      <c r="K44">
        <f>Tableau1[[#This Row],[aj]]*Tableau1[[#This Row],[Uactuel (W/m²K)]]*Tableau1[[#This Row],[Surface (m²)]]</f>
        <v>0</v>
      </c>
      <c r="L44">
        <f>Tableau1[[#This Row],[aj]]*Tableau1[[#This Row],[Urénové (W/m²K)]]*Tableau1[[#This Row],[Surface (m²)]]</f>
        <v>0</v>
      </c>
      <c r="M44">
        <f>_xlfn.XLOOKUP(Tableau1[[#This Row],[Isolation actuelle]],'Parois types'!$B$9:$B$71,'Parois types'!$D$9:$D$71,0)</f>
        <v>0</v>
      </c>
      <c r="N44">
        <f>IF(Tableau1[[#This Row],[Rénovation prévue ?]]='Données Giant'!$A$21,Tableau1[[#This Row],[Facteur solaire actuel]],_xlfn.XLOOKUP(Tableau1[[#This Row],[Rénovation prévue ?]],'Données Giant'!$A$8:$A$21,'Données Giant'!$B$8:$B$21,0))</f>
        <v>0</v>
      </c>
      <c r="O44">
        <f>IF(Tableau1[[#This Row],[Catégorie]]=DonnéesAutres!$A$100,235*0.5*Tableau1[[#This Row],[Facteur solaire actuel]]*Tableau1[[#This Row],[Surface (m²)]],0)</f>
        <v>0</v>
      </c>
      <c r="P44" s="71">
        <f>235*0.5*Tableau1[[#This Row],[Facteur Solaire rénové]]*Tableau1[[#This Row],[Surface (m²)]]</f>
        <v>0</v>
      </c>
      <c r="Q44" s="71">
        <f>_xlfn.XLOOKUP(Tableau1[[#This Row],[Rénovation prévue ?]],'Données Giant'!$A$8:$A$21,'Données Giant'!$C$8:$C$21,0)</f>
        <v>0</v>
      </c>
      <c r="R44" s="27">
        <f>_xlfn.XLOOKUP(Tableau1[[#This Row],[Rénovation prévue ?]],'Données Giant'!$A$8:$A$21,'Données Giant'!$D$8:$D$21,0)</f>
        <v>0</v>
      </c>
      <c r="S44">
        <f>_xlfn.XLOOKUP(Tableau1[[#This Row],[Rénovation prévue ?]],'Données Giant'!$A$8:$A$21,'Données Giant'!$E$8:$E$21,0)</f>
        <v>0</v>
      </c>
      <c r="T44">
        <f>_xlfn.XLOOKUP(Tableau1[[#This Row],[Rénovation prévue ?]],'Données Giant'!$A$8:$A$21,'Données Giant'!$F$8:$F$21,0)</f>
        <v>0</v>
      </c>
      <c r="U44">
        <f>_xlfn.XLOOKUP(Tableau1[[#This Row],[Rénovation prévue ?]],'Données Giant'!$A$8:$A$21,'Données Giant'!$G$8:$G$21,0)</f>
        <v>0</v>
      </c>
      <c r="V44">
        <f>_xlfn.XLOOKUP(Tableau1[[#This Row],[Rénovation prévue ?]],'Données Giant'!$A$8:$A$21,'Données Giant'!$H$8:$H$21,0)</f>
        <v>0</v>
      </c>
    </row>
    <row r="45" spans="1:22" x14ac:dyDescent="0.25">
      <c r="A45" s="29">
        <f>'Encodage données'!C107</f>
        <v>0</v>
      </c>
      <c r="B45" s="29">
        <f>'Encodage données'!D107</f>
        <v>0</v>
      </c>
      <c r="C45" s="29">
        <f>'Encodage données'!E107</f>
        <v>0</v>
      </c>
      <c r="D45" s="29">
        <f>'Encodage données'!F107</f>
        <v>0</v>
      </c>
      <c r="E45" s="29">
        <f>'Encodage données'!G107</f>
        <v>0</v>
      </c>
      <c r="F45" s="29">
        <f>'Encodage données'!H107</f>
        <v>0</v>
      </c>
      <c r="G45" s="29">
        <f>'Encodage données'!J107</f>
        <v>0</v>
      </c>
      <c r="H45" s="29">
        <f>IF(OR(Tableau1[[#This Row],[Isolation actuelle]]="U connu",Tableau1[[#This Row],[Isolation actuelle]]="U connu (porte et fenêtres)"),Tableau1[[#This Row],[Si U connu de la paroi]],_xlfn.XLOOKUP(Tableau1[[#This Row],[Isolation actuelle]],'Parois types'!$B$9:$B$71,'Parois types'!$C$9:$C$71,0))</f>
        <v>0</v>
      </c>
      <c r="I45" s="29">
        <f>IF(Tableau1[[#This Row],[Rénovation prévue ?]]='Données Giant'!$A$21,Tableau1[[#This Row],[Uactuel (W/m²K)]],'Encodage données'!I107)</f>
        <v>0</v>
      </c>
      <c r="J45">
        <f>_xlfn.XLOOKUP(Tableau1[[#This Row],[Catégorie]],Tableau4[Catégories de parois],Tableau4[ai],0)</f>
        <v>0</v>
      </c>
      <c r="K45">
        <f>Tableau1[[#This Row],[aj]]*Tableau1[[#This Row],[Uactuel (W/m²K)]]*Tableau1[[#This Row],[Surface (m²)]]</f>
        <v>0</v>
      </c>
      <c r="L45">
        <f>Tableau1[[#This Row],[aj]]*Tableau1[[#This Row],[Urénové (W/m²K)]]*Tableau1[[#This Row],[Surface (m²)]]</f>
        <v>0</v>
      </c>
      <c r="M45">
        <f>_xlfn.XLOOKUP(Tableau1[[#This Row],[Isolation actuelle]],'Parois types'!$B$9:$B$71,'Parois types'!$D$9:$D$71,0)</f>
        <v>0</v>
      </c>
      <c r="N45">
        <f>IF(Tableau1[[#This Row],[Rénovation prévue ?]]='Données Giant'!$A$21,Tableau1[[#This Row],[Facteur solaire actuel]],_xlfn.XLOOKUP(Tableau1[[#This Row],[Rénovation prévue ?]],'Données Giant'!$A$8:$A$21,'Données Giant'!$B$8:$B$21,0))</f>
        <v>0</v>
      </c>
      <c r="O45">
        <f>IF(Tableau1[[#This Row],[Catégorie]]=DonnéesAutres!$A$100,235*0.5*Tableau1[[#This Row],[Facteur solaire actuel]]*Tableau1[[#This Row],[Surface (m²)]],0)</f>
        <v>0</v>
      </c>
      <c r="P45" s="71">
        <f>235*0.5*Tableau1[[#This Row],[Facteur Solaire rénové]]*Tableau1[[#This Row],[Surface (m²)]]</f>
        <v>0</v>
      </c>
      <c r="Q45" s="71">
        <f>_xlfn.XLOOKUP(Tableau1[[#This Row],[Rénovation prévue ?]],'Données Giant'!$A$8:$A$21,'Données Giant'!$C$8:$C$21,0)</f>
        <v>0</v>
      </c>
      <c r="R45" s="27">
        <f>_xlfn.XLOOKUP(Tableau1[[#This Row],[Rénovation prévue ?]],'Données Giant'!$A$8:$A$21,'Données Giant'!$D$8:$D$21,0)</f>
        <v>0</v>
      </c>
      <c r="S45">
        <f>_xlfn.XLOOKUP(Tableau1[[#This Row],[Rénovation prévue ?]],'Données Giant'!$A$8:$A$21,'Données Giant'!$E$8:$E$21,0)</f>
        <v>0</v>
      </c>
      <c r="T45">
        <f>_xlfn.XLOOKUP(Tableau1[[#This Row],[Rénovation prévue ?]],'Données Giant'!$A$8:$A$21,'Données Giant'!$F$8:$F$21,0)</f>
        <v>0</v>
      </c>
      <c r="U45">
        <f>_xlfn.XLOOKUP(Tableau1[[#This Row],[Rénovation prévue ?]],'Données Giant'!$A$8:$A$21,'Données Giant'!$G$8:$G$21,0)</f>
        <v>0</v>
      </c>
      <c r="V45">
        <f>_xlfn.XLOOKUP(Tableau1[[#This Row],[Rénovation prévue ?]],'Données Giant'!$A$8:$A$21,'Données Giant'!$H$8:$H$21,0)</f>
        <v>0</v>
      </c>
    </row>
    <row r="46" spans="1:22" x14ac:dyDescent="0.25">
      <c r="A46" s="29">
        <f>'Encodage données'!C108</f>
        <v>0</v>
      </c>
      <c r="B46" s="29">
        <f>'Encodage données'!D108</f>
        <v>0</v>
      </c>
      <c r="C46" s="29">
        <f>'Encodage données'!E108</f>
        <v>0</v>
      </c>
      <c r="D46" s="29">
        <f>'Encodage données'!F108</f>
        <v>0</v>
      </c>
      <c r="E46" s="29">
        <f>'Encodage données'!G108</f>
        <v>0</v>
      </c>
      <c r="F46" s="29">
        <f>'Encodage données'!H108</f>
        <v>0</v>
      </c>
      <c r="G46" s="29">
        <f>'Encodage données'!J108</f>
        <v>0</v>
      </c>
      <c r="H46" s="29">
        <f>IF(OR(Tableau1[[#This Row],[Isolation actuelle]]="U connu",Tableau1[[#This Row],[Isolation actuelle]]="U connu (porte et fenêtres)"),Tableau1[[#This Row],[Si U connu de la paroi]],_xlfn.XLOOKUP(Tableau1[[#This Row],[Isolation actuelle]],'Parois types'!$B$9:$B$71,'Parois types'!$C$9:$C$71,0))</f>
        <v>0</v>
      </c>
      <c r="I46" s="29">
        <f>IF(Tableau1[[#This Row],[Rénovation prévue ?]]='Données Giant'!$A$21,Tableau1[[#This Row],[Uactuel (W/m²K)]],'Encodage données'!I108)</f>
        <v>0</v>
      </c>
      <c r="J46">
        <f>_xlfn.XLOOKUP(Tableau1[[#This Row],[Catégorie]],Tableau4[Catégories de parois],Tableau4[ai],0)</f>
        <v>0</v>
      </c>
      <c r="K46">
        <f>Tableau1[[#This Row],[aj]]*Tableau1[[#This Row],[Uactuel (W/m²K)]]*Tableau1[[#This Row],[Surface (m²)]]</f>
        <v>0</v>
      </c>
      <c r="L46">
        <f>Tableau1[[#This Row],[aj]]*Tableau1[[#This Row],[Urénové (W/m²K)]]*Tableau1[[#This Row],[Surface (m²)]]</f>
        <v>0</v>
      </c>
      <c r="M46">
        <f>_xlfn.XLOOKUP(Tableau1[[#This Row],[Isolation actuelle]],'Parois types'!$B$9:$B$71,'Parois types'!$D$9:$D$71,0)</f>
        <v>0</v>
      </c>
      <c r="N46">
        <f>IF(Tableau1[[#This Row],[Rénovation prévue ?]]='Données Giant'!$A$21,Tableau1[[#This Row],[Facteur solaire actuel]],_xlfn.XLOOKUP(Tableau1[[#This Row],[Rénovation prévue ?]],'Données Giant'!$A$8:$A$21,'Données Giant'!$B$8:$B$21,0))</f>
        <v>0</v>
      </c>
      <c r="O46">
        <f>IF(Tableau1[[#This Row],[Catégorie]]=DonnéesAutres!$A$100,235*0.5*Tableau1[[#This Row],[Facteur solaire actuel]]*Tableau1[[#This Row],[Surface (m²)]],0)</f>
        <v>0</v>
      </c>
      <c r="P46" s="71">
        <f>235*0.5*Tableau1[[#This Row],[Facteur Solaire rénové]]*Tableau1[[#This Row],[Surface (m²)]]</f>
        <v>0</v>
      </c>
      <c r="Q46" s="71">
        <f>_xlfn.XLOOKUP(Tableau1[[#This Row],[Rénovation prévue ?]],'Données Giant'!$A$8:$A$21,'Données Giant'!$C$8:$C$21,0)</f>
        <v>0</v>
      </c>
      <c r="R46" s="27">
        <f>_xlfn.XLOOKUP(Tableau1[[#This Row],[Rénovation prévue ?]],'Données Giant'!$A$8:$A$21,'Données Giant'!$D$8:$D$21,0)</f>
        <v>0</v>
      </c>
      <c r="S46">
        <f>_xlfn.XLOOKUP(Tableau1[[#This Row],[Rénovation prévue ?]],'Données Giant'!$A$8:$A$21,'Données Giant'!$E$8:$E$21,0)</f>
        <v>0</v>
      </c>
      <c r="T46">
        <f>_xlfn.XLOOKUP(Tableau1[[#This Row],[Rénovation prévue ?]],'Données Giant'!$A$8:$A$21,'Données Giant'!$F$8:$F$21,0)</f>
        <v>0</v>
      </c>
      <c r="U46">
        <f>_xlfn.XLOOKUP(Tableau1[[#This Row],[Rénovation prévue ?]],'Données Giant'!$A$8:$A$21,'Données Giant'!$G$8:$G$21,0)</f>
        <v>0</v>
      </c>
      <c r="V46">
        <f>_xlfn.XLOOKUP(Tableau1[[#This Row],[Rénovation prévue ?]],'Données Giant'!$A$8:$A$21,'Données Giant'!$H$8:$H$21,0)</f>
        <v>0</v>
      </c>
    </row>
    <row r="47" spans="1:22" x14ac:dyDescent="0.25">
      <c r="A47" s="29">
        <f>'Encodage données'!C109</f>
        <v>0</v>
      </c>
      <c r="B47" s="29">
        <f>'Encodage données'!D109</f>
        <v>0</v>
      </c>
      <c r="C47" s="29">
        <f>'Encodage données'!E109</f>
        <v>0</v>
      </c>
      <c r="D47" s="29">
        <f>'Encodage données'!F109</f>
        <v>0</v>
      </c>
      <c r="E47" s="29">
        <f>'Encodage données'!G109</f>
        <v>0</v>
      </c>
      <c r="F47" s="29">
        <f>'Encodage données'!H109</f>
        <v>0</v>
      </c>
      <c r="G47" s="29">
        <f>'Encodage données'!J109</f>
        <v>0</v>
      </c>
      <c r="H47" s="29">
        <f>IF(OR(Tableau1[[#This Row],[Isolation actuelle]]="U connu",Tableau1[[#This Row],[Isolation actuelle]]="U connu (porte et fenêtres)"),Tableau1[[#This Row],[Si U connu de la paroi]],_xlfn.XLOOKUP(Tableau1[[#This Row],[Isolation actuelle]],'Parois types'!$B$9:$B$71,'Parois types'!$C$9:$C$71,0))</f>
        <v>0</v>
      </c>
      <c r="I47" s="29">
        <f>IF(Tableau1[[#This Row],[Rénovation prévue ?]]='Données Giant'!$A$21,Tableau1[[#This Row],[Uactuel (W/m²K)]],'Encodage données'!I109)</f>
        <v>0</v>
      </c>
      <c r="J47">
        <f>_xlfn.XLOOKUP(Tableau1[[#This Row],[Catégorie]],Tableau4[Catégories de parois],Tableau4[ai],0)</f>
        <v>0</v>
      </c>
      <c r="K47">
        <f>Tableau1[[#This Row],[aj]]*Tableau1[[#This Row],[Uactuel (W/m²K)]]*Tableau1[[#This Row],[Surface (m²)]]</f>
        <v>0</v>
      </c>
      <c r="L47">
        <f>Tableau1[[#This Row],[aj]]*Tableau1[[#This Row],[Urénové (W/m²K)]]*Tableau1[[#This Row],[Surface (m²)]]</f>
        <v>0</v>
      </c>
      <c r="M47">
        <f>_xlfn.XLOOKUP(Tableau1[[#This Row],[Isolation actuelle]],'Parois types'!$B$9:$B$71,'Parois types'!$D$9:$D$71,0)</f>
        <v>0</v>
      </c>
      <c r="N47">
        <f>IF(Tableau1[[#This Row],[Rénovation prévue ?]]='Données Giant'!$A$21,Tableau1[[#This Row],[Facteur solaire actuel]],_xlfn.XLOOKUP(Tableau1[[#This Row],[Rénovation prévue ?]],'Données Giant'!$A$8:$A$21,'Données Giant'!$B$8:$B$21,0))</f>
        <v>0</v>
      </c>
      <c r="O47">
        <f>IF(Tableau1[[#This Row],[Catégorie]]=DonnéesAutres!$A$100,235*0.5*Tableau1[[#This Row],[Facteur solaire actuel]]*Tableau1[[#This Row],[Surface (m²)]],0)</f>
        <v>0</v>
      </c>
      <c r="P47" s="71">
        <f>235*0.5*Tableau1[[#This Row],[Facteur Solaire rénové]]*Tableau1[[#This Row],[Surface (m²)]]</f>
        <v>0</v>
      </c>
      <c r="Q47" s="71">
        <f>_xlfn.XLOOKUP(Tableau1[[#This Row],[Rénovation prévue ?]],'Données Giant'!$A$8:$A$21,'Données Giant'!$C$8:$C$21,0)</f>
        <v>0</v>
      </c>
      <c r="R47" s="27">
        <f>_xlfn.XLOOKUP(Tableau1[[#This Row],[Rénovation prévue ?]],'Données Giant'!$A$8:$A$21,'Données Giant'!$D$8:$D$21,0)</f>
        <v>0</v>
      </c>
      <c r="S47">
        <f>_xlfn.XLOOKUP(Tableau1[[#This Row],[Rénovation prévue ?]],'Données Giant'!$A$8:$A$21,'Données Giant'!$E$8:$E$21,0)</f>
        <v>0</v>
      </c>
      <c r="T47">
        <f>_xlfn.XLOOKUP(Tableau1[[#This Row],[Rénovation prévue ?]],'Données Giant'!$A$8:$A$21,'Données Giant'!$F$8:$F$21,0)</f>
        <v>0</v>
      </c>
      <c r="U47">
        <f>_xlfn.XLOOKUP(Tableau1[[#This Row],[Rénovation prévue ?]],'Données Giant'!$A$8:$A$21,'Données Giant'!$G$8:$G$21,0)</f>
        <v>0</v>
      </c>
      <c r="V47">
        <f>_xlfn.XLOOKUP(Tableau1[[#This Row],[Rénovation prévue ?]],'Données Giant'!$A$8:$A$21,'Données Giant'!$H$8:$H$21,0)</f>
        <v>0</v>
      </c>
    </row>
    <row r="48" spans="1:22" x14ac:dyDescent="0.25">
      <c r="A48" s="29">
        <f>'Encodage données'!C110</f>
        <v>0</v>
      </c>
      <c r="B48" s="29">
        <f>'Encodage données'!D110</f>
        <v>0</v>
      </c>
      <c r="C48" s="29">
        <f>'Encodage données'!E110</f>
        <v>0</v>
      </c>
      <c r="D48" s="29">
        <f>'Encodage données'!F110</f>
        <v>0</v>
      </c>
      <c r="E48" s="29">
        <f>'Encodage données'!G110</f>
        <v>0</v>
      </c>
      <c r="F48" s="29">
        <f>'Encodage données'!H110</f>
        <v>0</v>
      </c>
      <c r="G48" s="29">
        <f>'Encodage données'!J110</f>
        <v>0</v>
      </c>
      <c r="H48" s="29">
        <f>IF(OR(Tableau1[[#This Row],[Isolation actuelle]]="U connu",Tableau1[[#This Row],[Isolation actuelle]]="U connu (porte et fenêtres)"),Tableau1[[#This Row],[Si U connu de la paroi]],_xlfn.XLOOKUP(Tableau1[[#This Row],[Isolation actuelle]],'Parois types'!$B$9:$B$71,'Parois types'!$C$9:$C$71,0))</f>
        <v>0</v>
      </c>
      <c r="I48" s="29">
        <f>IF(Tableau1[[#This Row],[Rénovation prévue ?]]='Données Giant'!$A$21,Tableau1[[#This Row],[Uactuel (W/m²K)]],'Encodage données'!I110)</f>
        <v>0</v>
      </c>
      <c r="J48">
        <f>_xlfn.XLOOKUP(Tableau1[[#This Row],[Catégorie]],Tableau4[Catégories de parois],Tableau4[ai],0)</f>
        <v>0</v>
      </c>
      <c r="K48">
        <f>Tableau1[[#This Row],[aj]]*Tableau1[[#This Row],[Uactuel (W/m²K)]]*Tableau1[[#This Row],[Surface (m²)]]</f>
        <v>0</v>
      </c>
      <c r="L48">
        <f>Tableau1[[#This Row],[aj]]*Tableau1[[#This Row],[Urénové (W/m²K)]]*Tableau1[[#This Row],[Surface (m²)]]</f>
        <v>0</v>
      </c>
      <c r="M48">
        <f>_xlfn.XLOOKUP(Tableau1[[#This Row],[Isolation actuelle]],'Parois types'!$B$9:$B$71,'Parois types'!$D$9:$D$71,0)</f>
        <v>0</v>
      </c>
      <c r="N48">
        <f>IF(Tableau1[[#This Row],[Rénovation prévue ?]]='Données Giant'!$A$21,Tableau1[[#This Row],[Facteur solaire actuel]],_xlfn.XLOOKUP(Tableau1[[#This Row],[Rénovation prévue ?]],'Données Giant'!$A$8:$A$21,'Données Giant'!$B$8:$B$21,0))</f>
        <v>0</v>
      </c>
      <c r="O48">
        <f>IF(Tableau1[[#This Row],[Catégorie]]=DonnéesAutres!$A$100,235*0.5*Tableau1[[#This Row],[Facteur solaire actuel]]*Tableau1[[#This Row],[Surface (m²)]],0)</f>
        <v>0</v>
      </c>
      <c r="P48" s="71">
        <f>235*0.5*Tableau1[[#This Row],[Facteur Solaire rénové]]*Tableau1[[#This Row],[Surface (m²)]]</f>
        <v>0</v>
      </c>
      <c r="Q48" s="71">
        <f>_xlfn.XLOOKUP(Tableau1[[#This Row],[Rénovation prévue ?]],'Données Giant'!$A$8:$A$21,'Données Giant'!$C$8:$C$21,0)</f>
        <v>0</v>
      </c>
      <c r="R48" s="27">
        <f>_xlfn.XLOOKUP(Tableau1[[#This Row],[Rénovation prévue ?]],'Données Giant'!$A$8:$A$21,'Données Giant'!$D$8:$D$21,0)</f>
        <v>0</v>
      </c>
      <c r="S48">
        <f>_xlfn.XLOOKUP(Tableau1[[#This Row],[Rénovation prévue ?]],'Données Giant'!$A$8:$A$21,'Données Giant'!$E$8:$E$21,0)</f>
        <v>0</v>
      </c>
      <c r="T48">
        <f>_xlfn.XLOOKUP(Tableau1[[#This Row],[Rénovation prévue ?]],'Données Giant'!$A$8:$A$21,'Données Giant'!$F$8:$F$21,0)</f>
        <v>0</v>
      </c>
      <c r="U48">
        <f>_xlfn.XLOOKUP(Tableau1[[#This Row],[Rénovation prévue ?]],'Données Giant'!$A$8:$A$21,'Données Giant'!$G$8:$G$21,0)</f>
        <v>0</v>
      </c>
      <c r="V48">
        <f>_xlfn.XLOOKUP(Tableau1[[#This Row],[Rénovation prévue ?]],'Données Giant'!$A$8:$A$21,'Données Giant'!$H$8:$H$21,0)</f>
        <v>0</v>
      </c>
    </row>
    <row r="49" spans="1:22" x14ac:dyDescent="0.25">
      <c r="A49" s="29">
        <f>'Encodage données'!C111</f>
        <v>0</v>
      </c>
      <c r="B49" s="29">
        <f>'Encodage données'!D111</f>
        <v>0</v>
      </c>
      <c r="C49" s="29">
        <f>'Encodage données'!E111</f>
        <v>0</v>
      </c>
      <c r="D49" s="29">
        <f>'Encodage données'!F111</f>
        <v>0</v>
      </c>
      <c r="E49" s="29">
        <f>'Encodage données'!G111</f>
        <v>0</v>
      </c>
      <c r="F49" s="29">
        <f>'Encodage données'!H111</f>
        <v>0</v>
      </c>
      <c r="G49" s="29">
        <f>'Encodage données'!J111</f>
        <v>0</v>
      </c>
      <c r="H49" s="29">
        <f>IF(OR(Tableau1[[#This Row],[Isolation actuelle]]="U connu",Tableau1[[#This Row],[Isolation actuelle]]="U connu (porte et fenêtres)"),Tableau1[[#This Row],[Si U connu de la paroi]],_xlfn.XLOOKUP(Tableau1[[#This Row],[Isolation actuelle]],'Parois types'!$B$9:$B$71,'Parois types'!$C$9:$C$71,0))</f>
        <v>0</v>
      </c>
      <c r="I49" s="29">
        <f>IF(Tableau1[[#This Row],[Rénovation prévue ?]]='Données Giant'!$A$21,Tableau1[[#This Row],[Uactuel (W/m²K)]],'Encodage données'!I111)</f>
        <v>0</v>
      </c>
      <c r="J49">
        <f>_xlfn.XLOOKUP(Tableau1[[#This Row],[Catégorie]],Tableau4[Catégories de parois],Tableau4[ai],0)</f>
        <v>0</v>
      </c>
      <c r="K49">
        <f>Tableau1[[#This Row],[aj]]*Tableau1[[#This Row],[Uactuel (W/m²K)]]*Tableau1[[#This Row],[Surface (m²)]]</f>
        <v>0</v>
      </c>
      <c r="L49">
        <f>Tableau1[[#This Row],[aj]]*Tableau1[[#This Row],[Urénové (W/m²K)]]*Tableau1[[#This Row],[Surface (m²)]]</f>
        <v>0</v>
      </c>
      <c r="M49">
        <f>_xlfn.XLOOKUP(Tableau1[[#This Row],[Isolation actuelle]],'Parois types'!$B$9:$B$71,'Parois types'!$D$9:$D$71,0)</f>
        <v>0</v>
      </c>
      <c r="N49">
        <f>IF(Tableau1[[#This Row],[Rénovation prévue ?]]='Données Giant'!$A$21,Tableau1[[#This Row],[Facteur solaire actuel]],_xlfn.XLOOKUP(Tableau1[[#This Row],[Rénovation prévue ?]],'Données Giant'!$A$8:$A$21,'Données Giant'!$B$8:$B$21,0))</f>
        <v>0</v>
      </c>
      <c r="O49">
        <f>IF(Tableau1[[#This Row],[Catégorie]]=DonnéesAutres!$A$100,235*0.5*Tableau1[[#This Row],[Facteur solaire actuel]]*Tableau1[[#This Row],[Surface (m²)]],0)</f>
        <v>0</v>
      </c>
      <c r="P49" s="71">
        <f>235*0.5*Tableau1[[#This Row],[Facteur Solaire rénové]]*Tableau1[[#This Row],[Surface (m²)]]</f>
        <v>0</v>
      </c>
      <c r="Q49" s="71">
        <f>_xlfn.XLOOKUP(Tableau1[[#This Row],[Rénovation prévue ?]],'Données Giant'!$A$8:$A$21,'Données Giant'!$C$8:$C$21,0)</f>
        <v>0</v>
      </c>
      <c r="R49" s="27">
        <f>_xlfn.XLOOKUP(Tableau1[[#This Row],[Rénovation prévue ?]],'Données Giant'!$A$8:$A$21,'Données Giant'!$D$8:$D$21,0)</f>
        <v>0</v>
      </c>
      <c r="S49">
        <f>_xlfn.XLOOKUP(Tableau1[[#This Row],[Rénovation prévue ?]],'Données Giant'!$A$8:$A$21,'Données Giant'!$E$8:$E$21,0)</f>
        <v>0</v>
      </c>
      <c r="T49">
        <f>_xlfn.XLOOKUP(Tableau1[[#This Row],[Rénovation prévue ?]],'Données Giant'!$A$8:$A$21,'Données Giant'!$F$8:$F$21,0)</f>
        <v>0</v>
      </c>
      <c r="U49">
        <f>_xlfn.XLOOKUP(Tableau1[[#This Row],[Rénovation prévue ?]],'Données Giant'!$A$8:$A$21,'Données Giant'!$G$8:$G$21,0)</f>
        <v>0</v>
      </c>
      <c r="V49">
        <f>_xlfn.XLOOKUP(Tableau1[[#This Row],[Rénovation prévue ?]],'Données Giant'!$A$8:$A$21,'Données Giant'!$H$8:$H$21,0)</f>
        <v>0</v>
      </c>
    </row>
    <row r="50" spans="1:22" x14ac:dyDescent="0.25">
      <c r="A50" s="29">
        <f>'Encodage données'!C112</f>
        <v>0</v>
      </c>
      <c r="B50" s="29">
        <f>'Encodage données'!D112</f>
        <v>0</v>
      </c>
      <c r="C50" s="29">
        <f>'Encodage données'!E112</f>
        <v>0</v>
      </c>
      <c r="D50" s="29">
        <f>'Encodage données'!F112</f>
        <v>0</v>
      </c>
      <c r="E50" s="29">
        <f>'Encodage données'!G112</f>
        <v>0</v>
      </c>
      <c r="F50" s="29">
        <f>'Encodage données'!H112</f>
        <v>0</v>
      </c>
      <c r="G50" s="29">
        <f>'Encodage données'!J112</f>
        <v>0</v>
      </c>
      <c r="H50" s="29">
        <f>IF(OR(Tableau1[[#This Row],[Isolation actuelle]]="U connu",Tableau1[[#This Row],[Isolation actuelle]]="U connu (porte et fenêtres)"),Tableau1[[#This Row],[Si U connu de la paroi]],_xlfn.XLOOKUP(Tableau1[[#This Row],[Isolation actuelle]],'Parois types'!$B$9:$B$71,'Parois types'!$C$9:$C$71,0))</f>
        <v>0</v>
      </c>
      <c r="I50" s="29">
        <f>IF(Tableau1[[#This Row],[Rénovation prévue ?]]='Données Giant'!$A$21,Tableau1[[#This Row],[Uactuel (W/m²K)]],'Encodage données'!I112)</f>
        <v>0</v>
      </c>
      <c r="J50">
        <f>_xlfn.XLOOKUP(Tableau1[[#This Row],[Catégorie]],Tableau4[Catégories de parois],Tableau4[ai],0)</f>
        <v>0</v>
      </c>
      <c r="K50">
        <f>Tableau1[[#This Row],[aj]]*Tableau1[[#This Row],[Uactuel (W/m²K)]]*Tableau1[[#This Row],[Surface (m²)]]</f>
        <v>0</v>
      </c>
      <c r="L50">
        <f>Tableau1[[#This Row],[aj]]*Tableau1[[#This Row],[Urénové (W/m²K)]]*Tableau1[[#This Row],[Surface (m²)]]</f>
        <v>0</v>
      </c>
      <c r="M50">
        <f>_xlfn.XLOOKUP(Tableau1[[#This Row],[Isolation actuelle]],'Parois types'!$B$9:$B$71,'Parois types'!$D$9:$D$71,0)</f>
        <v>0</v>
      </c>
      <c r="N50">
        <f>IF(Tableau1[[#This Row],[Rénovation prévue ?]]='Données Giant'!$A$21,Tableau1[[#This Row],[Facteur solaire actuel]],_xlfn.XLOOKUP(Tableau1[[#This Row],[Rénovation prévue ?]],'Données Giant'!$A$8:$A$21,'Données Giant'!$B$8:$B$21,0))</f>
        <v>0</v>
      </c>
      <c r="O50">
        <f>IF(Tableau1[[#This Row],[Catégorie]]=DonnéesAutres!$A$100,235*0.5*Tableau1[[#This Row],[Facteur solaire actuel]]*Tableau1[[#This Row],[Surface (m²)]],0)</f>
        <v>0</v>
      </c>
      <c r="P50" s="71">
        <f>235*0.5*Tableau1[[#This Row],[Facteur Solaire rénové]]*Tableau1[[#This Row],[Surface (m²)]]</f>
        <v>0</v>
      </c>
      <c r="Q50" s="71">
        <f>_xlfn.XLOOKUP(Tableau1[[#This Row],[Rénovation prévue ?]],'Données Giant'!$A$8:$A$21,'Données Giant'!$C$8:$C$21,0)</f>
        <v>0</v>
      </c>
      <c r="R50" s="27">
        <f>_xlfn.XLOOKUP(Tableau1[[#This Row],[Rénovation prévue ?]],'Données Giant'!$A$8:$A$21,'Données Giant'!$D$8:$D$21,0)</f>
        <v>0</v>
      </c>
      <c r="S50">
        <f>_xlfn.XLOOKUP(Tableau1[[#This Row],[Rénovation prévue ?]],'Données Giant'!$A$8:$A$21,'Données Giant'!$E$8:$E$21,0)</f>
        <v>0</v>
      </c>
      <c r="T50">
        <f>_xlfn.XLOOKUP(Tableau1[[#This Row],[Rénovation prévue ?]],'Données Giant'!$A$8:$A$21,'Données Giant'!$F$8:$F$21,0)</f>
        <v>0</v>
      </c>
      <c r="U50">
        <f>_xlfn.XLOOKUP(Tableau1[[#This Row],[Rénovation prévue ?]],'Données Giant'!$A$8:$A$21,'Données Giant'!$G$8:$G$21,0)</f>
        <v>0</v>
      </c>
      <c r="V50">
        <f>_xlfn.XLOOKUP(Tableau1[[#This Row],[Rénovation prévue ?]],'Données Giant'!$A$8:$A$21,'Données Giant'!$H$8:$H$21,0)</f>
        <v>0</v>
      </c>
    </row>
    <row r="51" spans="1:22" x14ac:dyDescent="0.25">
      <c r="A51" s="29">
        <f>'Encodage données'!C113</f>
        <v>0</v>
      </c>
      <c r="B51" s="29">
        <f>'Encodage données'!D113</f>
        <v>0</v>
      </c>
      <c r="C51" s="29">
        <f>'Encodage données'!E113</f>
        <v>0</v>
      </c>
      <c r="D51" s="29">
        <f>'Encodage données'!F113</f>
        <v>0</v>
      </c>
      <c r="E51" s="29">
        <f>'Encodage données'!G113</f>
        <v>0</v>
      </c>
      <c r="F51" s="29">
        <f>'Encodage données'!H113</f>
        <v>0</v>
      </c>
      <c r="G51" s="29">
        <f>'Encodage données'!J113</f>
        <v>0</v>
      </c>
      <c r="H51" s="29">
        <f>IF(OR(Tableau1[[#This Row],[Isolation actuelle]]="U connu",Tableau1[[#This Row],[Isolation actuelle]]="U connu (porte et fenêtres)"),Tableau1[[#This Row],[Si U connu de la paroi]],_xlfn.XLOOKUP(Tableau1[[#This Row],[Isolation actuelle]],'Parois types'!$B$9:$B$71,'Parois types'!$C$9:$C$71,0))</f>
        <v>0</v>
      </c>
      <c r="I51" s="29">
        <f>IF(Tableau1[[#This Row],[Rénovation prévue ?]]='Données Giant'!$A$21,Tableau1[[#This Row],[Uactuel (W/m²K)]],'Encodage données'!I113)</f>
        <v>0</v>
      </c>
      <c r="J51">
        <f>_xlfn.XLOOKUP(Tableau1[[#This Row],[Catégorie]],Tableau4[Catégories de parois],Tableau4[ai],0)</f>
        <v>0</v>
      </c>
      <c r="K51">
        <f>Tableau1[[#This Row],[aj]]*Tableau1[[#This Row],[Uactuel (W/m²K)]]*Tableau1[[#This Row],[Surface (m²)]]</f>
        <v>0</v>
      </c>
      <c r="L51">
        <f>Tableau1[[#This Row],[aj]]*Tableau1[[#This Row],[Urénové (W/m²K)]]*Tableau1[[#This Row],[Surface (m²)]]</f>
        <v>0</v>
      </c>
      <c r="M51">
        <f>_xlfn.XLOOKUP(Tableau1[[#This Row],[Isolation actuelle]],'Parois types'!$B$9:$B$71,'Parois types'!$D$9:$D$71,0)</f>
        <v>0</v>
      </c>
      <c r="N51">
        <f>IF(Tableau1[[#This Row],[Rénovation prévue ?]]='Données Giant'!$A$21,Tableau1[[#This Row],[Facteur solaire actuel]],_xlfn.XLOOKUP(Tableau1[[#This Row],[Rénovation prévue ?]],'Données Giant'!$A$8:$A$21,'Données Giant'!$B$8:$B$21,0))</f>
        <v>0</v>
      </c>
      <c r="O51">
        <f>IF(Tableau1[[#This Row],[Catégorie]]=DonnéesAutres!$A$100,235*0.5*Tableau1[[#This Row],[Facteur solaire actuel]]*Tableau1[[#This Row],[Surface (m²)]],0)</f>
        <v>0</v>
      </c>
      <c r="P51" s="71">
        <f>235*0.5*Tableau1[[#This Row],[Facteur Solaire rénové]]*Tableau1[[#This Row],[Surface (m²)]]</f>
        <v>0</v>
      </c>
      <c r="Q51" s="71">
        <f>_xlfn.XLOOKUP(Tableau1[[#This Row],[Rénovation prévue ?]],'Données Giant'!$A$8:$A$21,'Données Giant'!$C$8:$C$21,0)</f>
        <v>0</v>
      </c>
      <c r="R51" s="27">
        <f>_xlfn.XLOOKUP(Tableau1[[#This Row],[Rénovation prévue ?]],'Données Giant'!$A$8:$A$21,'Données Giant'!$D$8:$D$21,0)</f>
        <v>0</v>
      </c>
      <c r="S51">
        <f>_xlfn.XLOOKUP(Tableau1[[#This Row],[Rénovation prévue ?]],'Données Giant'!$A$8:$A$21,'Données Giant'!$E$8:$E$21,0)</f>
        <v>0</v>
      </c>
      <c r="T51">
        <f>_xlfn.XLOOKUP(Tableau1[[#This Row],[Rénovation prévue ?]],'Données Giant'!$A$8:$A$21,'Données Giant'!$F$8:$F$21,0)</f>
        <v>0</v>
      </c>
      <c r="U51">
        <f>_xlfn.XLOOKUP(Tableau1[[#This Row],[Rénovation prévue ?]],'Données Giant'!$A$8:$A$21,'Données Giant'!$G$8:$G$21,0)</f>
        <v>0</v>
      </c>
      <c r="V51">
        <f>_xlfn.XLOOKUP(Tableau1[[#This Row],[Rénovation prévue ?]],'Données Giant'!$A$8:$A$21,'Données Giant'!$H$8:$H$21,0)</f>
        <v>0</v>
      </c>
    </row>
    <row r="52" spans="1:22" x14ac:dyDescent="0.25">
      <c r="A52" s="29">
        <f>'Encodage données'!C114</f>
        <v>0</v>
      </c>
      <c r="B52" s="29">
        <f>'Encodage données'!D114</f>
        <v>0</v>
      </c>
      <c r="C52" s="29">
        <f>'Encodage données'!E114</f>
        <v>0</v>
      </c>
      <c r="D52" s="29">
        <f>'Encodage données'!F114</f>
        <v>0</v>
      </c>
      <c r="E52" s="29">
        <f>'Encodage données'!G114</f>
        <v>0</v>
      </c>
      <c r="F52" s="29">
        <f>'Encodage données'!H114</f>
        <v>0</v>
      </c>
      <c r="G52" s="29">
        <f>'Encodage données'!J114</f>
        <v>0</v>
      </c>
      <c r="H52" s="29">
        <f>IF(OR(Tableau1[[#This Row],[Isolation actuelle]]="U connu",Tableau1[[#This Row],[Isolation actuelle]]="U connu (porte et fenêtres)"),Tableau1[[#This Row],[Si U connu de la paroi]],_xlfn.XLOOKUP(Tableau1[[#This Row],[Isolation actuelle]],'Parois types'!$B$9:$B$71,'Parois types'!$C$9:$C$71,0))</f>
        <v>0</v>
      </c>
      <c r="I52" s="29">
        <f>IF(Tableau1[[#This Row],[Rénovation prévue ?]]='Données Giant'!$A$21,Tableau1[[#This Row],[Uactuel (W/m²K)]],'Encodage données'!I114)</f>
        <v>0</v>
      </c>
      <c r="J52">
        <f>_xlfn.XLOOKUP(Tableau1[[#This Row],[Catégorie]],Tableau4[Catégories de parois],Tableau4[ai],0)</f>
        <v>0</v>
      </c>
      <c r="K52">
        <f>Tableau1[[#This Row],[aj]]*Tableau1[[#This Row],[Uactuel (W/m²K)]]*Tableau1[[#This Row],[Surface (m²)]]</f>
        <v>0</v>
      </c>
      <c r="L52">
        <f>Tableau1[[#This Row],[aj]]*Tableau1[[#This Row],[Urénové (W/m²K)]]*Tableau1[[#This Row],[Surface (m²)]]</f>
        <v>0</v>
      </c>
      <c r="M52">
        <f>_xlfn.XLOOKUP(Tableau1[[#This Row],[Isolation actuelle]],'Parois types'!$B$9:$B$71,'Parois types'!$D$9:$D$71,0)</f>
        <v>0</v>
      </c>
      <c r="N52">
        <f>IF(Tableau1[[#This Row],[Rénovation prévue ?]]='Données Giant'!$A$21,Tableau1[[#This Row],[Facteur solaire actuel]],_xlfn.XLOOKUP(Tableau1[[#This Row],[Rénovation prévue ?]],'Données Giant'!$A$8:$A$21,'Données Giant'!$B$8:$B$21,0))</f>
        <v>0</v>
      </c>
      <c r="O52">
        <f>IF(Tableau1[[#This Row],[Catégorie]]=DonnéesAutres!$A$100,235*0.5*Tableau1[[#This Row],[Facteur solaire actuel]]*Tableau1[[#This Row],[Surface (m²)]],0)</f>
        <v>0</v>
      </c>
      <c r="P52" s="71">
        <f>235*0.5*Tableau1[[#This Row],[Facteur Solaire rénové]]*Tableau1[[#This Row],[Surface (m²)]]</f>
        <v>0</v>
      </c>
      <c r="Q52" s="71">
        <f>_xlfn.XLOOKUP(Tableau1[[#This Row],[Rénovation prévue ?]],'Données Giant'!$A$8:$A$21,'Données Giant'!$C$8:$C$21,0)</f>
        <v>0</v>
      </c>
      <c r="R52" s="27">
        <f>_xlfn.XLOOKUP(Tableau1[[#This Row],[Rénovation prévue ?]],'Données Giant'!$A$8:$A$21,'Données Giant'!$D$8:$D$21,0)</f>
        <v>0</v>
      </c>
      <c r="S52">
        <f>_xlfn.XLOOKUP(Tableau1[[#This Row],[Rénovation prévue ?]],'Données Giant'!$A$8:$A$21,'Données Giant'!$E$8:$E$21,0)</f>
        <v>0</v>
      </c>
      <c r="T52">
        <f>_xlfn.XLOOKUP(Tableau1[[#This Row],[Rénovation prévue ?]],'Données Giant'!$A$8:$A$21,'Données Giant'!$F$8:$F$21,0)</f>
        <v>0</v>
      </c>
      <c r="U52">
        <f>_xlfn.XLOOKUP(Tableau1[[#This Row],[Rénovation prévue ?]],'Données Giant'!$A$8:$A$21,'Données Giant'!$G$8:$G$21,0)</f>
        <v>0</v>
      </c>
      <c r="V52">
        <f>_xlfn.XLOOKUP(Tableau1[[#This Row],[Rénovation prévue ?]],'Données Giant'!$A$8:$A$21,'Données Giant'!$H$8:$H$21,0)</f>
        <v>0</v>
      </c>
    </row>
    <row r="53" spans="1:22" x14ac:dyDescent="0.25">
      <c r="A53" s="29">
        <f>'Encodage données'!C115</f>
        <v>0</v>
      </c>
      <c r="B53" s="29">
        <f>'Encodage données'!D115</f>
        <v>0</v>
      </c>
      <c r="C53" s="29">
        <f>'Encodage données'!E115</f>
        <v>0</v>
      </c>
      <c r="D53" s="29">
        <f>'Encodage données'!F115</f>
        <v>0</v>
      </c>
      <c r="E53" s="29">
        <f>'Encodage données'!G115</f>
        <v>0</v>
      </c>
      <c r="F53" s="29">
        <f>'Encodage données'!H115</f>
        <v>0</v>
      </c>
      <c r="G53" s="29">
        <f>'Encodage données'!J115</f>
        <v>0</v>
      </c>
      <c r="H53" s="29">
        <f>IF(OR(Tableau1[[#This Row],[Isolation actuelle]]="U connu",Tableau1[[#This Row],[Isolation actuelle]]="U connu (porte et fenêtres)"),Tableau1[[#This Row],[Si U connu de la paroi]],_xlfn.XLOOKUP(Tableau1[[#This Row],[Isolation actuelle]],'Parois types'!$B$9:$B$71,'Parois types'!$C$9:$C$71,0))</f>
        <v>0</v>
      </c>
      <c r="I53" s="29">
        <f>IF(Tableau1[[#This Row],[Rénovation prévue ?]]='Données Giant'!$A$21,Tableau1[[#This Row],[Uactuel (W/m²K)]],'Encodage données'!I115)</f>
        <v>0</v>
      </c>
      <c r="J53">
        <f>_xlfn.XLOOKUP(Tableau1[[#This Row],[Catégorie]],Tableau4[Catégories de parois],Tableau4[ai],0)</f>
        <v>0</v>
      </c>
      <c r="K53">
        <f>Tableau1[[#This Row],[aj]]*Tableau1[[#This Row],[Uactuel (W/m²K)]]*Tableau1[[#This Row],[Surface (m²)]]</f>
        <v>0</v>
      </c>
      <c r="L53">
        <f>Tableau1[[#This Row],[aj]]*Tableau1[[#This Row],[Urénové (W/m²K)]]*Tableau1[[#This Row],[Surface (m²)]]</f>
        <v>0</v>
      </c>
      <c r="M53">
        <f>_xlfn.XLOOKUP(Tableau1[[#This Row],[Isolation actuelle]],'Parois types'!$B$9:$B$71,'Parois types'!$D$9:$D$71,0)</f>
        <v>0</v>
      </c>
      <c r="N53">
        <f>IF(Tableau1[[#This Row],[Rénovation prévue ?]]='Données Giant'!$A$21,Tableau1[[#This Row],[Facteur solaire actuel]],_xlfn.XLOOKUP(Tableau1[[#This Row],[Rénovation prévue ?]],'Données Giant'!$A$8:$A$21,'Données Giant'!$B$8:$B$21,0))</f>
        <v>0</v>
      </c>
      <c r="O53">
        <f>IF(Tableau1[[#This Row],[Catégorie]]=DonnéesAutres!$A$100,235*0.5*Tableau1[[#This Row],[Facteur solaire actuel]]*Tableau1[[#This Row],[Surface (m²)]],0)</f>
        <v>0</v>
      </c>
      <c r="P53" s="71">
        <f>235*0.5*Tableau1[[#This Row],[Facteur Solaire rénové]]*Tableau1[[#This Row],[Surface (m²)]]</f>
        <v>0</v>
      </c>
      <c r="Q53" s="71">
        <f>_xlfn.XLOOKUP(Tableau1[[#This Row],[Rénovation prévue ?]],'Données Giant'!$A$8:$A$21,'Données Giant'!$C$8:$C$21,0)</f>
        <v>0</v>
      </c>
      <c r="R53" s="27">
        <f>_xlfn.XLOOKUP(Tableau1[[#This Row],[Rénovation prévue ?]],'Données Giant'!$A$8:$A$21,'Données Giant'!$D$8:$D$21,0)</f>
        <v>0</v>
      </c>
      <c r="S53">
        <f>_xlfn.XLOOKUP(Tableau1[[#This Row],[Rénovation prévue ?]],'Données Giant'!$A$8:$A$21,'Données Giant'!$E$8:$E$21,0)</f>
        <v>0</v>
      </c>
      <c r="T53">
        <f>_xlfn.XLOOKUP(Tableau1[[#This Row],[Rénovation prévue ?]],'Données Giant'!$A$8:$A$21,'Données Giant'!$F$8:$F$21,0)</f>
        <v>0</v>
      </c>
      <c r="U53">
        <f>_xlfn.XLOOKUP(Tableau1[[#This Row],[Rénovation prévue ?]],'Données Giant'!$A$8:$A$21,'Données Giant'!$G$8:$G$21,0)</f>
        <v>0</v>
      </c>
      <c r="V53">
        <f>_xlfn.XLOOKUP(Tableau1[[#This Row],[Rénovation prévue ?]],'Données Giant'!$A$8:$A$21,'Données Giant'!$H$8:$H$21,0)</f>
        <v>0</v>
      </c>
    </row>
    <row r="54" spans="1:22" x14ac:dyDescent="0.25">
      <c r="A54" s="29">
        <f>'Encodage données'!C116</f>
        <v>0</v>
      </c>
      <c r="B54" s="29">
        <f>'Encodage données'!D116</f>
        <v>0</v>
      </c>
      <c r="C54" s="29">
        <f>'Encodage données'!E116</f>
        <v>0</v>
      </c>
      <c r="D54" s="29">
        <f>'Encodage données'!F116</f>
        <v>0</v>
      </c>
      <c r="E54" s="29">
        <f>'Encodage données'!G116</f>
        <v>0</v>
      </c>
      <c r="F54" s="29">
        <f>'Encodage données'!H116</f>
        <v>0</v>
      </c>
      <c r="G54" s="29">
        <f>'Encodage données'!J116</f>
        <v>0</v>
      </c>
      <c r="H54" s="29">
        <f>IF(OR(Tableau1[[#This Row],[Isolation actuelle]]="U connu",Tableau1[[#This Row],[Isolation actuelle]]="U connu (porte et fenêtres)"),Tableau1[[#This Row],[Si U connu de la paroi]],_xlfn.XLOOKUP(Tableau1[[#This Row],[Isolation actuelle]],'Parois types'!$B$9:$B$71,'Parois types'!$C$9:$C$71,0))</f>
        <v>0</v>
      </c>
      <c r="I54" s="29">
        <f>IF(Tableau1[[#This Row],[Rénovation prévue ?]]='Données Giant'!$A$21,Tableau1[[#This Row],[Uactuel (W/m²K)]],'Encodage données'!I116)</f>
        <v>0</v>
      </c>
      <c r="J54">
        <f>_xlfn.XLOOKUP(Tableau1[[#This Row],[Catégorie]],Tableau4[Catégories de parois],Tableau4[ai],0)</f>
        <v>0</v>
      </c>
      <c r="K54">
        <f>Tableau1[[#This Row],[aj]]*Tableau1[[#This Row],[Uactuel (W/m²K)]]*Tableau1[[#This Row],[Surface (m²)]]</f>
        <v>0</v>
      </c>
      <c r="L54">
        <f>Tableau1[[#This Row],[aj]]*Tableau1[[#This Row],[Urénové (W/m²K)]]*Tableau1[[#This Row],[Surface (m²)]]</f>
        <v>0</v>
      </c>
      <c r="M54">
        <f>_xlfn.XLOOKUP(Tableau1[[#This Row],[Isolation actuelle]],'Parois types'!$B$9:$B$71,'Parois types'!$D$9:$D$71,0)</f>
        <v>0</v>
      </c>
      <c r="N54">
        <f>IF(Tableau1[[#This Row],[Rénovation prévue ?]]='Données Giant'!$A$21,Tableau1[[#This Row],[Facteur solaire actuel]],_xlfn.XLOOKUP(Tableau1[[#This Row],[Rénovation prévue ?]],'Données Giant'!$A$8:$A$21,'Données Giant'!$B$8:$B$21,0))</f>
        <v>0</v>
      </c>
      <c r="O54">
        <f>IF(Tableau1[[#This Row],[Catégorie]]=DonnéesAutres!$A$100,235*0.5*Tableau1[[#This Row],[Facteur solaire actuel]]*Tableau1[[#This Row],[Surface (m²)]],0)</f>
        <v>0</v>
      </c>
      <c r="P54" s="71">
        <f>235*0.5*Tableau1[[#This Row],[Facteur Solaire rénové]]*Tableau1[[#This Row],[Surface (m²)]]</f>
        <v>0</v>
      </c>
      <c r="Q54" s="71">
        <f>_xlfn.XLOOKUP(Tableau1[[#This Row],[Rénovation prévue ?]],'Données Giant'!$A$8:$A$21,'Données Giant'!$C$8:$C$21,0)</f>
        <v>0</v>
      </c>
      <c r="R54" s="27">
        <f>_xlfn.XLOOKUP(Tableau1[[#This Row],[Rénovation prévue ?]],'Données Giant'!$A$8:$A$21,'Données Giant'!$D$8:$D$21,0)</f>
        <v>0</v>
      </c>
      <c r="S54">
        <f>_xlfn.XLOOKUP(Tableau1[[#This Row],[Rénovation prévue ?]],'Données Giant'!$A$8:$A$21,'Données Giant'!$E$8:$E$21,0)</f>
        <v>0</v>
      </c>
      <c r="T54">
        <f>_xlfn.XLOOKUP(Tableau1[[#This Row],[Rénovation prévue ?]],'Données Giant'!$A$8:$A$21,'Données Giant'!$F$8:$F$21,0)</f>
        <v>0</v>
      </c>
      <c r="U54">
        <f>_xlfn.XLOOKUP(Tableau1[[#This Row],[Rénovation prévue ?]],'Données Giant'!$A$8:$A$21,'Données Giant'!$G$8:$G$21,0)</f>
        <v>0</v>
      </c>
      <c r="V54">
        <f>_xlfn.XLOOKUP(Tableau1[[#This Row],[Rénovation prévue ?]],'Données Giant'!$A$8:$A$21,'Données Giant'!$H$8:$H$21,0)</f>
        <v>0</v>
      </c>
    </row>
    <row r="55" spans="1:22" x14ac:dyDescent="0.25">
      <c r="A55" s="29">
        <f>'Encodage données'!C117</f>
        <v>0</v>
      </c>
      <c r="B55" s="29">
        <f>'Encodage données'!D117</f>
        <v>0</v>
      </c>
      <c r="C55" s="29">
        <f>'Encodage données'!E117</f>
        <v>0</v>
      </c>
      <c r="D55" s="29">
        <f>'Encodage données'!F117</f>
        <v>0</v>
      </c>
      <c r="E55" s="29">
        <f>'Encodage données'!G117</f>
        <v>0</v>
      </c>
      <c r="F55" s="29">
        <f>'Encodage données'!H117</f>
        <v>0</v>
      </c>
      <c r="G55" s="29">
        <f>'Encodage données'!J117</f>
        <v>0</v>
      </c>
      <c r="H55" s="29">
        <f>IF(OR(Tableau1[[#This Row],[Isolation actuelle]]="U connu",Tableau1[[#This Row],[Isolation actuelle]]="U connu (porte et fenêtres)"),Tableau1[[#This Row],[Si U connu de la paroi]],_xlfn.XLOOKUP(Tableau1[[#This Row],[Isolation actuelle]],'Parois types'!$B$9:$B$71,'Parois types'!$C$9:$C$71,0))</f>
        <v>0</v>
      </c>
      <c r="I55" s="29">
        <f>IF(Tableau1[[#This Row],[Rénovation prévue ?]]='Données Giant'!$A$21,Tableau1[[#This Row],[Uactuel (W/m²K)]],'Encodage données'!I117)</f>
        <v>0</v>
      </c>
      <c r="J55">
        <f>_xlfn.XLOOKUP(Tableau1[[#This Row],[Catégorie]],Tableau4[Catégories de parois],Tableau4[ai],0)</f>
        <v>0</v>
      </c>
      <c r="K55">
        <f>Tableau1[[#This Row],[aj]]*Tableau1[[#This Row],[Uactuel (W/m²K)]]*Tableau1[[#This Row],[Surface (m²)]]</f>
        <v>0</v>
      </c>
      <c r="L55">
        <f>Tableau1[[#This Row],[aj]]*Tableau1[[#This Row],[Urénové (W/m²K)]]*Tableau1[[#This Row],[Surface (m²)]]</f>
        <v>0</v>
      </c>
      <c r="M55">
        <f>_xlfn.XLOOKUP(Tableau1[[#This Row],[Isolation actuelle]],'Parois types'!$B$9:$B$71,'Parois types'!$D$9:$D$71,0)</f>
        <v>0</v>
      </c>
      <c r="N55">
        <f>IF(Tableau1[[#This Row],[Rénovation prévue ?]]='Données Giant'!$A$21,Tableau1[[#This Row],[Facteur solaire actuel]],_xlfn.XLOOKUP(Tableau1[[#This Row],[Rénovation prévue ?]],'Données Giant'!$A$8:$A$21,'Données Giant'!$B$8:$B$21,0))</f>
        <v>0</v>
      </c>
      <c r="O55">
        <f>IF(Tableau1[[#This Row],[Catégorie]]=DonnéesAutres!$A$100,235*0.5*Tableau1[[#This Row],[Facteur solaire actuel]]*Tableau1[[#This Row],[Surface (m²)]],0)</f>
        <v>0</v>
      </c>
      <c r="P55" s="71">
        <f>235*0.5*Tableau1[[#This Row],[Facteur Solaire rénové]]*Tableau1[[#This Row],[Surface (m²)]]</f>
        <v>0</v>
      </c>
      <c r="Q55" s="71">
        <f>_xlfn.XLOOKUP(Tableau1[[#This Row],[Rénovation prévue ?]],'Données Giant'!$A$8:$A$21,'Données Giant'!$C$8:$C$21,0)</f>
        <v>0</v>
      </c>
      <c r="R55" s="27">
        <f>_xlfn.XLOOKUP(Tableau1[[#This Row],[Rénovation prévue ?]],'Données Giant'!$A$8:$A$21,'Données Giant'!$D$8:$D$21,0)</f>
        <v>0</v>
      </c>
      <c r="S55">
        <f>_xlfn.XLOOKUP(Tableau1[[#This Row],[Rénovation prévue ?]],'Données Giant'!$A$8:$A$21,'Données Giant'!$E$8:$E$21,0)</f>
        <v>0</v>
      </c>
      <c r="T55">
        <f>_xlfn.XLOOKUP(Tableau1[[#This Row],[Rénovation prévue ?]],'Données Giant'!$A$8:$A$21,'Données Giant'!$F$8:$F$21,0)</f>
        <v>0</v>
      </c>
      <c r="U55">
        <f>_xlfn.XLOOKUP(Tableau1[[#This Row],[Rénovation prévue ?]],'Données Giant'!$A$8:$A$21,'Données Giant'!$G$8:$G$21,0)</f>
        <v>0</v>
      </c>
      <c r="V55">
        <f>_xlfn.XLOOKUP(Tableau1[[#This Row],[Rénovation prévue ?]],'Données Giant'!$A$8:$A$21,'Données Giant'!$H$8:$H$21,0)</f>
        <v>0</v>
      </c>
    </row>
    <row r="56" spans="1:22" x14ac:dyDescent="0.25">
      <c r="A56" s="29">
        <f>'Encodage données'!C118</f>
        <v>0</v>
      </c>
      <c r="B56" s="29">
        <f>'Encodage données'!D118</f>
        <v>0</v>
      </c>
      <c r="C56" s="29">
        <f>'Encodage données'!E118</f>
        <v>0</v>
      </c>
      <c r="D56" s="29">
        <f>'Encodage données'!F118</f>
        <v>0</v>
      </c>
      <c r="E56" s="29">
        <f>'Encodage données'!G118</f>
        <v>0</v>
      </c>
      <c r="F56" s="29">
        <f>'Encodage données'!H118</f>
        <v>0</v>
      </c>
      <c r="G56" s="29">
        <f>'Encodage données'!J118</f>
        <v>0</v>
      </c>
      <c r="H56" s="29">
        <f>IF(OR(Tableau1[[#This Row],[Isolation actuelle]]="U connu",Tableau1[[#This Row],[Isolation actuelle]]="U connu (porte et fenêtres)"),Tableau1[[#This Row],[Si U connu de la paroi]],_xlfn.XLOOKUP(Tableau1[[#This Row],[Isolation actuelle]],'Parois types'!$B$9:$B$71,'Parois types'!$C$9:$C$71,0))</f>
        <v>0</v>
      </c>
      <c r="I56" s="29">
        <f>IF(Tableau1[[#This Row],[Rénovation prévue ?]]='Données Giant'!$A$21,Tableau1[[#This Row],[Uactuel (W/m²K)]],'Encodage données'!I118)</f>
        <v>0</v>
      </c>
      <c r="J56">
        <f>_xlfn.XLOOKUP(Tableau1[[#This Row],[Catégorie]],Tableau4[Catégories de parois],Tableau4[ai],0)</f>
        <v>0</v>
      </c>
      <c r="K56">
        <f>Tableau1[[#This Row],[aj]]*Tableau1[[#This Row],[Uactuel (W/m²K)]]*Tableau1[[#This Row],[Surface (m²)]]</f>
        <v>0</v>
      </c>
      <c r="L56">
        <f>Tableau1[[#This Row],[aj]]*Tableau1[[#This Row],[Urénové (W/m²K)]]*Tableau1[[#This Row],[Surface (m²)]]</f>
        <v>0</v>
      </c>
      <c r="M56">
        <f>_xlfn.XLOOKUP(Tableau1[[#This Row],[Isolation actuelle]],'Parois types'!$B$9:$B$71,'Parois types'!$D$9:$D$71,0)</f>
        <v>0</v>
      </c>
      <c r="N56">
        <f>IF(Tableau1[[#This Row],[Rénovation prévue ?]]='Données Giant'!$A$21,Tableau1[[#This Row],[Facteur solaire actuel]],_xlfn.XLOOKUP(Tableau1[[#This Row],[Rénovation prévue ?]],'Données Giant'!$A$8:$A$21,'Données Giant'!$B$8:$B$21,0))</f>
        <v>0</v>
      </c>
      <c r="O56">
        <f>IF(Tableau1[[#This Row],[Catégorie]]=DonnéesAutres!$A$100,235*0.5*Tableau1[[#This Row],[Facteur solaire actuel]]*Tableau1[[#This Row],[Surface (m²)]],0)</f>
        <v>0</v>
      </c>
      <c r="P56" s="71">
        <f>235*0.5*Tableau1[[#This Row],[Facteur Solaire rénové]]*Tableau1[[#This Row],[Surface (m²)]]</f>
        <v>0</v>
      </c>
      <c r="Q56" s="71">
        <f>_xlfn.XLOOKUP(Tableau1[[#This Row],[Rénovation prévue ?]],'Données Giant'!$A$8:$A$21,'Données Giant'!$C$8:$C$21,0)</f>
        <v>0</v>
      </c>
      <c r="R56" s="27">
        <f>_xlfn.XLOOKUP(Tableau1[[#This Row],[Rénovation prévue ?]],'Données Giant'!$A$8:$A$21,'Données Giant'!$D$8:$D$21,0)</f>
        <v>0</v>
      </c>
      <c r="S56">
        <f>_xlfn.XLOOKUP(Tableau1[[#This Row],[Rénovation prévue ?]],'Données Giant'!$A$8:$A$21,'Données Giant'!$E$8:$E$21,0)</f>
        <v>0</v>
      </c>
      <c r="T56">
        <f>_xlfn.XLOOKUP(Tableau1[[#This Row],[Rénovation prévue ?]],'Données Giant'!$A$8:$A$21,'Données Giant'!$F$8:$F$21,0)</f>
        <v>0</v>
      </c>
      <c r="U56">
        <f>_xlfn.XLOOKUP(Tableau1[[#This Row],[Rénovation prévue ?]],'Données Giant'!$A$8:$A$21,'Données Giant'!$G$8:$G$21,0)</f>
        <v>0</v>
      </c>
      <c r="V56">
        <f>_xlfn.XLOOKUP(Tableau1[[#This Row],[Rénovation prévue ?]],'Données Giant'!$A$8:$A$21,'Données Giant'!$H$8:$H$21,0)</f>
        <v>0</v>
      </c>
    </row>
    <row r="57" spans="1:22" x14ac:dyDescent="0.25">
      <c r="A57" s="29">
        <f>'Encodage données'!C119</f>
        <v>0</v>
      </c>
      <c r="B57" s="29">
        <f>'Encodage données'!D119</f>
        <v>0</v>
      </c>
      <c r="C57" s="29">
        <f>'Encodage données'!E119</f>
        <v>0</v>
      </c>
      <c r="D57" s="29">
        <f>'Encodage données'!F119</f>
        <v>0</v>
      </c>
      <c r="E57" s="29">
        <f>'Encodage données'!G119</f>
        <v>0</v>
      </c>
      <c r="F57" s="29">
        <f>'Encodage données'!H119</f>
        <v>0</v>
      </c>
      <c r="G57" s="29">
        <f>'Encodage données'!J119</f>
        <v>0</v>
      </c>
      <c r="H57" s="29">
        <f>IF(OR(Tableau1[[#This Row],[Isolation actuelle]]="U connu",Tableau1[[#This Row],[Isolation actuelle]]="U connu (porte et fenêtres)"),Tableau1[[#This Row],[Si U connu de la paroi]],_xlfn.XLOOKUP(Tableau1[[#This Row],[Isolation actuelle]],'Parois types'!$B$9:$B$71,'Parois types'!$C$9:$C$71,0))</f>
        <v>0</v>
      </c>
      <c r="I57" s="29">
        <f>IF(Tableau1[[#This Row],[Rénovation prévue ?]]='Données Giant'!$A$21,Tableau1[[#This Row],[Uactuel (W/m²K)]],'Encodage données'!I119)</f>
        <v>0</v>
      </c>
      <c r="J57">
        <f>_xlfn.XLOOKUP(Tableau1[[#This Row],[Catégorie]],Tableau4[Catégories de parois],Tableau4[ai],0)</f>
        <v>0</v>
      </c>
      <c r="K57">
        <f>Tableau1[[#This Row],[aj]]*Tableau1[[#This Row],[Uactuel (W/m²K)]]*Tableau1[[#This Row],[Surface (m²)]]</f>
        <v>0</v>
      </c>
      <c r="L57">
        <f>Tableau1[[#This Row],[aj]]*Tableau1[[#This Row],[Urénové (W/m²K)]]*Tableau1[[#This Row],[Surface (m²)]]</f>
        <v>0</v>
      </c>
      <c r="M57">
        <f>_xlfn.XLOOKUP(Tableau1[[#This Row],[Isolation actuelle]],'Parois types'!$B$9:$B$71,'Parois types'!$D$9:$D$71,0)</f>
        <v>0</v>
      </c>
      <c r="N57">
        <f>IF(Tableau1[[#This Row],[Rénovation prévue ?]]='Données Giant'!$A$21,Tableau1[[#This Row],[Facteur solaire actuel]],_xlfn.XLOOKUP(Tableau1[[#This Row],[Rénovation prévue ?]],'Données Giant'!$A$8:$A$21,'Données Giant'!$B$8:$B$21,0))</f>
        <v>0</v>
      </c>
      <c r="O57">
        <f>IF(Tableau1[[#This Row],[Catégorie]]=DonnéesAutres!$A$100,235*0.5*Tableau1[[#This Row],[Facteur solaire actuel]]*Tableau1[[#This Row],[Surface (m²)]],0)</f>
        <v>0</v>
      </c>
      <c r="P57" s="71">
        <f>235*0.5*Tableau1[[#This Row],[Facteur Solaire rénové]]*Tableau1[[#This Row],[Surface (m²)]]</f>
        <v>0</v>
      </c>
      <c r="Q57" s="71">
        <f>_xlfn.XLOOKUP(Tableau1[[#This Row],[Rénovation prévue ?]],'Données Giant'!$A$8:$A$21,'Données Giant'!$C$8:$C$21,0)</f>
        <v>0</v>
      </c>
      <c r="R57" s="27">
        <f>_xlfn.XLOOKUP(Tableau1[[#This Row],[Rénovation prévue ?]],'Données Giant'!$A$8:$A$21,'Données Giant'!$D$8:$D$21,0)</f>
        <v>0</v>
      </c>
      <c r="S57">
        <f>_xlfn.XLOOKUP(Tableau1[[#This Row],[Rénovation prévue ?]],'Données Giant'!$A$8:$A$21,'Données Giant'!$E$8:$E$21,0)</f>
        <v>0</v>
      </c>
      <c r="T57">
        <f>_xlfn.XLOOKUP(Tableau1[[#This Row],[Rénovation prévue ?]],'Données Giant'!$A$8:$A$21,'Données Giant'!$F$8:$F$21,0)</f>
        <v>0</v>
      </c>
      <c r="U57">
        <f>_xlfn.XLOOKUP(Tableau1[[#This Row],[Rénovation prévue ?]],'Données Giant'!$A$8:$A$21,'Données Giant'!$G$8:$G$21,0)</f>
        <v>0</v>
      </c>
      <c r="V57">
        <f>_xlfn.XLOOKUP(Tableau1[[#This Row],[Rénovation prévue ?]],'Données Giant'!$A$8:$A$21,'Données Giant'!$H$8:$H$21,0)</f>
        <v>0</v>
      </c>
    </row>
    <row r="58" spans="1:22" x14ac:dyDescent="0.25">
      <c r="A58" s="29">
        <f>'Encodage données'!C120</f>
        <v>0</v>
      </c>
      <c r="B58" s="29">
        <f>'Encodage données'!D120</f>
        <v>0</v>
      </c>
      <c r="C58" s="29">
        <f>'Encodage données'!E120</f>
        <v>0</v>
      </c>
      <c r="D58" s="29">
        <f>'Encodage données'!F120</f>
        <v>0</v>
      </c>
      <c r="E58" s="29">
        <f>'Encodage données'!G120</f>
        <v>0</v>
      </c>
      <c r="F58" s="29">
        <f>'Encodage données'!H120</f>
        <v>0</v>
      </c>
      <c r="G58" s="29">
        <f>'Encodage données'!J120</f>
        <v>0</v>
      </c>
      <c r="H58" s="29">
        <f>IF(OR(Tableau1[[#This Row],[Isolation actuelle]]="U connu",Tableau1[[#This Row],[Isolation actuelle]]="U connu (porte et fenêtres)"),Tableau1[[#This Row],[Si U connu de la paroi]],_xlfn.XLOOKUP(Tableau1[[#This Row],[Isolation actuelle]],'Parois types'!$B$9:$B$71,'Parois types'!$C$9:$C$71,0))</f>
        <v>0</v>
      </c>
      <c r="I58" s="29">
        <f>IF(Tableau1[[#This Row],[Rénovation prévue ?]]='Données Giant'!$A$21,Tableau1[[#This Row],[Uactuel (W/m²K)]],'Encodage données'!I120)</f>
        <v>0</v>
      </c>
      <c r="J58">
        <f>_xlfn.XLOOKUP(Tableau1[[#This Row],[Catégorie]],Tableau4[Catégories de parois],Tableau4[ai],0)</f>
        <v>0</v>
      </c>
      <c r="K58">
        <f>Tableau1[[#This Row],[aj]]*Tableau1[[#This Row],[Uactuel (W/m²K)]]*Tableau1[[#This Row],[Surface (m²)]]</f>
        <v>0</v>
      </c>
      <c r="L58">
        <f>Tableau1[[#This Row],[aj]]*Tableau1[[#This Row],[Urénové (W/m²K)]]*Tableau1[[#This Row],[Surface (m²)]]</f>
        <v>0</v>
      </c>
      <c r="M58">
        <f>_xlfn.XLOOKUP(Tableau1[[#This Row],[Isolation actuelle]],'Parois types'!$B$9:$B$71,'Parois types'!$D$9:$D$71,0)</f>
        <v>0</v>
      </c>
      <c r="N58">
        <f>IF(Tableau1[[#This Row],[Rénovation prévue ?]]='Données Giant'!$A$21,Tableau1[[#This Row],[Facteur solaire actuel]],_xlfn.XLOOKUP(Tableau1[[#This Row],[Rénovation prévue ?]],'Données Giant'!$A$8:$A$21,'Données Giant'!$B$8:$B$21,0))</f>
        <v>0</v>
      </c>
      <c r="O58">
        <f>IF(Tableau1[[#This Row],[Catégorie]]=DonnéesAutres!$A$100,235*0.5*Tableau1[[#This Row],[Facteur solaire actuel]]*Tableau1[[#This Row],[Surface (m²)]],0)</f>
        <v>0</v>
      </c>
      <c r="P58" s="71">
        <f>235*0.5*Tableau1[[#This Row],[Facteur Solaire rénové]]*Tableau1[[#This Row],[Surface (m²)]]</f>
        <v>0</v>
      </c>
      <c r="Q58" s="71">
        <f>_xlfn.XLOOKUP(Tableau1[[#This Row],[Rénovation prévue ?]],'Données Giant'!$A$8:$A$21,'Données Giant'!$C$8:$C$21,0)</f>
        <v>0</v>
      </c>
      <c r="R58" s="27">
        <f>_xlfn.XLOOKUP(Tableau1[[#This Row],[Rénovation prévue ?]],'Données Giant'!$A$8:$A$21,'Données Giant'!$D$8:$D$21,0)</f>
        <v>0</v>
      </c>
      <c r="S58">
        <f>_xlfn.XLOOKUP(Tableau1[[#This Row],[Rénovation prévue ?]],'Données Giant'!$A$8:$A$21,'Données Giant'!$E$8:$E$21,0)</f>
        <v>0</v>
      </c>
      <c r="T58">
        <f>_xlfn.XLOOKUP(Tableau1[[#This Row],[Rénovation prévue ?]],'Données Giant'!$A$8:$A$21,'Données Giant'!$F$8:$F$21,0)</f>
        <v>0</v>
      </c>
      <c r="U58">
        <f>_xlfn.XLOOKUP(Tableau1[[#This Row],[Rénovation prévue ?]],'Données Giant'!$A$8:$A$21,'Données Giant'!$G$8:$G$21,0)</f>
        <v>0</v>
      </c>
      <c r="V58">
        <f>_xlfn.XLOOKUP(Tableau1[[#This Row],[Rénovation prévue ?]],'Données Giant'!$A$8:$A$21,'Données Giant'!$H$8:$H$21,0)</f>
        <v>0</v>
      </c>
    </row>
    <row r="59" spans="1:22" x14ac:dyDescent="0.25">
      <c r="A59" s="29">
        <f>'Encodage données'!C121</f>
        <v>0</v>
      </c>
      <c r="B59" s="29">
        <f>'Encodage données'!D121</f>
        <v>0</v>
      </c>
      <c r="C59" s="29">
        <f>'Encodage données'!E121</f>
        <v>0</v>
      </c>
      <c r="D59" s="29">
        <f>'Encodage données'!F121</f>
        <v>0</v>
      </c>
      <c r="E59" s="29">
        <f>'Encodage données'!G121</f>
        <v>0</v>
      </c>
      <c r="F59" s="29">
        <f>'Encodage données'!H121</f>
        <v>0</v>
      </c>
      <c r="G59" s="29">
        <f>'Encodage données'!J121</f>
        <v>0</v>
      </c>
      <c r="H59" s="29">
        <f>IF(OR(Tableau1[[#This Row],[Isolation actuelle]]="U connu",Tableau1[[#This Row],[Isolation actuelle]]="U connu (porte et fenêtres)"),Tableau1[[#This Row],[Si U connu de la paroi]],_xlfn.XLOOKUP(Tableau1[[#This Row],[Isolation actuelle]],'Parois types'!$B$9:$B$71,'Parois types'!$C$9:$C$71,0))</f>
        <v>0</v>
      </c>
      <c r="I59" s="29">
        <f>IF(Tableau1[[#This Row],[Rénovation prévue ?]]='Données Giant'!$A$21,Tableau1[[#This Row],[Uactuel (W/m²K)]],'Encodage données'!I121)</f>
        <v>0</v>
      </c>
      <c r="J59">
        <f>_xlfn.XLOOKUP(Tableau1[[#This Row],[Catégorie]],Tableau4[Catégories de parois],Tableau4[ai],0)</f>
        <v>0</v>
      </c>
      <c r="K59">
        <f>Tableau1[[#This Row],[aj]]*Tableau1[[#This Row],[Uactuel (W/m²K)]]*Tableau1[[#This Row],[Surface (m²)]]</f>
        <v>0</v>
      </c>
      <c r="L59">
        <f>Tableau1[[#This Row],[aj]]*Tableau1[[#This Row],[Urénové (W/m²K)]]*Tableau1[[#This Row],[Surface (m²)]]</f>
        <v>0</v>
      </c>
      <c r="M59">
        <f>_xlfn.XLOOKUP(Tableau1[[#This Row],[Isolation actuelle]],'Parois types'!$B$9:$B$71,'Parois types'!$D$9:$D$71,0)</f>
        <v>0</v>
      </c>
      <c r="N59">
        <f>IF(Tableau1[[#This Row],[Rénovation prévue ?]]='Données Giant'!$A$21,Tableau1[[#This Row],[Facteur solaire actuel]],_xlfn.XLOOKUP(Tableau1[[#This Row],[Rénovation prévue ?]],'Données Giant'!$A$8:$A$21,'Données Giant'!$B$8:$B$21,0))</f>
        <v>0</v>
      </c>
      <c r="O59">
        <f>IF(Tableau1[[#This Row],[Catégorie]]=DonnéesAutres!$A$100,235*0.5*Tableau1[[#This Row],[Facteur solaire actuel]]*Tableau1[[#This Row],[Surface (m²)]],0)</f>
        <v>0</v>
      </c>
      <c r="P59" s="71">
        <f>235*0.5*Tableau1[[#This Row],[Facteur Solaire rénové]]*Tableau1[[#This Row],[Surface (m²)]]</f>
        <v>0</v>
      </c>
      <c r="Q59" s="71">
        <f>_xlfn.XLOOKUP(Tableau1[[#This Row],[Rénovation prévue ?]],'Données Giant'!$A$8:$A$21,'Données Giant'!$C$8:$C$21,0)</f>
        <v>0</v>
      </c>
      <c r="R59" s="27">
        <f>_xlfn.XLOOKUP(Tableau1[[#This Row],[Rénovation prévue ?]],'Données Giant'!$A$8:$A$21,'Données Giant'!$D$8:$D$21,0)</f>
        <v>0</v>
      </c>
      <c r="S59">
        <f>_xlfn.XLOOKUP(Tableau1[[#This Row],[Rénovation prévue ?]],'Données Giant'!$A$8:$A$21,'Données Giant'!$E$8:$E$21,0)</f>
        <v>0</v>
      </c>
      <c r="T59">
        <f>_xlfn.XLOOKUP(Tableau1[[#This Row],[Rénovation prévue ?]],'Données Giant'!$A$8:$A$21,'Données Giant'!$F$8:$F$21,0)</f>
        <v>0</v>
      </c>
      <c r="U59">
        <f>_xlfn.XLOOKUP(Tableau1[[#This Row],[Rénovation prévue ?]],'Données Giant'!$A$8:$A$21,'Données Giant'!$G$8:$G$21,0)</f>
        <v>0</v>
      </c>
      <c r="V59">
        <f>_xlfn.XLOOKUP(Tableau1[[#This Row],[Rénovation prévue ?]],'Données Giant'!$A$8:$A$21,'Données Giant'!$H$8:$H$21,0)</f>
        <v>0</v>
      </c>
    </row>
    <row r="60" spans="1:22" x14ac:dyDescent="0.25">
      <c r="A60" s="29">
        <f>'Encodage données'!C122</f>
        <v>0</v>
      </c>
      <c r="B60" s="29">
        <f>'Encodage données'!D122</f>
        <v>0</v>
      </c>
      <c r="C60" s="29">
        <f>'Encodage données'!E122</f>
        <v>0</v>
      </c>
      <c r="D60" s="29">
        <f>'Encodage données'!F122</f>
        <v>0</v>
      </c>
      <c r="E60" s="29">
        <f>'Encodage données'!G122</f>
        <v>0</v>
      </c>
      <c r="F60" s="29">
        <f>'Encodage données'!H122</f>
        <v>0</v>
      </c>
      <c r="G60" s="29">
        <f>'Encodage données'!J122</f>
        <v>0</v>
      </c>
      <c r="H60" s="29">
        <f>IF(OR(Tableau1[[#This Row],[Isolation actuelle]]="U connu",Tableau1[[#This Row],[Isolation actuelle]]="U connu (porte et fenêtres)"),Tableau1[[#This Row],[Si U connu de la paroi]],_xlfn.XLOOKUP(Tableau1[[#This Row],[Isolation actuelle]],'Parois types'!$B$9:$B$71,'Parois types'!$C$9:$C$71,0))</f>
        <v>0</v>
      </c>
      <c r="I60" s="29">
        <f>IF(Tableau1[[#This Row],[Rénovation prévue ?]]='Données Giant'!$A$21,Tableau1[[#This Row],[Uactuel (W/m²K)]],'Encodage données'!I122)</f>
        <v>0</v>
      </c>
      <c r="J60">
        <f>_xlfn.XLOOKUP(Tableau1[[#This Row],[Catégorie]],Tableau4[Catégories de parois],Tableau4[ai],0)</f>
        <v>0</v>
      </c>
      <c r="K60">
        <f>Tableau1[[#This Row],[aj]]*Tableau1[[#This Row],[Uactuel (W/m²K)]]*Tableau1[[#This Row],[Surface (m²)]]</f>
        <v>0</v>
      </c>
      <c r="L60">
        <f>Tableau1[[#This Row],[aj]]*Tableau1[[#This Row],[Urénové (W/m²K)]]*Tableau1[[#This Row],[Surface (m²)]]</f>
        <v>0</v>
      </c>
      <c r="M60">
        <f>_xlfn.XLOOKUP(Tableau1[[#This Row],[Isolation actuelle]],'Parois types'!$B$9:$B$71,'Parois types'!$D$9:$D$71,0)</f>
        <v>0</v>
      </c>
      <c r="N60">
        <f>IF(Tableau1[[#This Row],[Rénovation prévue ?]]='Données Giant'!$A$21,Tableau1[[#This Row],[Facteur solaire actuel]],_xlfn.XLOOKUP(Tableau1[[#This Row],[Rénovation prévue ?]],'Données Giant'!$A$8:$A$21,'Données Giant'!$B$8:$B$21,0))</f>
        <v>0</v>
      </c>
      <c r="O60">
        <f>IF(Tableau1[[#This Row],[Catégorie]]=DonnéesAutres!$A$100,235*0.5*Tableau1[[#This Row],[Facteur solaire actuel]]*Tableau1[[#This Row],[Surface (m²)]],0)</f>
        <v>0</v>
      </c>
      <c r="P60" s="71">
        <f>235*0.5*Tableau1[[#This Row],[Facteur Solaire rénové]]*Tableau1[[#This Row],[Surface (m²)]]</f>
        <v>0</v>
      </c>
      <c r="Q60" s="71">
        <f>_xlfn.XLOOKUP(Tableau1[[#This Row],[Rénovation prévue ?]],'Données Giant'!$A$8:$A$21,'Données Giant'!$C$8:$C$21,0)</f>
        <v>0</v>
      </c>
      <c r="R60" s="27">
        <f>_xlfn.XLOOKUP(Tableau1[[#This Row],[Rénovation prévue ?]],'Données Giant'!$A$8:$A$21,'Données Giant'!$D$8:$D$21,0)</f>
        <v>0</v>
      </c>
      <c r="S60">
        <f>_xlfn.XLOOKUP(Tableau1[[#This Row],[Rénovation prévue ?]],'Données Giant'!$A$8:$A$21,'Données Giant'!$E$8:$E$21,0)</f>
        <v>0</v>
      </c>
      <c r="T60">
        <f>_xlfn.XLOOKUP(Tableau1[[#This Row],[Rénovation prévue ?]],'Données Giant'!$A$8:$A$21,'Données Giant'!$F$8:$F$21,0)</f>
        <v>0</v>
      </c>
      <c r="U60">
        <f>_xlfn.XLOOKUP(Tableau1[[#This Row],[Rénovation prévue ?]],'Données Giant'!$A$8:$A$21,'Données Giant'!$G$8:$G$21,0)</f>
        <v>0</v>
      </c>
      <c r="V60">
        <f>_xlfn.XLOOKUP(Tableau1[[#This Row],[Rénovation prévue ?]],'Données Giant'!$A$8:$A$21,'Données Giant'!$H$8:$H$21,0)</f>
        <v>0</v>
      </c>
    </row>
    <row r="61" spans="1:22" x14ac:dyDescent="0.25">
      <c r="A61" s="29">
        <f>'Encodage données'!C123</f>
        <v>0</v>
      </c>
      <c r="B61" s="29">
        <f>'Encodage données'!D123</f>
        <v>0</v>
      </c>
      <c r="C61" s="29">
        <f>'Encodage données'!E123</f>
        <v>0</v>
      </c>
      <c r="D61" s="29">
        <f>'Encodage données'!F123</f>
        <v>0</v>
      </c>
      <c r="E61" s="29">
        <f>'Encodage données'!G123</f>
        <v>0</v>
      </c>
      <c r="F61" s="29">
        <f>'Encodage données'!H123</f>
        <v>0</v>
      </c>
      <c r="G61" s="29">
        <f>'Encodage données'!J123</f>
        <v>0</v>
      </c>
      <c r="H61" s="29">
        <f>IF(OR(Tableau1[[#This Row],[Isolation actuelle]]="U connu",Tableau1[[#This Row],[Isolation actuelle]]="U connu (porte et fenêtres)"),Tableau1[[#This Row],[Si U connu de la paroi]],_xlfn.XLOOKUP(Tableau1[[#This Row],[Isolation actuelle]],'Parois types'!$B$9:$B$71,'Parois types'!$C$9:$C$71,0))</f>
        <v>0</v>
      </c>
      <c r="I61" s="29">
        <f>IF(Tableau1[[#This Row],[Rénovation prévue ?]]='Données Giant'!$A$21,Tableau1[[#This Row],[Uactuel (W/m²K)]],'Encodage données'!I123)</f>
        <v>0</v>
      </c>
      <c r="J61">
        <f>_xlfn.XLOOKUP(Tableau1[[#This Row],[Catégorie]],Tableau4[Catégories de parois],Tableau4[ai],0)</f>
        <v>0</v>
      </c>
      <c r="K61">
        <f>Tableau1[[#This Row],[aj]]*Tableau1[[#This Row],[Uactuel (W/m²K)]]*Tableau1[[#This Row],[Surface (m²)]]</f>
        <v>0</v>
      </c>
      <c r="L61">
        <f>Tableau1[[#This Row],[aj]]*Tableau1[[#This Row],[Urénové (W/m²K)]]*Tableau1[[#This Row],[Surface (m²)]]</f>
        <v>0</v>
      </c>
      <c r="M61">
        <f>_xlfn.XLOOKUP(Tableau1[[#This Row],[Isolation actuelle]],'Parois types'!$B$9:$B$71,'Parois types'!$D$9:$D$71,0)</f>
        <v>0</v>
      </c>
      <c r="N61">
        <f>IF(Tableau1[[#This Row],[Rénovation prévue ?]]='Données Giant'!$A$21,Tableau1[[#This Row],[Facteur solaire actuel]],_xlfn.XLOOKUP(Tableau1[[#This Row],[Rénovation prévue ?]],'Données Giant'!$A$8:$A$21,'Données Giant'!$B$8:$B$21,0))</f>
        <v>0</v>
      </c>
      <c r="O61">
        <f>IF(Tableau1[[#This Row],[Catégorie]]=DonnéesAutres!$A$100,235*0.5*Tableau1[[#This Row],[Facteur solaire actuel]]*Tableau1[[#This Row],[Surface (m²)]],0)</f>
        <v>0</v>
      </c>
      <c r="P61" s="71">
        <f>235*0.5*Tableau1[[#This Row],[Facteur Solaire rénové]]*Tableau1[[#This Row],[Surface (m²)]]</f>
        <v>0</v>
      </c>
      <c r="Q61" s="71">
        <f>_xlfn.XLOOKUP(Tableau1[[#This Row],[Rénovation prévue ?]],'Données Giant'!$A$8:$A$21,'Données Giant'!$C$8:$C$21,0)</f>
        <v>0</v>
      </c>
      <c r="R61" s="27">
        <f>_xlfn.XLOOKUP(Tableau1[[#This Row],[Rénovation prévue ?]],'Données Giant'!$A$8:$A$21,'Données Giant'!$D$8:$D$21,0)</f>
        <v>0</v>
      </c>
      <c r="S61">
        <f>_xlfn.XLOOKUP(Tableau1[[#This Row],[Rénovation prévue ?]],'Données Giant'!$A$8:$A$21,'Données Giant'!$E$8:$E$21,0)</f>
        <v>0</v>
      </c>
      <c r="T61">
        <f>_xlfn.XLOOKUP(Tableau1[[#This Row],[Rénovation prévue ?]],'Données Giant'!$A$8:$A$21,'Données Giant'!$F$8:$F$21,0)</f>
        <v>0</v>
      </c>
      <c r="U61">
        <f>_xlfn.XLOOKUP(Tableau1[[#This Row],[Rénovation prévue ?]],'Données Giant'!$A$8:$A$21,'Données Giant'!$G$8:$G$21,0)</f>
        <v>0</v>
      </c>
      <c r="V61">
        <f>_xlfn.XLOOKUP(Tableau1[[#This Row],[Rénovation prévue ?]],'Données Giant'!$A$8:$A$21,'Données Giant'!$H$8:$H$21,0)</f>
        <v>0</v>
      </c>
    </row>
    <row r="62" spans="1:22" x14ac:dyDescent="0.25">
      <c r="A62" s="29">
        <f>'Encodage données'!C124</f>
        <v>0</v>
      </c>
      <c r="B62" s="29">
        <f>'Encodage données'!D124</f>
        <v>0</v>
      </c>
      <c r="C62" s="29">
        <f>'Encodage données'!E124</f>
        <v>0</v>
      </c>
      <c r="D62" s="29">
        <f>'Encodage données'!F124</f>
        <v>0</v>
      </c>
      <c r="E62" s="29">
        <f>'Encodage données'!G124</f>
        <v>0</v>
      </c>
      <c r="F62" s="29">
        <f>'Encodage données'!H124</f>
        <v>0</v>
      </c>
      <c r="G62" s="29">
        <f>'Encodage données'!J124</f>
        <v>0</v>
      </c>
      <c r="H62" s="29">
        <f>IF(OR(Tableau1[[#This Row],[Isolation actuelle]]="U connu",Tableau1[[#This Row],[Isolation actuelle]]="U connu (porte et fenêtres)"),Tableau1[[#This Row],[Si U connu de la paroi]],_xlfn.XLOOKUP(Tableau1[[#This Row],[Isolation actuelle]],'Parois types'!$B$9:$B$71,'Parois types'!$C$9:$C$71,0))</f>
        <v>0</v>
      </c>
      <c r="I62" s="29">
        <f>IF(Tableau1[[#This Row],[Rénovation prévue ?]]='Données Giant'!$A$21,Tableau1[[#This Row],[Uactuel (W/m²K)]],'Encodage données'!I124)</f>
        <v>0</v>
      </c>
      <c r="J62">
        <f>_xlfn.XLOOKUP(Tableau1[[#This Row],[Catégorie]],Tableau4[Catégories de parois],Tableau4[ai],0)</f>
        <v>0</v>
      </c>
      <c r="K62">
        <f>Tableau1[[#This Row],[aj]]*Tableau1[[#This Row],[Uactuel (W/m²K)]]*Tableau1[[#This Row],[Surface (m²)]]</f>
        <v>0</v>
      </c>
      <c r="L62">
        <f>Tableau1[[#This Row],[aj]]*Tableau1[[#This Row],[Urénové (W/m²K)]]*Tableau1[[#This Row],[Surface (m²)]]</f>
        <v>0</v>
      </c>
      <c r="M62">
        <f>_xlfn.XLOOKUP(Tableau1[[#This Row],[Isolation actuelle]],'Parois types'!$B$9:$B$71,'Parois types'!$D$9:$D$71,0)</f>
        <v>0</v>
      </c>
      <c r="N62">
        <f>IF(Tableau1[[#This Row],[Rénovation prévue ?]]='Données Giant'!$A$21,Tableau1[[#This Row],[Facteur solaire actuel]],_xlfn.XLOOKUP(Tableau1[[#This Row],[Rénovation prévue ?]],'Données Giant'!$A$8:$A$21,'Données Giant'!$B$8:$B$21,0))</f>
        <v>0</v>
      </c>
      <c r="O62">
        <f>IF(Tableau1[[#This Row],[Catégorie]]=DonnéesAutres!$A$100,235*0.5*Tableau1[[#This Row],[Facteur solaire actuel]]*Tableau1[[#This Row],[Surface (m²)]],0)</f>
        <v>0</v>
      </c>
      <c r="P62" s="71">
        <f>235*0.5*Tableau1[[#This Row],[Facteur Solaire rénové]]*Tableau1[[#This Row],[Surface (m²)]]</f>
        <v>0</v>
      </c>
      <c r="Q62" s="71">
        <f>_xlfn.XLOOKUP(Tableau1[[#This Row],[Rénovation prévue ?]],'Données Giant'!$A$8:$A$21,'Données Giant'!$C$8:$C$21,0)</f>
        <v>0</v>
      </c>
      <c r="R62" s="27">
        <f>_xlfn.XLOOKUP(Tableau1[[#This Row],[Rénovation prévue ?]],'Données Giant'!$A$8:$A$21,'Données Giant'!$D$8:$D$21,0)</f>
        <v>0</v>
      </c>
      <c r="S62">
        <f>_xlfn.XLOOKUP(Tableau1[[#This Row],[Rénovation prévue ?]],'Données Giant'!$A$8:$A$21,'Données Giant'!$E$8:$E$21,0)</f>
        <v>0</v>
      </c>
      <c r="T62">
        <f>_xlfn.XLOOKUP(Tableau1[[#This Row],[Rénovation prévue ?]],'Données Giant'!$A$8:$A$21,'Données Giant'!$F$8:$F$21,0)</f>
        <v>0</v>
      </c>
      <c r="U62">
        <f>_xlfn.XLOOKUP(Tableau1[[#This Row],[Rénovation prévue ?]],'Données Giant'!$A$8:$A$21,'Données Giant'!$G$8:$G$21,0)</f>
        <v>0</v>
      </c>
      <c r="V62">
        <f>_xlfn.XLOOKUP(Tableau1[[#This Row],[Rénovation prévue ?]],'Données Giant'!$A$8:$A$21,'Données Giant'!$H$8:$H$21,0)</f>
        <v>0</v>
      </c>
    </row>
    <row r="63" spans="1:22" x14ac:dyDescent="0.25">
      <c r="A63" s="29">
        <f>'Encodage données'!C125</f>
        <v>0</v>
      </c>
      <c r="B63" s="29">
        <f>'Encodage données'!D125</f>
        <v>0</v>
      </c>
      <c r="C63" s="29">
        <f>'Encodage données'!E125</f>
        <v>0</v>
      </c>
      <c r="D63" s="29">
        <f>'Encodage données'!F125</f>
        <v>0</v>
      </c>
      <c r="E63" s="29">
        <f>'Encodage données'!G125</f>
        <v>0</v>
      </c>
      <c r="F63" s="29">
        <f>'Encodage données'!H125</f>
        <v>0</v>
      </c>
      <c r="G63" s="29">
        <f>'Encodage données'!J125</f>
        <v>0</v>
      </c>
      <c r="H63" s="29">
        <f>IF(OR(Tableau1[[#This Row],[Isolation actuelle]]="U connu",Tableau1[[#This Row],[Isolation actuelle]]="U connu (porte et fenêtres)"),Tableau1[[#This Row],[Si U connu de la paroi]],_xlfn.XLOOKUP(Tableau1[[#This Row],[Isolation actuelle]],'Parois types'!$B$9:$B$71,'Parois types'!$C$9:$C$71,0))</f>
        <v>0</v>
      </c>
      <c r="I63" s="29">
        <f>IF(Tableau1[[#This Row],[Rénovation prévue ?]]='Données Giant'!$A$21,Tableau1[[#This Row],[Uactuel (W/m²K)]],'Encodage données'!I125)</f>
        <v>0</v>
      </c>
      <c r="J63">
        <f>_xlfn.XLOOKUP(Tableau1[[#This Row],[Catégorie]],Tableau4[Catégories de parois],Tableau4[ai],0)</f>
        <v>0</v>
      </c>
      <c r="K63">
        <f>Tableau1[[#This Row],[aj]]*Tableau1[[#This Row],[Uactuel (W/m²K)]]*Tableau1[[#This Row],[Surface (m²)]]</f>
        <v>0</v>
      </c>
      <c r="L63">
        <f>Tableau1[[#This Row],[aj]]*Tableau1[[#This Row],[Urénové (W/m²K)]]*Tableau1[[#This Row],[Surface (m²)]]</f>
        <v>0</v>
      </c>
      <c r="M63">
        <f>_xlfn.XLOOKUP(Tableau1[[#This Row],[Isolation actuelle]],'Parois types'!$B$9:$B$71,'Parois types'!$D$9:$D$71,0)</f>
        <v>0</v>
      </c>
      <c r="N63">
        <f>IF(Tableau1[[#This Row],[Rénovation prévue ?]]='Données Giant'!$A$21,Tableau1[[#This Row],[Facteur solaire actuel]],_xlfn.XLOOKUP(Tableau1[[#This Row],[Rénovation prévue ?]],'Données Giant'!$A$8:$A$21,'Données Giant'!$B$8:$B$21,0))</f>
        <v>0</v>
      </c>
      <c r="O63">
        <f>IF(Tableau1[[#This Row],[Catégorie]]=DonnéesAutres!$A$100,235*0.5*Tableau1[[#This Row],[Facteur solaire actuel]]*Tableau1[[#This Row],[Surface (m²)]],0)</f>
        <v>0</v>
      </c>
      <c r="P63" s="71">
        <f>235*0.5*Tableau1[[#This Row],[Facteur Solaire rénové]]*Tableau1[[#This Row],[Surface (m²)]]</f>
        <v>0</v>
      </c>
      <c r="Q63" s="71">
        <f>_xlfn.XLOOKUP(Tableau1[[#This Row],[Rénovation prévue ?]],'Données Giant'!$A$8:$A$21,'Données Giant'!$C$8:$C$21,0)</f>
        <v>0</v>
      </c>
      <c r="R63" s="27">
        <f>_xlfn.XLOOKUP(Tableau1[[#This Row],[Rénovation prévue ?]],'Données Giant'!$A$8:$A$21,'Données Giant'!$D$8:$D$21,0)</f>
        <v>0</v>
      </c>
      <c r="S63">
        <f>_xlfn.XLOOKUP(Tableau1[[#This Row],[Rénovation prévue ?]],'Données Giant'!$A$8:$A$21,'Données Giant'!$E$8:$E$21,0)</f>
        <v>0</v>
      </c>
      <c r="T63">
        <f>_xlfn.XLOOKUP(Tableau1[[#This Row],[Rénovation prévue ?]],'Données Giant'!$A$8:$A$21,'Données Giant'!$F$8:$F$21,0)</f>
        <v>0</v>
      </c>
      <c r="U63">
        <f>_xlfn.XLOOKUP(Tableau1[[#This Row],[Rénovation prévue ?]],'Données Giant'!$A$8:$A$21,'Données Giant'!$G$8:$G$21,0)</f>
        <v>0</v>
      </c>
      <c r="V63">
        <f>_xlfn.XLOOKUP(Tableau1[[#This Row],[Rénovation prévue ?]],'Données Giant'!$A$8:$A$21,'Données Giant'!$H$8:$H$21,0)</f>
        <v>0</v>
      </c>
    </row>
    <row r="64" spans="1:22" x14ac:dyDescent="0.25">
      <c r="A64" s="29">
        <f>'Encodage données'!C126</f>
        <v>0</v>
      </c>
      <c r="B64" s="29">
        <f>'Encodage données'!D126</f>
        <v>0</v>
      </c>
      <c r="C64" s="29">
        <f>'Encodage données'!E126</f>
        <v>0</v>
      </c>
      <c r="D64" s="29">
        <f>'Encodage données'!F126</f>
        <v>0</v>
      </c>
      <c r="E64" s="29">
        <f>'Encodage données'!G126</f>
        <v>0</v>
      </c>
      <c r="F64" s="29">
        <f>'Encodage données'!H126</f>
        <v>0</v>
      </c>
      <c r="G64" s="29">
        <f>'Encodage données'!J126</f>
        <v>0</v>
      </c>
      <c r="H64" s="29">
        <f>IF(OR(Tableau1[[#This Row],[Isolation actuelle]]="U connu",Tableau1[[#This Row],[Isolation actuelle]]="U connu (porte et fenêtres)"),Tableau1[[#This Row],[Si U connu de la paroi]],_xlfn.XLOOKUP(Tableau1[[#This Row],[Isolation actuelle]],'Parois types'!$B$9:$B$71,'Parois types'!$C$9:$C$71,0))</f>
        <v>0</v>
      </c>
      <c r="I64" s="29">
        <f>IF(Tableau1[[#This Row],[Rénovation prévue ?]]='Données Giant'!$A$21,Tableau1[[#This Row],[Uactuel (W/m²K)]],'Encodage données'!I126)</f>
        <v>0</v>
      </c>
      <c r="J64">
        <f>_xlfn.XLOOKUP(Tableau1[[#This Row],[Catégorie]],Tableau4[Catégories de parois],Tableau4[ai],0)</f>
        <v>0</v>
      </c>
      <c r="K64">
        <f>Tableau1[[#This Row],[aj]]*Tableau1[[#This Row],[Uactuel (W/m²K)]]*Tableau1[[#This Row],[Surface (m²)]]</f>
        <v>0</v>
      </c>
      <c r="L64">
        <f>Tableau1[[#This Row],[aj]]*Tableau1[[#This Row],[Urénové (W/m²K)]]*Tableau1[[#This Row],[Surface (m²)]]</f>
        <v>0</v>
      </c>
      <c r="M64">
        <f>_xlfn.XLOOKUP(Tableau1[[#This Row],[Isolation actuelle]],'Parois types'!$B$9:$B$71,'Parois types'!$D$9:$D$71,0)</f>
        <v>0</v>
      </c>
      <c r="N64">
        <f>IF(Tableau1[[#This Row],[Rénovation prévue ?]]='Données Giant'!$A$21,Tableau1[[#This Row],[Facteur solaire actuel]],_xlfn.XLOOKUP(Tableau1[[#This Row],[Rénovation prévue ?]],'Données Giant'!$A$8:$A$21,'Données Giant'!$B$8:$B$21,0))</f>
        <v>0</v>
      </c>
      <c r="O64">
        <f>IF(Tableau1[[#This Row],[Catégorie]]=DonnéesAutres!$A$100,235*0.5*Tableau1[[#This Row],[Facteur solaire actuel]]*Tableau1[[#This Row],[Surface (m²)]],0)</f>
        <v>0</v>
      </c>
      <c r="P64" s="71">
        <f>235*0.5*Tableau1[[#This Row],[Facteur Solaire rénové]]*Tableau1[[#This Row],[Surface (m²)]]</f>
        <v>0</v>
      </c>
      <c r="Q64" s="71">
        <f>_xlfn.XLOOKUP(Tableau1[[#This Row],[Rénovation prévue ?]],'Données Giant'!$A$8:$A$21,'Données Giant'!$C$8:$C$21,0)</f>
        <v>0</v>
      </c>
      <c r="R64" s="27">
        <f>_xlfn.XLOOKUP(Tableau1[[#This Row],[Rénovation prévue ?]],'Données Giant'!$A$8:$A$21,'Données Giant'!$D$8:$D$21,0)</f>
        <v>0</v>
      </c>
      <c r="S64">
        <f>_xlfn.XLOOKUP(Tableau1[[#This Row],[Rénovation prévue ?]],'Données Giant'!$A$8:$A$21,'Données Giant'!$E$8:$E$21,0)</f>
        <v>0</v>
      </c>
      <c r="T64">
        <f>_xlfn.XLOOKUP(Tableau1[[#This Row],[Rénovation prévue ?]],'Données Giant'!$A$8:$A$21,'Données Giant'!$F$8:$F$21,0)</f>
        <v>0</v>
      </c>
      <c r="U64">
        <f>_xlfn.XLOOKUP(Tableau1[[#This Row],[Rénovation prévue ?]],'Données Giant'!$A$8:$A$21,'Données Giant'!$G$8:$G$21,0)</f>
        <v>0</v>
      </c>
      <c r="V64">
        <f>_xlfn.XLOOKUP(Tableau1[[#This Row],[Rénovation prévue ?]],'Données Giant'!$A$8:$A$21,'Données Giant'!$H$8:$H$21,0)</f>
        <v>0</v>
      </c>
    </row>
    <row r="65" spans="1:22" x14ac:dyDescent="0.25">
      <c r="A65" s="29">
        <f>'Encodage données'!C127</f>
        <v>0</v>
      </c>
      <c r="B65" s="29">
        <f>'Encodage données'!D127</f>
        <v>0</v>
      </c>
      <c r="C65" s="29">
        <f>'Encodage données'!E127</f>
        <v>0</v>
      </c>
      <c r="D65" s="29">
        <f>'Encodage données'!F127</f>
        <v>0</v>
      </c>
      <c r="E65" s="29">
        <f>'Encodage données'!G127</f>
        <v>0</v>
      </c>
      <c r="F65" s="29">
        <f>'Encodage données'!H127</f>
        <v>0</v>
      </c>
      <c r="G65" s="29">
        <f>'Encodage données'!J127</f>
        <v>0</v>
      </c>
      <c r="H65" s="29">
        <f>IF(OR(Tableau1[[#This Row],[Isolation actuelle]]="U connu",Tableau1[[#This Row],[Isolation actuelle]]="U connu (porte et fenêtres)"),Tableau1[[#This Row],[Si U connu de la paroi]],_xlfn.XLOOKUP(Tableau1[[#This Row],[Isolation actuelle]],'Parois types'!$B$9:$B$71,'Parois types'!$C$9:$C$71,0))</f>
        <v>0</v>
      </c>
      <c r="I65" s="29">
        <f>IF(Tableau1[[#This Row],[Rénovation prévue ?]]='Données Giant'!$A$21,Tableau1[[#This Row],[Uactuel (W/m²K)]],'Encodage données'!I127)</f>
        <v>0</v>
      </c>
      <c r="J65">
        <f>_xlfn.XLOOKUP(Tableau1[[#This Row],[Catégorie]],Tableau4[Catégories de parois],Tableau4[ai],0)</f>
        <v>0</v>
      </c>
      <c r="K65">
        <f>Tableau1[[#This Row],[aj]]*Tableau1[[#This Row],[Uactuel (W/m²K)]]*Tableau1[[#This Row],[Surface (m²)]]</f>
        <v>0</v>
      </c>
      <c r="L65">
        <f>Tableau1[[#This Row],[aj]]*Tableau1[[#This Row],[Urénové (W/m²K)]]*Tableau1[[#This Row],[Surface (m²)]]</f>
        <v>0</v>
      </c>
      <c r="M65">
        <f>_xlfn.XLOOKUP(Tableau1[[#This Row],[Isolation actuelle]],'Parois types'!$B$9:$B$71,'Parois types'!$D$9:$D$71,0)</f>
        <v>0</v>
      </c>
      <c r="N65">
        <f>IF(Tableau1[[#This Row],[Rénovation prévue ?]]='Données Giant'!$A$21,Tableau1[[#This Row],[Facteur solaire actuel]],_xlfn.XLOOKUP(Tableau1[[#This Row],[Rénovation prévue ?]],'Données Giant'!$A$8:$A$21,'Données Giant'!$B$8:$B$21,0))</f>
        <v>0</v>
      </c>
      <c r="O65">
        <f>IF(Tableau1[[#This Row],[Catégorie]]=DonnéesAutres!$A$100,235*0.5*Tableau1[[#This Row],[Facteur solaire actuel]]*Tableau1[[#This Row],[Surface (m²)]],0)</f>
        <v>0</v>
      </c>
      <c r="P65" s="71">
        <f>235*0.5*Tableau1[[#This Row],[Facteur Solaire rénové]]*Tableau1[[#This Row],[Surface (m²)]]</f>
        <v>0</v>
      </c>
      <c r="Q65" s="71">
        <f>_xlfn.XLOOKUP(Tableau1[[#This Row],[Rénovation prévue ?]],'Données Giant'!$A$8:$A$21,'Données Giant'!$C$8:$C$21,0)</f>
        <v>0</v>
      </c>
      <c r="R65" s="27">
        <f>_xlfn.XLOOKUP(Tableau1[[#This Row],[Rénovation prévue ?]],'Données Giant'!$A$8:$A$21,'Données Giant'!$D$8:$D$21,0)</f>
        <v>0</v>
      </c>
      <c r="S65">
        <f>_xlfn.XLOOKUP(Tableau1[[#This Row],[Rénovation prévue ?]],'Données Giant'!$A$8:$A$21,'Données Giant'!$E$8:$E$21,0)</f>
        <v>0</v>
      </c>
      <c r="T65">
        <f>_xlfn.XLOOKUP(Tableau1[[#This Row],[Rénovation prévue ?]],'Données Giant'!$A$8:$A$21,'Données Giant'!$F$8:$F$21,0)</f>
        <v>0</v>
      </c>
      <c r="U65">
        <f>_xlfn.XLOOKUP(Tableau1[[#This Row],[Rénovation prévue ?]],'Données Giant'!$A$8:$A$21,'Données Giant'!$G$8:$G$21,0)</f>
        <v>0</v>
      </c>
      <c r="V65">
        <f>_xlfn.XLOOKUP(Tableau1[[#This Row],[Rénovation prévue ?]],'Données Giant'!$A$8:$A$21,'Données Giant'!$H$8:$H$21,0)</f>
        <v>0</v>
      </c>
    </row>
    <row r="66" spans="1:22" x14ac:dyDescent="0.25">
      <c r="A66" s="29">
        <f>'Encodage données'!C128</f>
        <v>0</v>
      </c>
      <c r="B66" s="29">
        <f>'Encodage données'!D128</f>
        <v>0</v>
      </c>
      <c r="C66" s="29">
        <f>'Encodage données'!E128</f>
        <v>0</v>
      </c>
      <c r="D66" s="29">
        <f>'Encodage données'!F128</f>
        <v>0</v>
      </c>
      <c r="E66" s="29">
        <f>'Encodage données'!G128</f>
        <v>0</v>
      </c>
      <c r="F66" s="29">
        <f>'Encodage données'!H128</f>
        <v>0</v>
      </c>
      <c r="G66" s="29">
        <f>'Encodage données'!J128</f>
        <v>0</v>
      </c>
      <c r="H66" s="29">
        <f>IF(OR(Tableau1[[#This Row],[Isolation actuelle]]="U connu",Tableau1[[#This Row],[Isolation actuelle]]="U connu (porte et fenêtres)"),Tableau1[[#This Row],[Si U connu de la paroi]],_xlfn.XLOOKUP(Tableau1[[#This Row],[Isolation actuelle]],'Parois types'!$B$9:$B$71,'Parois types'!$C$9:$C$71,0))</f>
        <v>0</v>
      </c>
      <c r="I66" s="29">
        <f>IF(Tableau1[[#This Row],[Rénovation prévue ?]]='Données Giant'!$A$21,Tableau1[[#This Row],[Uactuel (W/m²K)]],'Encodage données'!I128)</f>
        <v>0</v>
      </c>
      <c r="J66">
        <f>_xlfn.XLOOKUP(Tableau1[[#This Row],[Catégorie]],Tableau4[Catégories de parois],Tableau4[ai],0)</f>
        <v>0</v>
      </c>
      <c r="K66">
        <f>Tableau1[[#This Row],[aj]]*Tableau1[[#This Row],[Uactuel (W/m²K)]]*Tableau1[[#This Row],[Surface (m²)]]</f>
        <v>0</v>
      </c>
      <c r="L66">
        <f>Tableau1[[#This Row],[aj]]*Tableau1[[#This Row],[Urénové (W/m²K)]]*Tableau1[[#This Row],[Surface (m²)]]</f>
        <v>0</v>
      </c>
      <c r="M66">
        <f>_xlfn.XLOOKUP(Tableau1[[#This Row],[Isolation actuelle]],'Parois types'!$B$9:$B$71,'Parois types'!$D$9:$D$71,0)</f>
        <v>0</v>
      </c>
      <c r="N66">
        <f>IF(Tableau1[[#This Row],[Rénovation prévue ?]]='Données Giant'!$A$21,Tableau1[[#This Row],[Facteur solaire actuel]],_xlfn.XLOOKUP(Tableau1[[#This Row],[Rénovation prévue ?]],'Données Giant'!$A$8:$A$21,'Données Giant'!$B$8:$B$21,0))</f>
        <v>0</v>
      </c>
      <c r="O66">
        <f>IF(Tableau1[[#This Row],[Catégorie]]=DonnéesAutres!$A$100,235*0.5*Tableau1[[#This Row],[Facteur solaire actuel]]*Tableau1[[#This Row],[Surface (m²)]],0)</f>
        <v>0</v>
      </c>
      <c r="P66" s="71">
        <f>235*0.5*Tableau1[[#This Row],[Facteur Solaire rénové]]*Tableau1[[#This Row],[Surface (m²)]]</f>
        <v>0</v>
      </c>
      <c r="Q66" s="71">
        <f>_xlfn.XLOOKUP(Tableau1[[#This Row],[Rénovation prévue ?]],'Données Giant'!$A$8:$A$21,'Données Giant'!$C$8:$C$21,0)</f>
        <v>0</v>
      </c>
      <c r="R66" s="27">
        <f>_xlfn.XLOOKUP(Tableau1[[#This Row],[Rénovation prévue ?]],'Données Giant'!$A$8:$A$21,'Données Giant'!$D$8:$D$21,0)</f>
        <v>0</v>
      </c>
      <c r="S66">
        <f>_xlfn.XLOOKUP(Tableau1[[#This Row],[Rénovation prévue ?]],'Données Giant'!$A$8:$A$21,'Données Giant'!$E$8:$E$21,0)</f>
        <v>0</v>
      </c>
      <c r="T66">
        <f>_xlfn.XLOOKUP(Tableau1[[#This Row],[Rénovation prévue ?]],'Données Giant'!$A$8:$A$21,'Données Giant'!$F$8:$F$21,0)</f>
        <v>0</v>
      </c>
      <c r="U66">
        <f>_xlfn.XLOOKUP(Tableau1[[#This Row],[Rénovation prévue ?]],'Données Giant'!$A$8:$A$21,'Données Giant'!$G$8:$G$21,0)</f>
        <v>0</v>
      </c>
      <c r="V66">
        <f>_xlfn.XLOOKUP(Tableau1[[#This Row],[Rénovation prévue ?]],'Données Giant'!$A$8:$A$21,'Données Giant'!$H$8:$H$21,0)</f>
        <v>0</v>
      </c>
    </row>
    <row r="67" spans="1:22" x14ac:dyDescent="0.25">
      <c r="A67" s="29">
        <f>'Encodage données'!C129</f>
        <v>0</v>
      </c>
      <c r="B67" s="29">
        <f>'Encodage données'!D129</f>
        <v>0</v>
      </c>
      <c r="C67" s="29">
        <f>'Encodage données'!E129</f>
        <v>0</v>
      </c>
      <c r="D67" s="29">
        <f>'Encodage données'!F129</f>
        <v>0</v>
      </c>
      <c r="E67" s="29">
        <f>'Encodage données'!G129</f>
        <v>0</v>
      </c>
      <c r="F67" s="29">
        <f>'Encodage données'!H129</f>
        <v>0</v>
      </c>
      <c r="G67" s="29">
        <f>'Encodage données'!J129</f>
        <v>0</v>
      </c>
      <c r="H67" s="29">
        <f>IF(OR(Tableau1[[#This Row],[Isolation actuelle]]="U connu",Tableau1[[#This Row],[Isolation actuelle]]="U connu (porte et fenêtres)"),Tableau1[[#This Row],[Si U connu de la paroi]],_xlfn.XLOOKUP(Tableau1[[#This Row],[Isolation actuelle]],'Parois types'!$B$9:$B$71,'Parois types'!$C$9:$C$71,0))</f>
        <v>0</v>
      </c>
      <c r="I67" s="29">
        <f>IF(Tableau1[[#This Row],[Rénovation prévue ?]]='Données Giant'!$A$21,Tableau1[[#This Row],[Uactuel (W/m²K)]],'Encodage données'!I129)</f>
        <v>0</v>
      </c>
      <c r="J67">
        <f>_xlfn.XLOOKUP(Tableau1[[#This Row],[Catégorie]],Tableau4[Catégories de parois],Tableau4[ai],0)</f>
        <v>0</v>
      </c>
      <c r="K67">
        <f>Tableau1[[#This Row],[aj]]*Tableau1[[#This Row],[Uactuel (W/m²K)]]*Tableau1[[#This Row],[Surface (m²)]]</f>
        <v>0</v>
      </c>
      <c r="L67">
        <f>Tableau1[[#This Row],[aj]]*Tableau1[[#This Row],[Urénové (W/m²K)]]*Tableau1[[#This Row],[Surface (m²)]]</f>
        <v>0</v>
      </c>
      <c r="M67">
        <f>_xlfn.XLOOKUP(Tableau1[[#This Row],[Isolation actuelle]],'Parois types'!$B$9:$B$71,'Parois types'!$D$9:$D$71,0)</f>
        <v>0</v>
      </c>
      <c r="N67">
        <f>IF(Tableau1[[#This Row],[Rénovation prévue ?]]='Données Giant'!$A$21,Tableau1[[#This Row],[Facteur solaire actuel]],_xlfn.XLOOKUP(Tableau1[[#This Row],[Rénovation prévue ?]],'Données Giant'!$A$8:$A$21,'Données Giant'!$B$8:$B$21,0))</f>
        <v>0</v>
      </c>
      <c r="O67">
        <f>IF(Tableau1[[#This Row],[Catégorie]]=DonnéesAutres!$A$100,235*0.5*Tableau1[[#This Row],[Facteur solaire actuel]]*Tableau1[[#This Row],[Surface (m²)]],0)</f>
        <v>0</v>
      </c>
      <c r="P67" s="71">
        <f>235*0.5*Tableau1[[#This Row],[Facteur Solaire rénové]]*Tableau1[[#This Row],[Surface (m²)]]</f>
        <v>0</v>
      </c>
      <c r="Q67" s="71">
        <f>_xlfn.XLOOKUP(Tableau1[[#This Row],[Rénovation prévue ?]],'Données Giant'!$A$8:$A$21,'Données Giant'!$C$8:$C$21,0)</f>
        <v>0</v>
      </c>
      <c r="R67" s="27">
        <f>_xlfn.XLOOKUP(Tableau1[[#This Row],[Rénovation prévue ?]],'Données Giant'!$A$8:$A$21,'Données Giant'!$D$8:$D$21,0)</f>
        <v>0</v>
      </c>
      <c r="S67">
        <f>_xlfn.XLOOKUP(Tableau1[[#This Row],[Rénovation prévue ?]],'Données Giant'!$A$8:$A$21,'Données Giant'!$E$8:$E$21,0)</f>
        <v>0</v>
      </c>
      <c r="T67">
        <f>_xlfn.XLOOKUP(Tableau1[[#This Row],[Rénovation prévue ?]],'Données Giant'!$A$8:$A$21,'Données Giant'!$F$8:$F$21,0)</f>
        <v>0</v>
      </c>
      <c r="U67">
        <f>_xlfn.XLOOKUP(Tableau1[[#This Row],[Rénovation prévue ?]],'Données Giant'!$A$8:$A$21,'Données Giant'!$G$8:$G$21,0)</f>
        <v>0</v>
      </c>
      <c r="V67">
        <f>_xlfn.XLOOKUP(Tableau1[[#This Row],[Rénovation prévue ?]],'Données Giant'!$A$8:$A$21,'Données Giant'!$H$8:$H$21,0)</f>
        <v>0</v>
      </c>
    </row>
    <row r="68" spans="1:22" x14ac:dyDescent="0.25">
      <c r="A68" s="29">
        <f>'Encodage données'!C130</f>
        <v>0</v>
      </c>
      <c r="B68" s="29">
        <f>'Encodage données'!D130</f>
        <v>0</v>
      </c>
      <c r="C68" s="29">
        <f>'Encodage données'!E130</f>
        <v>0</v>
      </c>
      <c r="D68" s="29">
        <f>'Encodage données'!F130</f>
        <v>0</v>
      </c>
      <c r="E68" s="29">
        <f>'Encodage données'!G130</f>
        <v>0</v>
      </c>
      <c r="F68" s="29">
        <f>'Encodage données'!H130</f>
        <v>0</v>
      </c>
      <c r="G68" s="29">
        <f>'Encodage données'!J130</f>
        <v>0</v>
      </c>
      <c r="H68" s="29">
        <f>IF(OR(Tableau1[[#This Row],[Isolation actuelle]]="U connu",Tableau1[[#This Row],[Isolation actuelle]]="U connu (porte et fenêtres)"),Tableau1[[#This Row],[Si U connu de la paroi]],_xlfn.XLOOKUP(Tableau1[[#This Row],[Isolation actuelle]],'Parois types'!$B$9:$B$71,'Parois types'!$C$9:$C$71,0))</f>
        <v>0</v>
      </c>
      <c r="I68" s="29">
        <f>IF(Tableau1[[#This Row],[Rénovation prévue ?]]='Données Giant'!$A$21,Tableau1[[#This Row],[Uactuel (W/m²K)]],'Encodage données'!I130)</f>
        <v>0</v>
      </c>
      <c r="J68">
        <f>_xlfn.XLOOKUP(Tableau1[[#This Row],[Catégorie]],Tableau4[Catégories de parois],Tableau4[ai],0)</f>
        <v>0</v>
      </c>
      <c r="K68">
        <f>Tableau1[[#This Row],[aj]]*Tableau1[[#This Row],[Uactuel (W/m²K)]]*Tableau1[[#This Row],[Surface (m²)]]</f>
        <v>0</v>
      </c>
      <c r="L68">
        <f>Tableau1[[#This Row],[aj]]*Tableau1[[#This Row],[Urénové (W/m²K)]]*Tableau1[[#This Row],[Surface (m²)]]</f>
        <v>0</v>
      </c>
      <c r="M68">
        <f>_xlfn.XLOOKUP(Tableau1[[#This Row],[Isolation actuelle]],'Parois types'!$B$9:$B$71,'Parois types'!$D$9:$D$71,0)</f>
        <v>0</v>
      </c>
      <c r="N68">
        <f>IF(Tableau1[[#This Row],[Rénovation prévue ?]]='Données Giant'!$A$21,Tableau1[[#This Row],[Facteur solaire actuel]],_xlfn.XLOOKUP(Tableau1[[#This Row],[Rénovation prévue ?]],'Données Giant'!$A$8:$A$21,'Données Giant'!$B$8:$B$21,0))</f>
        <v>0</v>
      </c>
      <c r="O68">
        <f>IF(Tableau1[[#This Row],[Catégorie]]=DonnéesAutres!$A$100,235*0.5*Tableau1[[#This Row],[Facteur solaire actuel]]*Tableau1[[#This Row],[Surface (m²)]],0)</f>
        <v>0</v>
      </c>
      <c r="P68" s="71">
        <f>235*0.5*Tableau1[[#This Row],[Facteur Solaire rénové]]*Tableau1[[#This Row],[Surface (m²)]]</f>
        <v>0</v>
      </c>
      <c r="Q68" s="71">
        <f>_xlfn.XLOOKUP(Tableau1[[#This Row],[Rénovation prévue ?]],'Données Giant'!$A$8:$A$21,'Données Giant'!$C$8:$C$21,0)</f>
        <v>0</v>
      </c>
      <c r="R68" s="27">
        <f>_xlfn.XLOOKUP(Tableau1[[#This Row],[Rénovation prévue ?]],'Données Giant'!$A$8:$A$21,'Données Giant'!$D$8:$D$21,0)</f>
        <v>0</v>
      </c>
      <c r="S68">
        <f>_xlfn.XLOOKUP(Tableau1[[#This Row],[Rénovation prévue ?]],'Données Giant'!$A$8:$A$21,'Données Giant'!$E$8:$E$21,0)</f>
        <v>0</v>
      </c>
      <c r="T68">
        <f>_xlfn.XLOOKUP(Tableau1[[#This Row],[Rénovation prévue ?]],'Données Giant'!$A$8:$A$21,'Données Giant'!$F$8:$F$21,0)</f>
        <v>0</v>
      </c>
      <c r="U68">
        <f>_xlfn.XLOOKUP(Tableau1[[#This Row],[Rénovation prévue ?]],'Données Giant'!$A$8:$A$21,'Données Giant'!$G$8:$G$21,0)</f>
        <v>0</v>
      </c>
      <c r="V68">
        <f>_xlfn.XLOOKUP(Tableau1[[#This Row],[Rénovation prévue ?]],'Données Giant'!$A$8:$A$21,'Données Giant'!$H$8:$H$21,0)</f>
        <v>0</v>
      </c>
    </row>
    <row r="69" spans="1:22" x14ac:dyDescent="0.25">
      <c r="A69" s="29">
        <f>'Encodage données'!C131</f>
        <v>0</v>
      </c>
      <c r="B69" s="29">
        <f>'Encodage données'!D131</f>
        <v>0</v>
      </c>
      <c r="C69" s="29">
        <f>'Encodage données'!E131</f>
        <v>0</v>
      </c>
      <c r="D69" s="29">
        <f>'Encodage données'!F131</f>
        <v>0</v>
      </c>
      <c r="E69" s="29">
        <f>'Encodage données'!G131</f>
        <v>0</v>
      </c>
      <c r="F69" s="29">
        <f>'Encodage données'!H131</f>
        <v>0</v>
      </c>
      <c r="G69" s="29">
        <f>'Encodage données'!J131</f>
        <v>0</v>
      </c>
      <c r="H69" s="29">
        <f>IF(OR(Tableau1[[#This Row],[Isolation actuelle]]="U connu",Tableau1[[#This Row],[Isolation actuelle]]="U connu (porte et fenêtres)"),Tableau1[[#This Row],[Si U connu de la paroi]],_xlfn.XLOOKUP(Tableau1[[#This Row],[Isolation actuelle]],'Parois types'!$B$9:$B$71,'Parois types'!$C$9:$C$71,0))</f>
        <v>0</v>
      </c>
      <c r="I69" s="29">
        <f>IF(Tableau1[[#This Row],[Rénovation prévue ?]]='Données Giant'!$A$21,Tableau1[[#This Row],[Uactuel (W/m²K)]],'Encodage données'!I131)</f>
        <v>0</v>
      </c>
      <c r="J69">
        <f>_xlfn.XLOOKUP(Tableau1[[#This Row],[Catégorie]],Tableau4[Catégories de parois],Tableau4[ai],0)</f>
        <v>0</v>
      </c>
      <c r="K69">
        <f>Tableau1[[#This Row],[aj]]*Tableau1[[#This Row],[Uactuel (W/m²K)]]*Tableau1[[#This Row],[Surface (m²)]]</f>
        <v>0</v>
      </c>
      <c r="L69">
        <f>Tableau1[[#This Row],[aj]]*Tableau1[[#This Row],[Urénové (W/m²K)]]*Tableau1[[#This Row],[Surface (m²)]]</f>
        <v>0</v>
      </c>
      <c r="M69">
        <f>_xlfn.XLOOKUP(Tableau1[[#This Row],[Isolation actuelle]],'Parois types'!$B$9:$B$71,'Parois types'!$D$9:$D$71,0)</f>
        <v>0</v>
      </c>
      <c r="N69">
        <f>IF(Tableau1[[#This Row],[Rénovation prévue ?]]='Données Giant'!$A$21,Tableau1[[#This Row],[Facteur solaire actuel]],_xlfn.XLOOKUP(Tableau1[[#This Row],[Rénovation prévue ?]],'Données Giant'!$A$8:$A$21,'Données Giant'!$B$8:$B$21,0))</f>
        <v>0</v>
      </c>
      <c r="O69">
        <f>IF(Tableau1[[#This Row],[Catégorie]]=DonnéesAutres!$A$100,235*0.5*Tableau1[[#This Row],[Facteur solaire actuel]]*Tableau1[[#This Row],[Surface (m²)]],0)</f>
        <v>0</v>
      </c>
      <c r="P69" s="71">
        <f>235*0.5*Tableau1[[#This Row],[Facteur Solaire rénové]]*Tableau1[[#This Row],[Surface (m²)]]</f>
        <v>0</v>
      </c>
      <c r="Q69" s="71">
        <f>_xlfn.XLOOKUP(Tableau1[[#This Row],[Rénovation prévue ?]],'Données Giant'!$A$8:$A$21,'Données Giant'!$C$8:$C$21,0)</f>
        <v>0</v>
      </c>
      <c r="R69" s="27">
        <f>_xlfn.XLOOKUP(Tableau1[[#This Row],[Rénovation prévue ?]],'Données Giant'!$A$8:$A$21,'Données Giant'!$D$8:$D$21,0)</f>
        <v>0</v>
      </c>
      <c r="S69">
        <f>_xlfn.XLOOKUP(Tableau1[[#This Row],[Rénovation prévue ?]],'Données Giant'!$A$8:$A$21,'Données Giant'!$E$8:$E$21,0)</f>
        <v>0</v>
      </c>
      <c r="T69">
        <f>_xlfn.XLOOKUP(Tableau1[[#This Row],[Rénovation prévue ?]],'Données Giant'!$A$8:$A$21,'Données Giant'!$F$8:$F$21,0)</f>
        <v>0</v>
      </c>
      <c r="U69">
        <f>_xlfn.XLOOKUP(Tableau1[[#This Row],[Rénovation prévue ?]],'Données Giant'!$A$8:$A$21,'Données Giant'!$G$8:$G$21,0)</f>
        <v>0</v>
      </c>
      <c r="V69">
        <f>_xlfn.XLOOKUP(Tableau1[[#This Row],[Rénovation prévue ?]],'Données Giant'!$A$8:$A$21,'Données Giant'!$H$8:$H$21,0)</f>
        <v>0</v>
      </c>
    </row>
    <row r="70" spans="1:22" x14ac:dyDescent="0.25">
      <c r="A70" s="29">
        <f>'Encodage données'!C132</f>
        <v>0</v>
      </c>
      <c r="B70" s="29">
        <f>'Encodage données'!D132</f>
        <v>0</v>
      </c>
      <c r="C70" s="29">
        <f>'Encodage données'!E132</f>
        <v>0</v>
      </c>
      <c r="D70" s="29">
        <f>'Encodage données'!F132</f>
        <v>0</v>
      </c>
      <c r="E70" s="29">
        <f>'Encodage données'!G132</f>
        <v>0</v>
      </c>
      <c r="F70" s="29">
        <f>'Encodage données'!H132</f>
        <v>0</v>
      </c>
      <c r="G70" s="29">
        <f>'Encodage données'!J132</f>
        <v>0</v>
      </c>
      <c r="H70" s="29">
        <f>IF(OR(Tableau1[[#This Row],[Isolation actuelle]]="U connu",Tableau1[[#This Row],[Isolation actuelle]]="U connu (porte et fenêtres)"),Tableau1[[#This Row],[Si U connu de la paroi]],_xlfn.XLOOKUP(Tableau1[[#This Row],[Isolation actuelle]],'Parois types'!$B$9:$B$71,'Parois types'!$C$9:$C$71,0))</f>
        <v>0</v>
      </c>
      <c r="I70" s="29">
        <f>IF(Tableau1[[#This Row],[Rénovation prévue ?]]='Données Giant'!$A$21,Tableau1[[#This Row],[Uactuel (W/m²K)]],'Encodage données'!I132)</f>
        <v>0</v>
      </c>
      <c r="J70">
        <f>_xlfn.XLOOKUP(Tableau1[[#This Row],[Catégorie]],Tableau4[Catégories de parois],Tableau4[ai],0)</f>
        <v>0</v>
      </c>
      <c r="K70">
        <f>Tableau1[[#This Row],[aj]]*Tableau1[[#This Row],[Uactuel (W/m²K)]]*Tableau1[[#This Row],[Surface (m²)]]</f>
        <v>0</v>
      </c>
      <c r="L70">
        <f>Tableau1[[#This Row],[aj]]*Tableau1[[#This Row],[Urénové (W/m²K)]]*Tableau1[[#This Row],[Surface (m²)]]</f>
        <v>0</v>
      </c>
      <c r="M70">
        <f>_xlfn.XLOOKUP(Tableau1[[#This Row],[Isolation actuelle]],'Parois types'!$B$9:$B$71,'Parois types'!$D$9:$D$71,0)</f>
        <v>0</v>
      </c>
      <c r="N70">
        <f>IF(Tableau1[[#This Row],[Rénovation prévue ?]]='Données Giant'!$A$21,Tableau1[[#This Row],[Facteur solaire actuel]],_xlfn.XLOOKUP(Tableau1[[#This Row],[Rénovation prévue ?]],'Données Giant'!$A$8:$A$21,'Données Giant'!$B$8:$B$21,0))</f>
        <v>0</v>
      </c>
      <c r="O70">
        <f>IF(Tableau1[[#This Row],[Catégorie]]=DonnéesAutres!$A$100,235*0.5*Tableau1[[#This Row],[Facteur solaire actuel]]*Tableau1[[#This Row],[Surface (m²)]],0)</f>
        <v>0</v>
      </c>
      <c r="P70" s="71">
        <f>235*0.5*Tableau1[[#This Row],[Facteur Solaire rénové]]*Tableau1[[#This Row],[Surface (m²)]]</f>
        <v>0</v>
      </c>
      <c r="Q70" s="71">
        <f>_xlfn.XLOOKUP(Tableau1[[#This Row],[Rénovation prévue ?]],'Données Giant'!$A$8:$A$21,'Données Giant'!$C$8:$C$21,0)</f>
        <v>0</v>
      </c>
      <c r="R70" s="27">
        <f>_xlfn.XLOOKUP(Tableau1[[#This Row],[Rénovation prévue ?]],'Données Giant'!$A$8:$A$21,'Données Giant'!$D$8:$D$21,0)</f>
        <v>0</v>
      </c>
      <c r="S70">
        <f>_xlfn.XLOOKUP(Tableau1[[#This Row],[Rénovation prévue ?]],'Données Giant'!$A$8:$A$21,'Données Giant'!$E$8:$E$21,0)</f>
        <v>0</v>
      </c>
      <c r="T70">
        <f>_xlfn.XLOOKUP(Tableau1[[#This Row],[Rénovation prévue ?]],'Données Giant'!$A$8:$A$21,'Données Giant'!$F$8:$F$21,0)</f>
        <v>0</v>
      </c>
      <c r="U70">
        <f>_xlfn.XLOOKUP(Tableau1[[#This Row],[Rénovation prévue ?]],'Données Giant'!$A$8:$A$21,'Données Giant'!$G$8:$G$21,0)</f>
        <v>0</v>
      </c>
      <c r="V70">
        <f>_xlfn.XLOOKUP(Tableau1[[#This Row],[Rénovation prévue ?]],'Données Giant'!$A$8:$A$21,'Données Giant'!$H$8:$H$21,0)</f>
        <v>0</v>
      </c>
    </row>
    <row r="71" spans="1:22" x14ac:dyDescent="0.25">
      <c r="A71" s="29">
        <f>'Encodage données'!C133</f>
        <v>0</v>
      </c>
      <c r="B71" s="29">
        <f>'Encodage données'!D133</f>
        <v>0</v>
      </c>
      <c r="C71" s="29">
        <f>'Encodage données'!E133</f>
        <v>0</v>
      </c>
      <c r="D71" s="29">
        <f>'Encodage données'!F133</f>
        <v>0</v>
      </c>
      <c r="E71" s="29">
        <f>'Encodage données'!G133</f>
        <v>0</v>
      </c>
      <c r="F71" s="29">
        <f>'Encodage données'!H133</f>
        <v>0</v>
      </c>
      <c r="G71" s="29">
        <f>'Encodage données'!J133</f>
        <v>0</v>
      </c>
      <c r="H71" s="29">
        <f>IF(OR(Tableau1[[#This Row],[Isolation actuelle]]="U connu",Tableau1[[#This Row],[Isolation actuelle]]="U connu (porte et fenêtres)"),Tableau1[[#This Row],[Si U connu de la paroi]],_xlfn.XLOOKUP(Tableau1[[#This Row],[Isolation actuelle]],'Parois types'!$B$9:$B$71,'Parois types'!$C$9:$C$71,0))</f>
        <v>0</v>
      </c>
      <c r="I71" s="29">
        <f>IF(Tableau1[[#This Row],[Rénovation prévue ?]]='Données Giant'!$A$21,Tableau1[[#This Row],[Uactuel (W/m²K)]],'Encodage données'!I133)</f>
        <v>0</v>
      </c>
      <c r="J71">
        <f>_xlfn.XLOOKUP(Tableau1[[#This Row],[Catégorie]],Tableau4[Catégories de parois],Tableau4[ai],0)</f>
        <v>0</v>
      </c>
      <c r="K71">
        <f>Tableau1[[#This Row],[aj]]*Tableau1[[#This Row],[Uactuel (W/m²K)]]*Tableau1[[#This Row],[Surface (m²)]]</f>
        <v>0</v>
      </c>
      <c r="L71">
        <f>Tableau1[[#This Row],[aj]]*Tableau1[[#This Row],[Urénové (W/m²K)]]*Tableau1[[#This Row],[Surface (m²)]]</f>
        <v>0</v>
      </c>
      <c r="M71">
        <f>_xlfn.XLOOKUP(Tableau1[[#This Row],[Isolation actuelle]],'Parois types'!$B$9:$B$71,'Parois types'!$D$9:$D$71,0)</f>
        <v>0</v>
      </c>
      <c r="N71">
        <f>IF(Tableau1[[#This Row],[Rénovation prévue ?]]='Données Giant'!$A$21,Tableau1[[#This Row],[Facteur solaire actuel]],_xlfn.XLOOKUP(Tableau1[[#This Row],[Rénovation prévue ?]],'Données Giant'!$A$8:$A$21,'Données Giant'!$B$8:$B$21,0))</f>
        <v>0</v>
      </c>
      <c r="O71">
        <f>IF(Tableau1[[#This Row],[Catégorie]]=DonnéesAutres!$A$100,235*0.5*Tableau1[[#This Row],[Facteur solaire actuel]]*Tableau1[[#This Row],[Surface (m²)]],0)</f>
        <v>0</v>
      </c>
      <c r="P71" s="71">
        <f>235*0.5*Tableau1[[#This Row],[Facteur Solaire rénové]]*Tableau1[[#This Row],[Surface (m²)]]</f>
        <v>0</v>
      </c>
      <c r="Q71" s="71">
        <f>_xlfn.XLOOKUP(Tableau1[[#This Row],[Rénovation prévue ?]],'Données Giant'!$A$8:$A$21,'Données Giant'!$C$8:$C$21,0)</f>
        <v>0</v>
      </c>
      <c r="R71" s="27">
        <f>_xlfn.XLOOKUP(Tableau1[[#This Row],[Rénovation prévue ?]],'Données Giant'!$A$8:$A$21,'Données Giant'!$D$8:$D$21,0)</f>
        <v>0</v>
      </c>
      <c r="S71">
        <f>_xlfn.XLOOKUP(Tableau1[[#This Row],[Rénovation prévue ?]],'Données Giant'!$A$8:$A$21,'Données Giant'!$E$8:$E$21,0)</f>
        <v>0</v>
      </c>
      <c r="T71">
        <f>_xlfn.XLOOKUP(Tableau1[[#This Row],[Rénovation prévue ?]],'Données Giant'!$A$8:$A$21,'Données Giant'!$F$8:$F$21,0)</f>
        <v>0</v>
      </c>
      <c r="U71">
        <f>_xlfn.XLOOKUP(Tableau1[[#This Row],[Rénovation prévue ?]],'Données Giant'!$A$8:$A$21,'Données Giant'!$G$8:$G$21,0)</f>
        <v>0</v>
      </c>
      <c r="V71">
        <f>_xlfn.XLOOKUP(Tableau1[[#This Row],[Rénovation prévue ?]],'Données Giant'!$A$8:$A$21,'Données Giant'!$H$8:$H$21,0)</f>
        <v>0</v>
      </c>
    </row>
    <row r="72" spans="1:22" x14ac:dyDescent="0.25">
      <c r="A72" s="29">
        <f>'Encodage données'!C134</f>
        <v>0</v>
      </c>
      <c r="B72" s="29">
        <f>'Encodage données'!D134</f>
        <v>0</v>
      </c>
      <c r="C72" s="29">
        <f>'Encodage données'!E134</f>
        <v>0</v>
      </c>
      <c r="D72" s="29">
        <f>'Encodage données'!F134</f>
        <v>0</v>
      </c>
      <c r="E72" s="29">
        <f>'Encodage données'!G134</f>
        <v>0</v>
      </c>
      <c r="F72" s="29">
        <f>'Encodage données'!H134</f>
        <v>0</v>
      </c>
      <c r="G72" s="29">
        <f>'Encodage données'!J134</f>
        <v>0</v>
      </c>
      <c r="H72" s="29">
        <f>IF(OR(Tableau1[[#This Row],[Isolation actuelle]]="U connu",Tableau1[[#This Row],[Isolation actuelle]]="U connu (porte et fenêtres)"),Tableau1[[#This Row],[Si U connu de la paroi]],_xlfn.XLOOKUP(Tableau1[[#This Row],[Isolation actuelle]],'Parois types'!$B$9:$B$71,'Parois types'!$C$9:$C$71,0))</f>
        <v>0</v>
      </c>
      <c r="I72" s="29">
        <f>IF(Tableau1[[#This Row],[Rénovation prévue ?]]='Données Giant'!$A$21,Tableau1[[#This Row],[Uactuel (W/m²K)]],'Encodage données'!I134)</f>
        <v>0</v>
      </c>
      <c r="J72">
        <f>_xlfn.XLOOKUP(Tableau1[[#This Row],[Catégorie]],Tableau4[Catégories de parois],Tableau4[ai],0)</f>
        <v>0</v>
      </c>
      <c r="K72">
        <f>Tableau1[[#This Row],[aj]]*Tableau1[[#This Row],[Uactuel (W/m²K)]]*Tableau1[[#This Row],[Surface (m²)]]</f>
        <v>0</v>
      </c>
      <c r="L72">
        <f>Tableau1[[#This Row],[aj]]*Tableau1[[#This Row],[Urénové (W/m²K)]]*Tableau1[[#This Row],[Surface (m²)]]</f>
        <v>0</v>
      </c>
      <c r="M72">
        <f>_xlfn.XLOOKUP(Tableau1[[#This Row],[Isolation actuelle]],'Parois types'!$B$9:$B$71,'Parois types'!$D$9:$D$71,0)</f>
        <v>0</v>
      </c>
      <c r="N72">
        <f>IF(Tableau1[[#This Row],[Rénovation prévue ?]]='Données Giant'!$A$21,Tableau1[[#This Row],[Facteur solaire actuel]],_xlfn.XLOOKUP(Tableau1[[#This Row],[Rénovation prévue ?]],'Données Giant'!$A$8:$A$21,'Données Giant'!$B$8:$B$21,0))</f>
        <v>0</v>
      </c>
      <c r="O72">
        <f>IF(Tableau1[[#This Row],[Catégorie]]=DonnéesAutres!$A$100,235*0.5*Tableau1[[#This Row],[Facteur solaire actuel]]*Tableau1[[#This Row],[Surface (m²)]],0)</f>
        <v>0</v>
      </c>
      <c r="P72" s="71">
        <f>235*0.5*Tableau1[[#This Row],[Facteur Solaire rénové]]*Tableau1[[#This Row],[Surface (m²)]]</f>
        <v>0</v>
      </c>
      <c r="Q72" s="71">
        <f>_xlfn.XLOOKUP(Tableau1[[#This Row],[Rénovation prévue ?]],'Données Giant'!$A$8:$A$21,'Données Giant'!$C$8:$C$21,0)</f>
        <v>0</v>
      </c>
      <c r="R72" s="27">
        <f>_xlfn.XLOOKUP(Tableau1[[#This Row],[Rénovation prévue ?]],'Données Giant'!$A$8:$A$21,'Données Giant'!$D$8:$D$21,0)</f>
        <v>0</v>
      </c>
      <c r="S72">
        <f>_xlfn.XLOOKUP(Tableau1[[#This Row],[Rénovation prévue ?]],'Données Giant'!$A$8:$A$21,'Données Giant'!$E$8:$E$21,0)</f>
        <v>0</v>
      </c>
      <c r="T72">
        <f>_xlfn.XLOOKUP(Tableau1[[#This Row],[Rénovation prévue ?]],'Données Giant'!$A$8:$A$21,'Données Giant'!$F$8:$F$21,0)</f>
        <v>0</v>
      </c>
      <c r="U72">
        <f>_xlfn.XLOOKUP(Tableau1[[#This Row],[Rénovation prévue ?]],'Données Giant'!$A$8:$A$21,'Données Giant'!$G$8:$G$21,0)</f>
        <v>0</v>
      </c>
      <c r="V72">
        <f>_xlfn.XLOOKUP(Tableau1[[#This Row],[Rénovation prévue ?]],'Données Giant'!$A$8:$A$21,'Données Giant'!$H$8:$H$21,0)</f>
        <v>0</v>
      </c>
    </row>
    <row r="73" spans="1:22" x14ac:dyDescent="0.25">
      <c r="A73" s="29">
        <f>'Encodage données'!C135</f>
        <v>0</v>
      </c>
      <c r="B73" s="29">
        <f>'Encodage données'!D135</f>
        <v>0</v>
      </c>
      <c r="C73" s="29">
        <f>'Encodage données'!E135</f>
        <v>0</v>
      </c>
      <c r="D73" s="29">
        <f>'Encodage données'!F135</f>
        <v>0</v>
      </c>
      <c r="E73" s="29">
        <f>'Encodage données'!G135</f>
        <v>0</v>
      </c>
      <c r="F73" s="29">
        <f>'Encodage données'!H135</f>
        <v>0</v>
      </c>
      <c r="G73" s="29">
        <f>'Encodage données'!J135</f>
        <v>0</v>
      </c>
      <c r="H73" s="29">
        <f>IF(OR(Tableau1[[#This Row],[Isolation actuelle]]="U connu",Tableau1[[#This Row],[Isolation actuelle]]="U connu (porte et fenêtres)"),Tableau1[[#This Row],[Si U connu de la paroi]],_xlfn.XLOOKUP(Tableau1[[#This Row],[Isolation actuelle]],'Parois types'!$B$9:$B$71,'Parois types'!$C$9:$C$71,0))</f>
        <v>0</v>
      </c>
      <c r="I73" s="29">
        <f>IF(Tableau1[[#This Row],[Rénovation prévue ?]]='Données Giant'!$A$21,Tableau1[[#This Row],[Uactuel (W/m²K)]],'Encodage données'!I135)</f>
        <v>0</v>
      </c>
      <c r="J73">
        <f>_xlfn.XLOOKUP(Tableau1[[#This Row],[Catégorie]],Tableau4[Catégories de parois],Tableau4[ai],0)</f>
        <v>0</v>
      </c>
      <c r="K73">
        <f>Tableau1[[#This Row],[aj]]*Tableau1[[#This Row],[Uactuel (W/m²K)]]*Tableau1[[#This Row],[Surface (m²)]]</f>
        <v>0</v>
      </c>
      <c r="L73">
        <f>Tableau1[[#This Row],[aj]]*Tableau1[[#This Row],[Urénové (W/m²K)]]*Tableau1[[#This Row],[Surface (m²)]]</f>
        <v>0</v>
      </c>
      <c r="M73">
        <f>_xlfn.XLOOKUP(Tableau1[[#This Row],[Isolation actuelle]],'Parois types'!$B$9:$B$71,'Parois types'!$D$9:$D$71,0)</f>
        <v>0</v>
      </c>
      <c r="N73">
        <f>IF(Tableau1[[#This Row],[Rénovation prévue ?]]='Données Giant'!$A$21,Tableau1[[#This Row],[Facteur solaire actuel]],_xlfn.XLOOKUP(Tableau1[[#This Row],[Rénovation prévue ?]],'Données Giant'!$A$8:$A$21,'Données Giant'!$B$8:$B$21,0))</f>
        <v>0</v>
      </c>
      <c r="O73">
        <f>IF(Tableau1[[#This Row],[Catégorie]]=DonnéesAutres!$A$100,235*0.5*Tableau1[[#This Row],[Facteur solaire actuel]]*Tableau1[[#This Row],[Surface (m²)]],0)</f>
        <v>0</v>
      </c>
      <c r="P73" s="71">
        <f>235*0.5*Tableau1[[#This Row],[Facteur Solaire rénové]]*Tableau1[[#This Row],[Surface (m²)]]</f>
        <v>0</v>
      </c>
      <c r="Q73" s="71">
        <f>_xlfn.XLOOKUP(Tableau1[[#This Row],[Rénovation prévue ?]],'Données Giant'!$A$8:$A$21,'Données Giant'!$C$8:$C$21,0)</f>
        <v>0</v>
      </c>
      <c r="R73" s="27">
        <f>_xlfn.XLOOKUP(Tableau1[[#This Row],[Rénovation prévue ?]],'Données Giant'!$A$8:$A$21,'Données Giant'!$D$8:$D$21,0)</f>
        <v>0</v>
      </c>
      <c r="S73">
        <f>_xlfn.XLOOKUP(Tableau1[[#This Row],[Rénovation prévue ?]],'Données Giant'!$A$8:$A$21,'Données Giant'!$E$8:$E$21,0)</f>
        <v>0</v>
      </c>
      <c r="T73">
        <f>_xlfn.XLOOKUP(Tableau1[[#This Row],[Rénovation prévue ?]],'Données Giant'!$A$8:$A$21,'Données Giant'!$F$8:$F$21,0)</f>
        <v>0</v>
      </c>
      <c r="U73">
        <f>_xlfn.XLOOKUP(Tableau1[[#This Row],[Rénovation prévue ?]],'Données Giant'!$A$8:$A$21,'Données Giant'!$G$8:$G$21,0)</f>
        <v>0</v>
      </c>
      <c r="V73">
        <f>_xlfn.XLOOKUP(Tableau1[[#This Row],[Rénovation prévue ?]],'Données Giant'!$A$8:$A$21,'Données Giant'!$H$8:$H$21,0)</f>
        <v>0</v>
      </c>
    </row>
    <row r="74" spans="1:22" x14ac:dyDescent="0.25">
      <c r="A74" s="29">
        <f>'Encodage données'!C136</f>
        <v>0</v>
      </c>
      <c r="B74" s="29">
        <f>'Encodage données'!D136</f>
        <v>0</v>
      </c>
      <c r="C74" s="29">
        <f>'Encodage données'!E136</f>
        <v>0</v>
      </c>
      <c r="D74" s="29">
        <f>'Encodage données'!F136</f>
        <v>0</v>
      </c>
      <c r="E74" s="29">
        <f>'Encodage données'!G136</f>
        <v>0</v>
      </c>
      <c r="F74" s="29">
        <f>'Encodage données'!H136</f>
        <v>0</v>
      </c>
      <c r="G74" s="29">
        <f>'Encodage données'!J136</f>
        <v>0</v>
      </c>
      <c r="H74" s="29">
        <f>IF(OR(Tableau1[[#This Row],[Isolation actuelle]]="U connu",Tableau1[[#This Row],[Isolation actuelle]]="U connu (porte et fenêtres)"),Tableau1[[#This Row],[Si U connu de la paroi]],_xlfn.XLOOKUP(Tableau1[[#This Row],[Isolation actuelle]],'Parois types'!$B$9:$B$71,'Parois types'!$C$9:$C$71,0))</f>
        <v>0</v>
      </c>
      <c r="I74" s="29">
        <f>IF(Tableau1[[#This Row],[Rénovation prévue ?]]='Données Giant'!$A$21,Tableau1[[#This Row],[Uactuel (W/m²K)]],'Encodage données'!I136)</f>
        <v>0</v>
      </c>
      <c r="J74">
        <f>_xlfn.XLOOKUP(Tableau1[[#This Row],[Catégorie]],Tableau4[Catégories de parois],Tableau4[ai],0)</f>
        <v>0</v>
      </c>
      <c r="K74">
        <f>Tableau1[[#This Row],[aj]]*Tableau1[[#This Row],[Uactuel (W/m²K)]]*Tableau1[[#This Row],[Surface (m²)]]</f>
        <v>0</v>
      </c>
      <c r="L74">
        <f>Tableau1[[#This Row],[aj]]*Tableau1[[#This Row],[Urénové (W/m²K)]]*Tableau1[[#This Row],[Surface (m²)]]</f>
        <v>0</v>
      </c>
      <c r="M74">
        <f>_xlfn.XLOOKUP(Tableau1[[#This Row],[Isolation actuelle]],'Parois types'!$B$9:$B$71,'Parois types'!$D$9:$D$71,0)</f>
        <v>0</v>
      </c>
      <c r="N74">
        <f>IF(Tableau1[[#This Row],[Rénovation prévue ?]]='Données Giant'!$A$21,Tableau1[[#This Row],[Facteur solaire actuel]],_xlfn.XLOOKUP(Tableau1[[#This Row],[Rénovation prévue ?]],'Données Giant'!$A$8:$A$21,'Données Giant'!$B$8:$B$21,0))</f>
        <v>0</v>
      </c>
      <c r="O74">
        <f>IF(Tableau1[[#This Row],[Catégorie]]=DonnéesAutres!$A$100,235*0.5*Tableau1[[#This Row],[Facteur solaire actuel]]*Tableau1[[#This Row],[Surface (m²)]],0)</f>
        <v>0</v>
      </c>
      <c r="P74" s="71">
        <f>235*0.5*Tableau1[[#This Row],[Facteur Solaire rénové]]*Tableau1[[#This Row],[Surface (m²)]]</f>
        <v>0</v>
      </c>
      <c r="Q74" s="71">
        <f>_xlfn.XLOOKUP(Tableau1[[#This Row],[Rénovation prévue ?]],'Données Giant'!$A$8:$A$21,'Données Giant'!$C$8:$C$21,0)</f>
        <v>0</v>
      </c>
      <c r="R74" s="27">
        <f>_xlfn.XLOOKUP(Tableau1[[#This Row],[Rénovation prévue ?]],'Données Giant'!$A$8:$A$21,'Données Giant'!$D$8:$D$21,0)</f>
        <v>0</v>
      </c>
      <c r="S74">
        <f>_xlfn.XLOOKUP(Tableau1[[#This Row],[Rénovation prévue ?]],'Données Giant'!$A$8:$A$21,'Données Giant'!$E$8:$E$21,0)</f>
        <v>0</v>
      </c>
      <c r="T74">
        <f>_xlfn.XLOOKUP(Tableau1[[#This Row],[Rénovation prévue ?]],'Données Giant'!$A$8:$A$21,'Données Giant'!$F$8:$F$21,0)</f>
        <v>0</v>
      </c>
      <c r="U74">
        <f>_xlfn.XLOOKUP(Tableau1[[#This Row],[Rénovation prévue ?]],'Données Giant'!$A$8:$A$21,'Données Giant'!$G$8:$G$21,0)</f>
        <v>0</v>
      </c>
      <c r="V74">
        <f>_xlfn.XLOOKUP(Tableau1[[#This Row],[Rénovation prévue ?]],'Données Giant'!$A$8:$A$21,'Données Giant'!$H$8:$H$21,0)</f>
        <v>0</v>
      </c>
    </row>
    <row r="75" spans="1:22" x14ac:dyDescent="0.25">
      <c r="A75" s="29">
        <f>'Encodage données'!C137</f>
        <v>0</v>
      </c>
      <c r="B75" s="29">
        <f>'Encodage données'!D137</f>
        <v>0</v>
      </c>
      <c r="C75" s="29">
        <f>'Encodage données'!E137</f>
        <v>0</v>
      </c>
      <c r="D75" s="29">
        <f>'Encodage données'!F137</f>
        <v>0</v>
      </c>
      <c r="E75" s="29">
        <f>'Encodage données'!G137</f>
        <v>0</v>
      </c>
      <c r="F75" s="29">
        <f>'Encodage données'!H137</f>
        <v>0</v>
      </c>
      <c r="G75" s="29">
        <f>'Encodage données'!J137</f>
        <v>0</v>
      </c>
      <c r="H75" s="29">
        <f>IF(OR(Tableau1[[#This Row],[Isolation actuelle]]="U connu",Tableau1[[#This Row],[Isolation actuelle]]="U connu (porte et fenêtres)"),Tableau1[[#This Row],[Si U connu de la paroi]],_xlfn.XLOOKUP(Tableau1[[#This Row],[Isolation actuelle]],'Parois types'!$B$9:$B$71,'Parois types'!$C$9:$C$71,0))</f>
        <v>0</v>
      </c>
      <c r="I75" s="29">
        <f>IF(Tableau1[[#This Row],[Rénovation prévue ?]]='Données Giant'!$A$21,Tableau1[[#This Row],[Uactuel (W/m²K)]],'Encodage données'!I137)</f>
        <v>0</v>
      </c>
      <c r="J75">
        <f>_xlfn.XLOOKUP(Tableau1[[#This Row],[Catégorie]],Tableau4[Catégories de parois],Tableau4[ai],0)</f>
        <v>0</v>
      </c>
      <c r="K75">
        <f>Tableau1[[#This Row],[aj]]*Tableau1[[#This Row],[Uactuel (W/m²K)]]*Tableau1[[#This Row],[Surface (m²)]]</f>
        <v>0</v>
      </c>
      <c r="L75">
        <f>Tableau1[[#This Row],[aj]]*Tableau1[[#This Row],[Urénové (W/m²K)]]*Tableau1[[#This Row],[Surface (m²)]]</f>
        <v>0</v>
      </c>
      <c r="M75">
        <f>_xlfn.XLOOKUP(Tableau1[[#This Row],[Isolation actuelle]],'Parois types'!$B$9:$B$71,'Parois types'!$D$9:$D$71,0)</f>
        <v>0</v>
      </c>
      <c r="N75">
        <f>IF(Tableau1[[#This Row],[Rénovation prévue ?]]='Données Giant'!$A$21,Tableau1[[#This Row],[Facteur solaire actuel]],_xlfn.XLOOKUP(Tableau1[[#This Row],[Rénovation prévue ?]],'Données Giant'!$A$8:$A$21,'Données Giant'!$B$8:$B$21,0))</f>
        <v>0</v>
      </c>
      <c r="O75">
        <f>IF(Tableau1[[#This Row],[Catégorie]]=DonnéesAutres!$A$100,235*0.5*Tableau1[[#This Row],[Facteur solaire actuel]]*Tableau1[[#This Row],[Surface (m²)]],0)</f>
        <v>0</v>
      </c>
      <c r="P75" s="71">
        <f>235*0.5*Tableau1[[#This Row],[Facteur Solaire rénové]]*Tableau1[[#This Row],[Surface (m²)]]</f>
        <v>0</v>
      </c>
      <c r="Q75" s="71">
        <f>_xlfn.XLOOKUP(Tableau1[[#This Row],[Rénovation prévue ?]],'Données Giant'!$A$8:$A$21,'Données Giant'!$C$8:$C$21,0)</f>
        <v>0</v>
      </c>
      <c r="R75" s="27">
        <f>_xlfn.XLOOKUP(Tableau1[[#This Row],[Rénovation prévue ?]],'Données Giant'!$A$8:$A$21,'Données Giant'!$D$8:$D$21,0)</f>
        <v>0</v>
      </c>
      <c r="S75">
        <f>_xlfn.XLOOKUP(Tableau1[[#This Row],[Rénovation prévue ?]],'Données Giant'!$A$8:$A$21,'Données Giant'!$E$8:$E$21,0)</f>
        <v>0</v>
      </c>
      <c r="T75">
        <f>_xlfn.XLOOKUP(Tableau1[[#This Row],[Rénovation prévue ?]],'Données Giant'!$A$8:$A$21,'Données Giant'!$F$8:$F$21,0)</f>
        <v>0</v>
      </c>
      <c r="U75">
        <f>_xlfn.XLOOKUP(Tableau1[[#This Row],[Rénovation prévue ?]],'Données Giant'!$A$8:$A$21,'Données Giant'!$G$8:$G$21,0)</f>
        <v>0</v>
      </c>
      <c r="V75">
        <f>_xlfn.XLOOKUP(Tableau1[[#This Row],[Rénovation prévue ?]],'Données Giant'!$A$8:$A$21,'Données Giant'!$H$8:$H$21,0)</f>
        <v>0</v>
      </c>
    </row>
    <row r="76" spans="1:22" x14ac:dyDescent="0.25">
      <c r="A76" s="29">
        <f>'Encodage données'!C138</f>
        <v>0</v>
      </c>
      <c r="B76" s="29">
        <f>'Encodage données'!D138</f>
        <v>0</v>
      </c>
      <c r="C76" s="29">
        <f>'Encodage données'!E138</f>
        <v>0</v>
      </c>
      <c r="D76" s="29">
        <f>'Encodage données'!F138</f>
        <v>0</v>
      </c>
      <c r="E76" s="29">
        <f>'Encodage données'!G138</f>
        <v>0</v>
      </c>
      <c r="F76" s="29">
        <f>'Encodage données'!H138</f>
        <v>0</v>
      </c>
      <c r="G76" s="29">
        <f>'Encodage données'!J138</f>
        <v>0</v>
      </c>
      <c r="H76" s="29">
        <f>IF(OR(Tableau1[[#This Row],[Isolation actuelle]]="U connu",Tableau1[[#This Row],[Isolation actuelle]]="U connu (porte et fenêtres)"),Tableau1[[#This Row],[Si U connu de la paroi]],_xlfn.XLOOKUP(Tableau1[[#This Row],[Isolation actuelle]],'Parois types'!$B$9:$B$71,'Parois types'!$C$9:$C$71,0))</f>
        <v>0</v>
      </c>
      <c r="I76" s="29">
        <f>IF(Tableau1[[#This Row],[Rénovation prévue ?]]='Données Giant'!$A$21,Tableau1[[#This Row],[Uactuel (W/m²K)]],'Encodage données'!I138)</f>
        <v>0</v>
      </c>
      <c r="J76">
        <f>_xlfn.XLOOKUP(Tableau1[[#This Row],[Catégorie]],Tableau4[Catégories de parois],Tableau4[ai],0)</f>
        <v>0</v>
      </c>
      <c r="K76">
        <f>Tableau1[[#This Row],[aj]]*Tableau1[[#This Row],[Uactuel (W/m²K)]]*Tableau1[[#This Row],[Surface (m²)]]</f>
        <v>0</v>
      </c>
      <c r="L76">
        <f>Tableau1[[#This Row],[aj]]*Tableau1[[#This Row],[Urénové (W/m²K)]]*Tableau1[[#This Row],[Surface (m²)]]</f>
        <v>0</v>
      </c>
      <c r="M76">
        <f>_xlfn.XLOOKUP(Tableau1[[#This Row],[Isolation actuelle]],'Parois types'!$B$9:$B$71,'Parois types'!$D$9:$D$71,0)</f>
        <v>0</v>
      </c>
      <c r="N76">
        <f>IF(Tableau1[[#This Row],[Rénovation prévue ?]]='Données Giant'!$A$21,Tableau1[[#This Row],[Facteur solaire actuel]],_xlfn.XLOOKUP(Tableau1[[#This Row],[Rénovation prévue ?]],'Données Giant'!$A$8:$A$21,'Données Giant'!$B$8:$B$21,0))</f>
        <v>0</v>
      </c>
      <c r="O76">
        <f>IF(Tableau1[[#This Row],[Catégorie]]=DonnéesAutres!$A$100,235*0.5*Tableau1[[#This Row],[Facteur solaire actuel]]*Tableau1[[#This Row],[Surface (m²)]],0)</f>
        <v>0</v>
      </c>
      <c r="P76" s="71">
        <f>235*0.5*Tableau1[[#This Row],[Facteur Solaire rénové]]*Tableau1[[#This Row],[Surface (m²)]]</f>
        <v>0</v>
      </c>
      <c r="Q76" s="71">
        <f>_xlfn.XLOOKUP(Tableau1[[#This Row],[Rénovation prévue ?]],'Données Giant'!$A$8:$A$21,'Données Giant'!$C$8:$C$21,0)</f>
        <v>0</v>
      </c>
      <c r="R76" s="27">
        <f>_xlfn.XLOOKUP(Tableau1[[#This Row],[Rénovation prévue ?]],'Données Giant'!$A$8:$A$21,'Données Giant'!$D$8:$D$21,0)</f>
        <v>0</v>
      </c>
      <c r="S76">
        <f>_xlfn.XLOOKUP(Tableau1[[#This Row],[Rénovation prévue ?]],'Données Giant'!$A$8:$A$21,'Données Giant'!$E$8:$E$21,0)</f>
        <v>0</v>
      </c>
      <c r="T76">
        <f>_xlfn.XLOOKUP(Tableau1[[#This Row],[Rénovation prévue ?]],'Données Giant'!$A$8:$A$21,'Données Giant'!$F$8:$F$21,0)</f>
        <v>0</v>
      </c>
      <c r="U76">
        <f>_xlfn.XLOOKUP(Tableau1[[#This Row],[Rénovation prévue ?]],'Données Giant'!$A$8:$A$21,'Données Giant'!$G$8:$G$21,0)</f>
        <v>0</v>
      </c>
      <c r="V76">
        <f>_xlfn.XLOOKUP(Tableau1[[#This Row],[Rénovation prévue ?]],'Données Giant'!$A$8:$A$21,'Données Giant'!$H$8:$H$21,0)</f>
        <v>0</v>
      </c>
    </row>
    <row r="77" spans="1:22" x14ac:dyDescent="0.25">
      <c r="A77" s="29">
        <f>'Encodage données'!C139</f>
        <v>0</v>
      </c>
      <c r="B77" s="29">
        <f>'Encodage données'!D139</f>
        <v>0</v>
      </c>
      <c r="C77" s="29">
        <f>'Encodage données'!E139</f>
        <v>0</v>
      </c>
      <c r="D77" s="29">
        <f>'Encodage données'!F139</f>
        <v>0</v>
      </c>
      <c r="E77" s="29">
        <f>'Encodage données'!G139</f>
        <v>0</v>
      </c>
      <c r="F77" s="29">
        <f>'Encodage données'!H139</f>
        <v>0</v>
      </c>
      <c r="G77" s="29">
        <f>'Encodage données'!J139</f>
        <v>0</v>
      </c>
      <c r="H77" s="29">
        <f>IF(OR(Tableau1[[#This Row],[Isolation actuelle]]="U connu",Tableau1[[#This Row],[Isolation actuelle]]="U connu (porte et fenêtres)"),Tableau1[[#This Row],[Si U connu de la paroi]],_xlfn.XLOOKUP(Tableau1[[#This Row],[Isolation actuelle]],'Parois types'!$B$9:$B$71,'Parois types'!$C$9:$C$71,0))</f>
        <v>0</v>
      </c>
      <c r="I77" s="29">
        <f>IF(Tableau1[[#This Row],[Rénovation prévue ?]]='Données Giant'!$A$21,Tableau1[[#This Row],[Uactuel (W/m²K)]],'Encodage données'!I139)</f>
        <v>0</v>
      </c>
      <c r="J77">
        <f>_xlfn.XLOOKUP(Tableau1[[#This Row],[Catégorie]],Tableau4[Catégories de parois],Tableau4[ai],0)</f>
        <v>0</v>
      </c>
      <c r="K77">
        <f>Tableau1[[#This Row],[aj]]*Tableau1[[#This Row],[Uactuel (W/m²K)]]*Tableau1[[#This Row],[Surface (m²)]]</f>
        <v>0</v>
      </c>
      <c r="L77">
        <f>Tableau1[[#This Row],[aj]]*Tableau1[[#This Row],[Urénové (W/m²K)]]*Tableau1[[#This Row],[Surface (m²)]]</f>
        <v>0</v>
      </c>
      <c r="M77">
        <f>_xlfn.XLOOKUP(Tableau1[[#This Row],[Isolation actuelle]],'Parois types'!$B$9:$B$71,'Parois types'!$D$9:$D$71,0)</f>
        <v>0</v>
      </c>
      <c r="N77">
        <f>IF(Tableau1[[#This Row],[Rénovation prévue ?]]='Données Giant'!$A$21,Tableau1[[#This Row],[Facteur solaire actuel]],_xlfn.XLOOKUP(Tableau1[[#This Row],[Rénovation prévue ?]],'Données Giant'!$A$8:$A$21,'Données Giant'!$B$8:$B$21,0))</f>
        <v>0</v>
      </c>
      <c r="O77">
        <f>IF(Tableau1[[#This Row],[Catégorie]]=DonnéesAutres!$A$100,235*0.5*Tableau1[[#This Row],[Facteur solaire actuel]]*Tableau1[[#This Row],[Surface (m²)]],0)</f>
        <v>0</v>
      </c>
      <c r="P77" s="71">
        <f>235*0.5*Tableau1[[#This Row],[Facteur Solaire rénové]]*Tableau1[[#This Row],[Surface (m²)]]</f>
        <v>0</v>
      </c>
      <c r="Q77" s="71">
        <f>_xlfn.XLOOKUP(Tableau1[[#This Row],[Rénovation prévue ?]],'Données Giant'!$A$8:$A$21,'Données Giant'!$C$8:$C$21,0)</f>
        <v>0</v>
      </c>
      <c r="R77" s="27">
        <f>_xlfn.XLOOKUP(Tableau1[[#This Row],[Rénovation prévue ?]],'Données Giant'!$A$8:$A$21,'Données Giant'!$D$8:$D$21,0)</f>
        <v>0</v>
      </c>
      <c r="S77">
        <f>_xlfn.XLOOKUP(Tableau1[[#This Row],[Rénovation prévue ?]],'Données Giant'!$A$8:$A$21,'Données Giant'!$E$8:$E$21,0)</f>
        <v>0</v>
      </c>
      <c r="T77">
        <f>_xlfn.XLOOKUP(Tableau1[[#This Row],[Rénovation prévue ?]],'Données Giant'!$A$8:$A$21,'Données Giant'!$F$8:$F$21,0)</f>
        <v>0</v>
      </c>
      <c r="U77">
        <f>_xlfn.XLOOKUP(Tableau1[[#This Row],[Rénovation prévue ?]],'Données Giant'!$A$8:$A$21,'Données Giant'!$G$8:$G$21,0)</f>
        <v>0</v>
      </c>
      <c r="V77">
        <f>_xlfn.XLOOKUP(Tableau1[[#This Row],[Rénovation prévue ?]],'Données Giant'!$A$8:$A$21,'Données Giant'!$H$8:$H$21,0)</f>
        <v>0</v>
      </c>
    </row>
    <row r="78" spans="1:22" x14ac:dyDescent="0.25">
      <c r="A78" s="29">
        <f>'Encodage données'!C140</f>
        <v>0</v>
      </c>
      <c r="B78" s="29">
        <f>'Encodage données'!D140</f>
        <v>0</v>
      </c>
      <c r="C78" s="29">
        <f>'Encodage données'!E140</f>
        <v>0</v>
      </c>
      <c r="D78" s="29">
        <f>'Encodage données'!F140</f>
        <v>0</v>
      </c>
      <c r="E78" s="29">
        <f>'Encodage données'!G140</f>
        <v>0</v>
      </c>
      <c r="F78" s="29">
        <f>'Encodage données'!H140</f>
        <v>0</v>
      </c>
      <c r="G78" s="29">
        <f>'Encodage données'!J140</f>
        <v>0</v>
      </c>
      <c r="H78" s="29">
        <f>IF(OR(Tableau1[[#This Row],[Isolation actuelle]]="U connu",Tableau1[[#This Row],[Isolation actuelle]]="U connu (porte et fenêtres)"),Tableau1[[#This Row],[Si U connu de la paroi]],_xlfn.XLOOKUP(Tableau1[[#This Row],[Isolation actuelle]],'Parois types'!$B$9:$B$71,'Parois types'!$C$9:$C$71,0))</f>
        <v>0</v>
      </c>
      <c r="I78" s="29">
        <f>IF(Tableau1[[#This Row],[Rénovation prévue ?]]='Données Giant'!$A$21,Tableau1[[#This Row],[Uactuel (W/m²K)]],'Encodage données'!I140)</f>
        <v>0</v>
      </c>
      <c r="J78">
        <f>_xlfn.XLOOKUP(Tableau1[[#This Row],[Catégorie]],Tableau4[Catégories de parois],Tableau4[ai],0)</f>
        <v>0</v>
      </c>
      <c r="K78">
        <f>Tableau1[[#This Row],[aj]]*Tableau1[[#This Row],[Uactuel (W/m²K)]]*Tableau1[[#This Row],[Surface (m²)]]</f>
        <v>0</v>
      </c>
      <c r="L78">
        <f>Tableau1[[#This Row],[aj]]*Tableau1[[#This Row],[Urénové (W/m²K)]]*Tableau1[[#This Row],[Surface (m²)]]</f>
        <v>0</v>
      </c>
      <c r="M78">
        <f>_xlfn.XLOOKUP(Tableau1[[#This Row],[Isolation actuelle]],'Parois types'!$B$9:$B$71,'Parois types'!$D$9:$D$71,0)</f>
        <v>0</v>
      </c>
      <c r="N78">
        <f>IF(Tableau1[[#This Row],[Rénovation prévue ?]]='Données Giant'!$A$21,Tableau1[[#This Row],[Facteur solaire actuel]],_xlfn.XLOOKUP(Tableau1[[#This Row],[Rénovation prévue ?]],'Données Giant'!$A$8:$A$21,'Données Giant'!$B$8:$B$21,0))</f>
        <v>0</v>
      </c>
      <c r="O78">
        <f>IF(Tableau1[[#This Row],[Catégorie]]=DonnéesAutres!$A$100,235*0.5*Tableau1[[#This Row],[Facteur solaire actuel]]*Tableau1[[#This Row],[Surface (m²)]],0)</f>
        <v>0</v>
      </c>
      <c r="P78" s="71">
        <f>235*0.5*Tableau1[[#This Row],[Facteur Solaire rénové]]*Tableau1[[#This Row],[Surface (m²)]]</f>
        <v>0</v>
      </c>
      <c r="Q78" s="71">
        <f>_xlfn.XLOOKUP(Tableau1[[#This Row],[Rénovation prévue ?]],'Données Giant'!$A$8:$A$21,'Données Giant'!$C$8:$C$21,0)</f>
        <v>0</v>
      </c>
      <c r="R78" s="27">
        <f>_xlfn.XLOOKUP(Tableau1[[#This Row],[Rénovation prévue ?]],'Données Giant'!$A$8:$A$21,'Données Giant'!$D$8:$D$21,0)</f>
        <v>0</v>
      </c>
      <c r="S78">
        <f>_xlfn.XLOOKUP(Tableau1[[#This Row],[Rénovation prévue ?]],'Données Giant'!$A$8:$A$21,'Données Giant'!$E$8:$E$21,0)</f>
        <v>0</v>
      </c>
      <c r="T78">
        <f>_xlfn.XLOOKUP(Tableau1[[#This Row],[Rénovation prévue ?]],'Données Giant'!$A$8:$A$21,'Données Giant'!$F$8:$F$21,0)</f>
        <v>0</v>
      </c>
      <c r="U78">
        <f>_xlfn.XLOOKUP(Tableau1[[#This Row],[Rénovation prévue ?]],'Données Giant'!$A$8:$A$21,'Données Giant'!$G$8:$G$21,0)</f>
        <v>0</v>
      </c>
      <c r="V78">
        <f>_xlfn.XLOOKUP(Tableau1[[#This Row],[Rénovation prévue ?]],'Données Giant'!$A$8:$A$21,'Données Giant'!$H$8:$H$21,0)</f>
        <v>0</v>
      </c>
    </row>
    <row r="79" spans="1:22" x14ac:dyDescent="0.25">
      <c r="A79" s="29">
        <f>'Encodage données'!C141</f>
        <v>0</v>
      </c>
      <c r="B79" s="29">
        <f>'Encodage données'!D141</f>
        <v>0</v>
      </c>
      <c r="C79" s="29">
        <f>'Encodage données'!E141</f>
        <v>0</v>
      </c>
      <c r="D79" s="29">
        <f>'Encodage données'!F141</f>
        <v>0</v>
      </c>
      <c r="E79" s="29">
        <f>'Encodage données'!G141</f>
        <v>0</v>
      </c>
      <c r="F79" s="29">
        <f>'Encodage données'!H141</f>
        <v>0</v>
      </c>
      <c r="G79" s="29">
        <f>'Encodage données'!J141</f>
        <v>0</v>
      </c>
      <c r="H79" s="29">
        <f>IF(OR(Tableau1[[#This Row],[Isolation actuelle]]="U connu",Tableau1[[#This Row],[Isolation actuelle]]="U connu (porte et fenêtres)"),Tableau1[[#This Row],[Si U connu de la paroi]],_xlfn.XLOOKUP(Tableau1[[#This Row],[Isolation actuelle]],'Parois types'!$B$9:$B$71,'Parois types'!$C$9:$C$71,0))</f>
        <v>0</v>
      </c>
      <c r="I79" s="29">
        <f>IF(Tableau1[[#This Row],[Rénovation prévue ?]]='Données Giant'!$A$21,Tableau1[[#This Row],[Uactuel (W/m²K)]],'Encodage données'!I141)</f>
        <v>0</v>
      </c>
      <c r="J79">
        <f>_xlfn.XLOOKUP(Tableau1[[#This Row],[Catégorie]],Tableau4[Catégories de parois],Tableau4[ai],0)</f>
        <v>0</v>
      </c>
      <c r="K79">
        <f>Tableau1[[#This Row],[aj]]*Tableau1[[#This Row],[Uactuel (W/m²K)]]*Tableau1[[#This Row],[Surface (m²)]]</f>
        <v>0</v>
      </c>
      <c r="L79">
        <f>Tableau1[[#This Row],[aj]]*Tableau1[[#This Row],[Urénové (W/m²K)]]*Tableau1[[#This Row],[Surface (m²)]]</f>
        <v>0</v>
      </c>
      <c r="M79">
        <f>_xlfn.XLOOKUP(Tableau1[[#This Row],[Isolation actuelle]],'Parois types'!$B$9:$B$71,'Parois types'!$D$9:$D$71,0)</f>
        <v>0</v>
      </c>
      <c r="N79">
        <f>IF(Tableau1[[#This Row],[Rénovation prévue ?]]='Données Giant'!$A$21,Tableau1[[#This Row],[Facteur solaire actuel]],_xlfn.XLOOKUP(Tableau1[[#This Row],[Rénovation prévue ?]],'Données Giant'!$A$8:$A$21,'Données Giant'!$B$8:$B$21,0))</f>
        <v>0</v>
      </c>
      <c r="O79">
        <f>IF(Tableau1[[#This Row],[Catégorie]]=DonnéesAutres!$A$100,235*0.5*Tableau1[[#This Row],[Facteur solaire actuel]]*Tableau1[[#This Row],[Surface (m²)]],0)</f>
        <v>0</v>
      </c>
      <c r="P79" s="71">
        <f>235*0.5*Tableau1[[#This Row],[Facteur Solaire rénové]]*Tableau1[[#This Row],[Surface (m²)]]</f>
        <v>0</v>
      </c>
      <c r="Q79" s="71">
        <f>_xlfn.XLOOKUP(Tableau1[[#This Row],[Rénovation prévue ?]],'Données Giant'!$A$8:$A$21,'Données Giant'!$C$8:$C$21,0)</f>
        <v>0</v>
      </c>
      <c r="R79" s="27">
        <f>_xlfn.XLOOKUP(Tableau1[[#This Row],[Rénovation prévue ?]],'Données Giant'!$A$8:$A$21,'Données Giant'!$D$8:$D$21,0)</f>
        <v>0</v>
      </c>
      <c r="S79">
        <f>_xlfn.XLOOKUP(Tableau1[[#This Row],[Rénovation prévue ?]],'Données Giant'!$A$8:$A$21,'Données Giant'!$E$8:$E$21,0)</f>
        <v>0</v>
      </c>
      <c r="T79">
        <f>_xlfn.XLOOKUP(Tableau1[[#This Row],[Rénovation prévue ?]],'Données Giant'!$A$8:$A$21,'Données Giant'!$F$8:$F$21,0)</f>
        <v>0</v>
      </c>
      <c r="U79">
        <f>_xlfn.XLOOKUP(Tableau1[[#This Row],[Rénovation prévue ?]],'Données Giant'!$A$8:$A$21,'Données Giant'!$G$8:$G$21,0)</f>
        <v>0</v>
      </c>
      <c r="V79">
        <f>_xlfn.XLOOKUP(Tableau1[[#This Row],[Rénovation prévue ?]],'Données Giant'!$A$8:$A$21,'Données Giant'!$H$8:$H$21,0)</f>
        <v>0</v>
      </c>
    </row>
    <row r="80" spans="1:22" x14ac:dyDescent="0.25">
      <c r="A80" s="29">
        <f>'Encodage données'!C142</f>
        <v>0</v>
      </c>
      <c r="B80" s="29">
        <f>'Encodage données'!D142</f>
        <v>0</v>
      </c>
      <c r="C80" s="29">
        <f>'Encodage données'!E142</f>
        <v>0</v>
      </c>
      <c r="D80" s="29">
        <f>'Encodage données'!F142</f>
        <v>0</v>
      </c>
      <c r="E80" s="29">
        <f>'Encodage données'!G142</f>
        <v>0</v>
      </c>
      <c r="F80" s="29">
        <f>'Encodage données'!H142</f>
        <v>0</v>
      </c>
      <c r="G80" s="29">
        <f>'Encodage données'!J142</f>
        <v>0</v>
      </c>
      <c r="H80" s="29">
        <f>IF(OR(Tableau1[[#This Row],[Isolation actuelle]]="U connu",Tableau1[[#This Row],[Isolation actuelle]]="U connu (porte et fenêtres)"),Tableau1[[#This Row],[Si U connu de la paroi]],_xlfn.XLOOKUP(Tableau1[[#This Row],[Isolation actuelle]],'Parois types'!$B$9:$B$71,'Parois types'!$C$9:$C$71,0))</f>
        <v>0</v>
      </c>
      <c r="I80" s="29">
        <f>IF(Tableau1[[#This Row],[Rénovation prévue ?]]='Données Giant'!$A$21,Tableau1[[#This Row],[Uactuel (W/m²K)]],'Encodage données'!I142)</f>
        <v>0</v>
      </c>
      <c r="J80">
        <f>_xlfn.XLOOKUP(Tableau1[[#This Row],[Catégorie]],Tableau4[Catégories de parois],Tableau4[ai],0)</f>
        <v>0</v>
      </c>
      <c r="K80">
        <f>Tableau1[[#This Row],[aj]]*Tableau1[[#This Row],[Uactuel (W/m²K)]]*Tableau1[[#This Row],[Surface (m²)]]</f>
        <v>0</v>
      </c>
      <c r="L80">
        <f>Tableau1[[#This Row],[aj]]*Tableau1[[#This Row],[Urénové (W/m²K)]]*Tableau1[[#This Row],[Surface (m²)]]</f>
        <v>0</v>
      </c>
      <c r="M80">
        <f>_xlfn.XLOOKUP(Tableau1[[#This Row],[Isolation actuelle]],'Parois types'!$B$9:$B$71,'Parois types'!$D$9:$D$71,0)</f>
        <v>0</v>
      </c>
      <c r="N80">
        <f>IF(Tableau1[[#This Row],[Rénovation prévue ?]]='Données Giant'!$A$21,Tableau1[[#This Row],[Facteur solaire actuel]],_xlfn.XLOOKUP(Tableau1[[#This Row],[Rénovation prévue ?]],'Données Giant'!$A$8:$A$21,'Données Giant'!$B$8:$B$21,0))</f>
        <v>0</v>
      </c>
      <c r="O80">
        <f>IF(Tableau1[[#This Row],[Catégorie]]=DonnéesAutres!$A$100,235*0.5*Tableau1[[#This Row],[Facteur solaire actuel]]*Tableau1[[#This Row],[Surface (m²)]],0)</f>
        <v>0</v>
      </c>
      <c r="P80" s="71">
        <f>235*0.5*Tableau1[[#This Row],[Facteur Solaire rénové]]*Tableau1[[#This Row],[Surface (m²)]]</f>
        <v>0</v>
      </c>
      <c r="Q80" s="71">
        <f>_xlfn.XLOOKUP(Tableau1[[#This Row],[Rénovation prévue ?]],'Données Giant'!$A$8:$A$21,'Données Giant'!$C$8:$C$21,0)</f>
        <v>0</v>
      </c>
      <c r="R80" s="27">
        <f>_xlfn.XLOOKUP(Tableau1[[#This Row],[Rénovation prévue ?]],'Données Giant'!$A$8:$A$21,'Données Giant'!$D$8:$D$21,0)</f>
        <v>0</v>
      </c>
      <c r="S80">
        <f>_xlfn.XLOOKUP(Tableau1[[#This Row],[Rénovation prévue ?]],'Données Giant'!$A$8:$A$21,'Données Giant'!$E$8:$E$21,0)</f>
        <v>0</v>
      </c>
      <c r="T80">
        <f>_xlfn.XLOOKUP(Tableau1[[#This Row],[Rénovation prévue ?]],'Données Giant'!$A$8:$A$21,'Données Giant'!$F$8:$F$21,0)</f>
        <v>0</v>
      </c>
      <c r="U80">
        <f>_xlfn.XLOOKUP(Tableau1[[#This Row],[Rénovation prévue ?]],'Données Giant'!$A$8:$A$21,'Données Giant'!$G$8:$G$21,0)</f>
        <v>0</v>
      </c>
      <c r="V80">
        <f>_xlfn.XLOOKUP(Tableau1[[#This Row],[Rénovation prévue ?]],'Données Giant'!$A$8:$A$21,'Données Giant'!$H$8:$H$21,0)</f>
        <v>0</v>
      </c>
    </row>
    <row r="81" spans="1:22" x14ac:dyDescent="0.25">
      <c r="A81" s="29">
        <f>'Encodage données'!C143</f>
        <v>0</v>
      </c>
      <c r="B81" s="29">
        <f>'Encodage données'!D143</f>
        <v>0</v>
      </c>
      <c r="C81" s="29">
        <f>'Encodage données'!E143</f>
        <v>0</v>
      </c>
      <c r="D81" s="29">
        <f>'Encodage données'!F143</f>
        <v>0</v>
      </c>
      <c r="E81" s="29">
        <f>'Encodage données'!G143</f>
        <v>0</v>
      </c>
      <c r="F81" s="29">
        <f>'Encodage données'!H143</f>
        <v>0</v>
      </c>
      <c r="G81" s="29">
        <f>'Encodage données'!J143</f>
        <v>0</v>
      </c>
      <c r="H81" s="29">
        <f>IF(OR(Tableau1[[#This Row],[Isolation actuelle]]="U connu",Tableau1[[#This Row],[Isolation actuelle]]="U connu (porte et fenêtres)"),Tableau1[[#This Row],[Si U connu de la paroi]],_xlfn.XLOOKUP(Tableau1[[#This Row],[Isolation actuelle]],'Parois types'!$B$9:$B$71,'Parois types'!$C$9:$C$71,0))</f>
        <v>0</v>
      </c>
      <c r="I81" s="29">
        <f>IF(Tableau1[[#This Row],[Rénovation prévue ?]]='Données Giant'!$A$21,Tableau1[[#This Row],[Uactuel (W/m²K)]],'Encodage données'!I143)</f>
        <v>0</v>
      </c>
      <c r="J81">
        <f>_xlfn.XLOOKUP(Tableau1[[#This Row],[Catégorie]],Tableau4[Catégories de parois],Tableau4[ai],0)</f>
        <v>0</v>
      </c>
      <c r="K81">
        <f>Tableau1[[#This Row],[aj]]*Tableau1[[#This Row],[Uactuel (W/m²K)]]*Tableau1[[#This Row],[Surface (m²)]]</f>
        <v>0</v>
      </c>
      <c r="L81">
        <f>Tableau1[[#This Row],[aj]]*Tableau1[[#This Row],[Urénové (W/m²K)]]*Tableau1[[#This Row],[Surface (m²)]]</f>
        <v>0</v>
      </c>
      <c r="M81">
        <f>_xlfn.XLOOKUP(Tableau1[[#This Row],[Isolation actuelle]],'Parois types'!$B$9:$B$71,'Parois types'!$D$9:$D$71,0)</f>
        <v>0</v>
      </c>
      <c r="N81">
        <f>IF(Tableau1[[#This Row],[Rénovation prévue ?]]='Données Giant'!$A$21,Tableau1[[#This Row],[Facteur solaire actuel]],_xlfn.XLOOKUP(Tableau1[[#This Row],[Rénovation prévue ?]],'Données Giant'!$A$8:$A$21,'Données Giant'!$B$8:$B$21,0))</f>
        <v>0</v>
      </c>
      <c r="O81">
        <f>IF(Tableau1[[#This Row],[Catégorie]]=DonnéesAutres!$A$100,235*0.5*Tableau1[[#This Row],[Facteur solaire actuel]]*Tableau1[[#This Row],[Surface (m²)]],0)</f>
        <v>0</v>
      </c>
      <c r="P81" s="71">
        <f>235*0.5*Tableau1[[#This Row],[Facteur Solaire rénové]]*Tableau1[[#This Row],[Surface (m²)]]</f>
        <v>0</v>
      </c>
      <c r="Q81" s="71">
        <f>_xlfn.XLOOKUP(Tableau1[[#This Row],[Rénovation prévue ?]],'Données Giant'!$A$8:$A$21,'Données Giant'!$C$8:$C$21,0)</f>
        <v>0</v>
      </c>
      <c r="R81" s="27">
        <f>_xlfn.XLOOKUP(Tableau1[[#This Row],[Rénovation prévue ?]],'Données Giant'!$A$8:$A$21,'Données Giant'!$D$8:$D$21,0)</f>
        <v>0</v>
      </c>
      <c r="S81">
        <f>_xlfn.XLOOKUP(Tableau1[[#This Row],[Rénovation prévue ?]],'Données Giant'!$A$8:$A$21,'Données Giant'!$E$8:$E$21,0)</f>
        <v>0</v>
      </c>
      <c r="T81">
        <f>_xlfn.XLOOKUP(Tableau1[[#This Row],[Rénovation prévue ?]],'Données Giant'!$A$8:$A$21,'Données Giant'!$F$8:$F$21,0)</f>
        <v>0</v>
      </c>
      <c r="U81">
        <f>_xlfn.XLOOKUP(Tableau1[[#This Row],[Rénovation prévue ?]],'Données Giant'!$A$8:$A$21,'Données Giant'!$G$8:$G$21,0)</f>
        <v>0</v>
      </c>
      <c r="V81">
        <f>_xlfn.XLOOKUP(Tableau1[[#This Row],[Rénovation prévue ?]],'Données Giant'!$A$8:$A$21,'Données Giant'!$H$8:$H$21,0)</f>
        <v>0</v>
      </c>
    </row>
    <row r="82" spans="1:22" x14ac:dyDescent="0.25">
      <c r="A82" s="29">
        <f>'Encodage données'!C144</f>
        <v>0</v>
      </c>
      <c r="B82" s="29">
        <f>'Encodage données'!D144</f>
        <v>0</v>
      </c>
      <c r="C82" s="29">
        <f>'Encodage données'!E144</f>
        <v>0</v>
      </c>
      <c r="D82" s="29">
        <f>'Encodage données'!F144</f>
        <v>0</v>
      </c>
      <c r="E82" s="29">
        <f>'Encodage données'!G144</f>
        <v>0</v>
      </c>
      <c r="F82" s="29">
        <f>'Encodage données'!H144</f>
        <v>0</v>
      </c>
      <c r="G82" s="29">
        <f>'Encodage données'!J144</f>
        <v>0</v>
      </c>
      <c r="H82" s="29">
        <f>IF(OR(Tableau1[[#This Row],[Isolation actuelle]]="U connu",Tableau1[[#This Row],[Isolation actuelle]]="U connu (porte et fenêtres)"),Tableau1[[#This Row],[Si U connu de la paroi]],_xlfn.XLOOKUP(Tableau1[[#This Row],[Isolation actuelle]],'Parois types'!$B$9:$B$71,'Parois types'!$C$9:$C$71,0))</f>
        <v>0</v>
      </c>
      <c r="I82" s="29">
        <f>IF(Tableau1[[#This Row],[Rénovation prévue ?]]='Données Giant'!$A$21,Tableau1[[#This Row],[Uactuel (W/m²K)]],'Encodage données'!I144)</f>
        <v>0</v>
      </c>
      <c r="J82">
        <f>_xlfn.XLOOKUP(Tableau1[[#This Row],[Catégorie]],Tableau4[Catégories de parois],Tableau4[ai],0)</f>
        <v>0</v>
      </c>
      <c r="K82">
        <f>Tableau1[[#This Row],[aj]]*Tableau1[[#This Row],[Uactuel (W/m²K)]]*Tableau1[[#This Row],[Surface (m²)]]</f>
        <v>0</v>
      </c>
      <c r="L82">
        <f>Tableau1[[#This Row],[aj]]*Tableau1[[#This Row],[Urénové (W/m²K)]]*Tableau1[[#This Row],[Surface (m²)]]</f>
        <v>0</v>
      </c>
      <c r="M82">
        <f>_xlfn.XLOOKUP(Tableau1[[#This Row],[Isolation actuelle]],'Parois types'!$B$9:$B$71,'Parois types'!$D$9:$D$71,0)</f>
        <v>0</v>
      </c>
      <c r="N82">
        <f>IF(Tableau1[[#This Row],[Rénovation prévue ?]]='Données Giant'!$A$21,Tableau1[[#This Row],[Facteur solaire actuel]],_xlfn.XLOOKUP(Tableau1[[#This Row],[Rénovation prévue ?]],'Données Giant'!$A$8:$A$21,'Données Giant'!$B$8:$B$21,0))</f>
        <v>0</v>
      </c>
      <c r="O82">
        <f>IF(Tableau1[[#This Row],[Catégorie]]=DonnéesAutres!$A$100,235*0.5*Tableau1[[#This Row],[Facteur solaire actuel]]*Tableau1[[#This Row],[Surface (m²)]],0)</f>
        <v>0</v>
      </c>
      <c r="P82" s="71">
        <f>235*0.5*Tableau1[[#This Row],[Facteur Solaire rénové]]*Tableau1[[#This Row],[Surface (m²)]]</f>
        <v>0</v>
      </c>
      <c r="Q82" s="71">
        <f>_xlfn.XLOOKUP(Tableau1[[#This Row],[Rénovation prévue ?]],'Données Giant'!$A$8:$A$21,'Données Giant'!$C$8:$C$21,0)</f>
        <v>0</v>
      </c>
      <c r="R82" s="27">
        <f>_xlfn.XLOOKUP(Tableau1[[#This Row],[Rénovation prévue ?]],'Données Giant'!$A$8:$A$21,'Données Giant'!$D$8:$D$21,0)</f>
        <v>0</v>
      </c>
      <c r="S82">
        <f>_xlfn.XLOOKUP(Tableau1[[#This Row],[Rénovation prévue ?]],'Données Giant'!$A$8:$A$21,'Données Giant'!$E$8:$E$21,0)</f>
        <v>0</v>
      </c>
      <c r="T82">
        <f>_xlfn.XLOOKUP(Tableau1[[#This Row],[Rénovation prévue ?]],'Données Giant'!$A$8:$A$21,'Données Giant'!$F$8:$F$21,0)</f>
        <v>0</v>
      </c>
      <c r="U82">
        <f>_xlfn.XLOOKUP(Tableau1[[#This Row],[Rénovation prévue ?]],'Données Giant'!$A$8:$A$21,'Données Giant'!$G$8:$G$21,0)</f>
        <v>0</v>
      </c>
      <c r="V82">
        <f>_xlfn.XLOOKUP(Tableau1[[#This Row],[Rénovation prévue ?]],'Données Giant'!$A$8:$A$21,'Données Giant'!$H$8:$H$21,0)</f>
        <v>0</v>
      </c>
    </row>
    <row r="83" spans="1:22" x14ac:dyDescent="0.25">
      <c r="A83" s="29">
        <f>'Encodage données'!C145</f>
        <v>0</v>
      </c>
      <c r="B83" s="29">
        <f>'Encodage données'!D145</f>
        <v>0</v>
      </c>
      <c r="C83" s="29">
        <f>'Encodage données'!E145</f>
        <v>0</v>
      </c>
      <c r="D83" s="29">
        <f>'Encodage données'!F145</f>
        <v>0</v>
      </c>
      <c r="E83" s="29">
        <f>'Encodage données'!G145</f>
        <v>0</v>
      </c>
      <c r="F83" s="29">
        <f>'Encodage données'!H145</f>
        <v>0</v>
      </c>
      <c r="G83" s="29">
        <f>'Encodage données'!J145</f>
        <v>0</v>
      </c>
      <c r="H83" s="29">
        <f>IF(OR(Tableau1[[#This Row],[Isolation actuelle]]="U connu",Tableau1[[#This Row],[Isolation actuelle]]="U connu (porte et fenêtres)"),Tableau1[[#This Row],[Si U connu de la paroi]],_xlfn.XLOOKUP(Tableau1[[#This Row],[Isolation actuelle]],'Parois types'!$B$9:$B$71,'Parois types'!$C$9:$C$71,0))</f>
        <v>0</v>
      </c>
      <c r="I83" s="29">
        <f>IF(Tableau1[[#This Row],[Rénovation prévue ?]]='Données Giant'!$A$21,Tableau1[[#This Row],[Uactuel (W/m²K)]],'Encodage données'!I145)</f>
        <v>0</v>
      </c>
      <c r="J83">
        <f>_xlfn.XLOOKUP(Tableau1[[#This Row],[Catégorie]],Tableau4[Catégories de parois],Tableau4[ai],0)</f>
        <v>0</v>
      </c>
      <c r="K83">
        <f>Tableau1[[#This Row],[aj]]*Tableau1[[#This Row],[Uactuel (W/m²K)]]*Tableau1[[#This Row],[Surface (m²)]]</f>
        <v>0</v>
      </c>
      <c r="L83">
        <f>Tableau1[[#This Row],[aj]]*Tableau1[[#This Row],[Urénové (W/m²K)]]*Tableau1[[#This Row],[Surface (m²)]]</f>
        <v>0</v>
      </c>
      <c r="M83">
        <f>_xlfn.XLOOKUP(Tableau1[[#This Row],[Isolation actuelle]],'Parois types'!$B$9:$B$71,'Parois types'!$D$9:$D$71,0)</f>
        <v>0</v>
      </c>
      <c r="N83">
        <f>IF(Tableau1[[#This Row],[Rénovation prévue ?]]='Données Giant'!$A$21,Tableau1[[#This Row],[Facteur solaire actuel]],_xlfn.XLOOKUP(Tableau1[[#This Row],[Rénovation prévue ?]],'Données Giant'!$A$8:$A$21,'Données Giant'!$B$8:$B$21,0))</f>
        <v>0</v>
      </c>
      <c r="O83">
        <f>IF(Tableau1[[#This Row],[Catégorie]]=DonnéesAutres!$A$100,235*0.5*Tableau1[[#This Row],[Facteur solaire actuel]]*Tableau1[[#This Row],[Surface (m²)]],0)</f>
        <v>0</v>
      </c>
      <c r="P83" s="71">
        <f>235*0.5*Tableau1[[#This Row],[Facteur Solaire rénové]]*Tableau1[[#This Row],[Surface (m²)]]</f>
        <v>0</v>
      </c>
      <c r="Q83" s="71">
        <f>_xlfn.XLOOKUP(Tableau1[[#This Row],[Rénovation prévue ?]],'Données Giant'!$A$8:$A$21,'Données Giant'!$C$8:$C$21,0)</f>
        <v>0</v>
      </c>
      <c r="R83" s="27">
        <f>_xlfn.XLOOKUP(Tableau1[[#This Row],[Rénovation prévue ?]],'Données Giant'!$A$8:$A$21,'Données Giant'!$D$8:$D$21,0)</f>
        <v>0</v>
      </c>
      <c r="S83">
        <f>_xlfn.XLOOKUP(Tableau1[[#This Row],[Rénovation prévue ?]],'Données Giant'!$A$8:$A$21,'Données Giant'!$E$8:$E$21,0)</f>
        <v>0</v>
      </c>
      <c r="T83">
        <f>_xlfn.XLOOKUP(Tableau1[[#This Row],[Rénovation prévue ?]],'Données Giant'!$A$8:$A$21,'Données Giant'!$F$8:$F$21,0)</f>
        <v>0</v>
      </c>
      <c r="U83">
        <f>_xlfn.XLOOKUP(Tableau1[[#This Row],[Rénovation prévue ?]],'Données Giant'!$A$8:$A$21,'Données Giant'!$G$8:$G$21,0)</f>
        <v>0</v>
      </c>
      <c r="V83">
        <f>_xlfn.XLOOKUP(Tableau1[[#This Row],[Rénovation prévue ?]],'Données Giant'!$A$8:$A$21,'Données Giant'!$H$8:$H$21,0)</f>
        <v>0</v>
      </c>
    </row>
    <row r="84" spans="1:22" x14ac:dyDescent="0.25">
      <c r="A84" s="29">
        <f>'Encodage données'!C146</f>
        <v>0</v>
      </c>
      <c r="B84" s="29">
        <f>'Encodage données'!D146</f>
        <v>0</v>
      </c>
      <c r="C84" s="29">
        <f>'Encodage données'!E146</f>
        <v>0</v>
      </c>
      <c r="D84" s="29">
        <f>'Encodage données'!F146</f>
        <v>0</v>
      </c>
      <c r="E84" s="29">
        <f>'Encodage données'!G146</f>
        <v>0</v>
      </c>
      <c r="F84" s="29">
        <f>'Encodage données'!H146</f>
        <v>0</v>
      </c>
      <c r="G84" s="29">
        <f>'Encodage données'!J146</f>
        <v>0</v>
      </c>
      <c r="H84" s="29">
        <f>IF(OR(Tableau1[[#This Row],[Isolation actuelle]]="U connu",Tableau1[[#This Row],[Isolation actuelle]]="U connu (porte et fenêtres)"),Tableau1[[#This Row],[Si U connu de la paroi]],_xlfn.XLOOKUP(Tableau1[[#This Row],[Isolation actuelle]],'Parois types'!$B$9:$B$71,'Parois types'!$C$9:$C$71,0))</f>
        <v>0</v>
      </c>
      <c r="I84" s="29">
        <f>IF(Tableau1[[#This Row],[Rénovation prévue ?]]='Données Giant'!$A$21,Tableau1[[#This Row],[Uactuel (W/m²K)]],'Encodage données'!I146)</f>
        <v>0</v>
      </c>
      <c r="J84">
        <f>_xlfn.XLOOKUP(Tableau1[[#This Row],[Catégorie]],Tableau4[Catégories de parois],Tableau4[ai],0)</f>
        <v>0</v>
      </c>
      <c r="K84">
        <f>Tableau1[[#This Row],[aj]]*Tableau1[[#This Row],[Uactuel (W/m²K)]]*Tableau1[[#This Row],[Surface (m²)]]</f>
        <v>0</v>
      </c>
      <c r="L84">
        <f>Tableau1[[#This Row],[aj]]*Tableau1[[#This Row],[Urénové (W/m²K)]]*Tableau1[[#This Row],[Surface (m²)]]</f>
        <v>0</v>
      </c>
      <c r="M84">
        <f>_xlfn.XLOOKUP(Tableau1[[#This Row],[Isolation actuelle]],'Parois types'!$B$9:$B$71,'Parois types'!$D$9:$D$71,0)</f>
        <v>0</v>
      </c>
      <c r="N84">
        <f>IF(Tableau1[[#This Row],[Rénovation prévue ?]]='Données Giant'!$A$21,Tableau1[[#This Row],[Facteur solaire actuel]],_xlfn.XLOOKUP(Tableau1[[#This Row],[Rénovation prévue ?]],'Données Giant'!$A$8:$A$21,'Données Giant'!$B$8:$B$21,0))</f>
        <v>0</v>
      </c>
      <c r="O84">
        <f>IF(Tableau1[[#This Row],[Catégorie]]=DonnéesAutres!$A$100,235*0.5*Tableau1[[#This Row],[Facteur solaire actuel]]*Tableau1[[#This Row],[Surface (m²)]],0)</f>
        <v>0</v>
      </c>
      <c r="P84" s="71">
        <f>235*0.5*Tableau1[[#This Row],[Facteur Solaire rénové]]*Tableau1[[#This Row],[Surface (m²)]]</f>
        <v>0</v>
      </c>
      <c r="Q84" s="71">
        <f>_xlfn.XLOOKUP(Tableau1[[#This Row],[Rénovation prévue ?]],'Données Giant'!$A$8:$A$21,'Données Giant'!$C$8:$C$21,0)</f>
        <v>0</v>
      </c>
      <c r="R84" s="27">
        <f>_xlfn.XLOOKUP(Tableau1[[#This Row],[Rénovation prévue ?]],'Données Giant'!$A$8:$A$21,'Données Giant'!$D$8:$D$21,0)</f>
        <v>0</v>
      </c>
      <c r="S84">
        <f>_xlfn.XLOOKUP(Tableau1[[#This Row],[Rénovation prévue ?]],'Données Giant'!$A$8:$A$21,'Données Giant'!$E$8:$E$21,0)</f>
        <v>0</v>
      </c>
      <c r="T84">
        <f>_xlfn.XLOOKUP(Tableau1[[#This Row],[Rénovation prévue ?]],'Données Giant'!$A$8:$A$21,'Données Giant'!$F$8:$F$21,0)</f>
        <v>0</v>
      </c>
      <c r="U84">
        <f>_xlfn.XLOOKUP(Tableau1[[#This Row],[Rénovation prévue ?]],'Données Giant'!$A$8:$A$21,'Données Giant'!$G$8:$G$21,0)</f>
        <v>0</v>
      </c>
      <c r="V84">
        <f>_xlfn.XLOOKUP(Tableau1[[#This Row],[Rénovation prévue ?]],'Données Giant'!$A$8:$A$21,'Données Giant'!$H$8:$H$21,0)</f>
        <v>0</v>
      </c>
    </row>
    <row r="85" spans="1:22" x14ac:dyDescent="0.25">
      <c r="A85" s="29">
        <f>'Encodage données'!C147</f>
        <v>0</v>
      </c>
      <c r="B85" s="29">
        <f>'Encodage données'!D147</f>
        <v>0</v>
      </c>
      <c r="C85" s="29">
        <f>'Encodage données'!E147</f>
        <v>0</v>
      </c>
      <c r="D85" s="29">
        <f>'Encodage données'!F147</f>
        <v>0</v>
      </c>
      <c r="E85" s="29">
        <f>'Encodage données'!G147</f>
        <v>0</v>
      </c>
      <c r="F85" s="29">
        <f>'Encodage données'!H147</f>
        <v>0</v>
      </c>
      <c r="G85" s="29">
        <f>'Encodage données'!J147</f>
        <v>0</v>
      </c>
      <c r="H85" s="29">
        <f>IF(OR(Tableau1[[#This Row],[Isolation actuelle]]="U connu",Tableau1[[#This Row],[Isolation actuelle]]="U connu (porte et fenêtres)"),Tableau1[[#This Row],[Si U connu de la paroi]],_xlfn.XLOOKUP(Tableau1[[#This Row],[Isolation actuelle]],'Parois types'!$B$9:$B$71,'Parois types'!$C$9:$C$71,0))</f>
        <v>0</v>
      </c>
      <c r="I85" s="29">
        <f>IF(Tableau1[[#This Row],[Rénovation prévue ?]]='Données Giant'!$A$21,Tableau1[[#This Row],[Uactuel (W/m²K)]],'Encodage données'!I147)</f>
        <v>0</v>
      </c>
      <c r="J85">
        <f>_xlfn.XLOOKUP(Tableau1[[#This Row],[Catégorie]],Tableau4[Catégories de parois],Tableau4[ai],0)</f>
        <v>0</v>
      </c>
      <c r="K85">
        <f>Tableau1[[#This Row],[aj]]*Tableau1[[#This Row],[Uactuel (W/m²K)]]*Tableau1[[#This Row],[Surface (m²)]]</f>
        <v>0</v>
      </c>
      <c r="L85">
        <f>Tableau1[[#This Row],[aj]]*Tableau1[[#This Row],[Urénové (W/m²K)]]*Tableau1[[#This Row],[Surface (m²)]]</f>
        <v>0</v>
      </c>
      <c r="M85">
        <f>_xlfn.XLOOKUP(Tableau1[[#This Row],[Isolation actuelle]],'Parois types'!$B$9:$B$71,'Parois types'!$D$9:$D$71,0)</f>
        <v>0</v>
      </c>
      <c r="N85">
        <f>IF(Tableau1[[#This Row],[Rénovation prévue ?]]='Données Giant'!$A$21,Tableau1[[#This Row],[Facteur solaire actuel]],_xlfn.XLOOKUP(Tableau1[[#This Row],[Rénovation prévue ?]],'Données Giant'!$A$8:$A$21,'Données Giant'!$B$8:$B$21,0))</f>
        <v>0</v>
      </c>
      <c r="O85">
        <f>IF(Tableau1[[#This Row],[Catégorie]]=DonnéesAutres!$A$100,235*0.5*Tableau1[[#This Row],[Facteur solaire actuel]]*Tableau1[[#This Row],[Surface (m²)]],0)</f>
        <v>0</v>
      </c>
      <c r="P85" s="71">
        <f>235*0.5*Tableau1[[#This Row],[Facteur Solaire rénové]]*Tableau1[[#This Row],[Surface (m²)]]</f>
        <v>0</v>
      </c>
      <c r="Q85" s="71">
        <f>_xlfn.XLOOKUP(Tableau1[[#This Row],[Rénovation prévue ?]],'Données Giant'!$A$8:$A$21,'Données Giant'!$C$8:$C$21,0)</f>
        <v>0</v>
      </c>
      <c r="R85" s="27">
        <f>_xlfn.XLOOKUP(Tableau1[[#This Row],[Rénovation prévue ?]],'Données Giant'!$A$8:$A$21,'Données Giant'!$D$8:$D$21,0)</f>
        <v>0</v>
      </c>
      <c r="S85">
        <f>_xlfn.XLOOKUP(Tableau1[[#This Row],[Rénovation prévue ?]],'Données Giant'!$A$8:$A$21,'Données Giant'!$E$8:$E$21,0)</f>
        <v>0</v>
      </c>
      <c r="T85">
        <f>_xlfn.XLOOKUP(Tableau1[[#This Row],[Rénovation prévue ?]],'Données Giant'!$A$8:$A$21,'Données Giant'!$F$8:$F$21,0)</f>
        <v>0</v>
      </c>
      <c r="U85">
        <f>_xlfn.XLOOKUP(Tableau1[[#This Row],[Rénovation prévue ?]],'Données Giant'!$A$8:$A$21,'Données Giant'!$G$8:$G$21,0)</f>
        <v>0</v>
      </c>
      <c r="V85">
        <f>_xlfn.XLOOKUP(Tableau1[[#This Row],[Rénovation prévue ?]],'Données Giant'!$A$8:$A$21,'Données Giant'!$H$8:$H$21,0)</f>
        <v>0</v>
      </c>
    </row>
    <row r="86" spans="1:22" x14ac:dyDescent="0.25">
      <c r="A86" s="29">
        <f>'Encodage données'!C148</f>
        <v>0</v>
      </c>
      <c r="B86" s="29">
        <f>'Encodage données'!D148</f>
        <v>0</v>
      </c>
      <c r="C86" s="29">
        <f>'Encodage données'!E148</f>
        <v>0</v>
      </c>
      <c r="D86" s="29">
        <f>'Encodage données'!F148</f>
        <v>0</v>
      </c>
      <c r="E86" s="29">
        <f>'Encodage données'!G148</f>
        <v>0</v>
      </c>
      <c r="F86" s="29">
        <f>'Encodage données'!H148</f>
        <v>0</v>
      </c>
      <c r="G86" s="29">
        <f>'Encodage données'!J148</f>
        <v>0</v>
      </c>
      <c r="H86" s="29">
        <f>IF(OR(Tableau1[[#This Row],[Isolation actuelle]]="U connu",Tableau1[[#This Row],[Isolation actuelle]]="U connu (porte et fenêtres)"),Tableau1[[#This Row],[Si U connu de la paroi]],_xlfn.XLOOKUP(Tableau1[[#This Row],[Isolation actuelle]],'Parois types'!$B$9:$B$71,'Parois types'!$C$9:$C$71,0))</f>
        <v>0</v>
      </c>
      <c r="I86" s="29">
        <f>IF(Tableau1[[#This Row],[Rénovation prévue ?]]='Données Giant'!$A$21,Tableau1[[#This Row],[Uactuel (W/m²K)]],'Encodage données'!I148)</f>
        <v>0</v>
      </c>
      <c r="J86">
        <f>_xlfn.XLOOKUP(Tableau1[[#This Row],[Catégorie]],Tableau4[Catégories de parois],Tableau4[ai],0)</f>
        <v>0</v>
      </c>
      <c r="K86">
        <f>Tableau1[[#This Row],[aj]]*Tableau1[[#This Row],[Uactuel (W/m²K)]]*Tableau1[[#This Row],[Surface (m²)]]</f>
        <v>0</v>
      </c>
      <c r="L86">
        <f>Tableau1[[#This Row],[aj]]*Tableau1[[#This Row],[Urénové (W/m²K)]]*Tableau1[[#This Row],[Surface (m²)]]</f>
        <v>0</v>
      </c>
      <c r="M86">
        <f>_xlfn.XLOOKUP(Tableau1[[#This Row],[Isolation actuelle]],'Parois types'!$B$9:$B$71,'Parois types'!$D$9:$D$71,0)</f>
        <v>0</v>
      </c>
      <c r="N86">
        <f>IF(Tableau1[[#This Row],[Rénovation prévue ?]]='Données Giant'!$A$21,Tableau1[[#This Row],[Facteur solaire actuel]],_xlfn.XLOOKUP(Tableau1[[#This Row],[Rénovation prévue ?]],'Données Giant'!$A$8:$A$21,'Données Giant'!$B$8:$B$21,0))</f>
        <v>0</v>
      </c>
      <c r="O86">
        <f>IF(Tableau1[[#This Row],[Catégorie]]=DonnéesAutres!$A$100,235*0.5*Tableau1[[#This Row],[Facteur solaire actuel]]*Tableau1[[#This Row],[Surface (m²)]],0)</f>
        <v>0</v>
      </c>
      <c r="P86" s="71">
        <f>235*0.5*Tableau1[[#This Row],[Facteur Solaire rénové]]*Tableau1[[#This Row],[Surface (m²)]]</f>
        <v>0</v>
      </c>
      <c r="Q86" s="71">
        <f>_xlfn.XLOOKUP(Tableau1[[#This Row],[Rénovation prévue ?]],'Données Giant'!$A$8:$A$21,'Données Giant'!$C$8:$C$21,0)</f>
        <v>0</v>
      </c>
      <c r="R86" s="27">
        <f>_xlfn.XLOOKUP(Tableau1[[#This Row],[Rénovation prévue ?]],'Données Giant'!$A$8:$A$21,'Données Giant'!$D$8:$D$21,0)</f>
        <v>0</v>
      </c>
      <c r="S86">
        <f>_xlfn.XLOOKUP(Tableau1[[#This Row],[Rénovation prévue ?]],'Données Giant'!$A$8:$A$21,'Données Giant'!$E$8:$E$21,0)</f>
        <v>0</v>
      </c>
      <c r="T86">
        <f>_xlfn.XLOOKUP(Tableau1[[#This Row],[Rénovation prévue ?]],'Données Giant'!$A$8:$A$21,'Données Giant'!$F$8:$F$21,0)</f>
        <v>0</v>
      </c>
      <c r="U86">
        <f>_xlfn.XLOOKUP(Tableau1[[#This Row],[Rénovation prévue ?]],'Données Giant'!$A$8:$A$21,'Données Giant'!$G$8:$G$21,0)</f>
        <v>0</v>
      </c>
      <c r="V86">
        <f>_xlfn.XLOOKUP(Tableau1[[#This Row],[Rénovation prévue ?]],'Données Giant'!$A$8:$A$21,'Données Giant'!$H$8:$H$21,0)</f>
        <v>0</v>
      </c>
    </row>
    <row r="87" spans="1:22" x14ac:dyDescent="0.25">
      <c r="A87" s="29">
        <f>'Encodage données'!C149</f>
        <v>0</v>
      </c>
      <c r="B87" s="29">
        <f>'Encodage données'!D149</f>
        <v>0</v>
      </c>
      <c r="C87" s="29">
        <f>'Encodage données'!E149</f>
        <v>0</v>
      </c>
      <c r="D87" s="29">
        <f>'Encodage données'!F149</f>
        <v>0</v>
      </c>
      <c r="E87" s="29">
        <f>'Encodage données'!G149</f>
        <v>0</v>
      </c>
      <c r="F87" s="29">
        <f>'Encodage données'!H149</f>
        <v>0</v>
      </c>
      <c r="G87" s="29">
        <f>'Encodage données'!J149</f>
        <v>0</v>
      </c>
      <c r="H87" s="29">
        <f>IF(OR(Tableau1[[#This Row],[Isolation actuelle]]="U connu",Tableau1[[#This Row],[Isolation actuelle]]="U connu (porte et fenêtres)"),Tableau1[[#This Row],[Si U connu de la paroi]],_xlfn.XLOOKUP(Tableau1[[#This Row],[Isolation actuelle]],'Parois types'!$B$9:$B$71,'Parois types'!$C$9:$C$71,0))</f>
        <v>0</v>
      </c>
      <c r="I87" s="29">
        <f>IF(Tableau1[[#This Row],[Rénovation prévue ?]]='Données Giant'!$A$21,Tableau1[[#This Row],[Uactuel (W/m²K)]],'Encodage données'!I149)</f>
        <v>0</v>
      </c>
      <c r="J87">
        <f>_xlfn.XLOOKUP(Tableau1[[#This Row],[Catégorie]],Tableau4[Catégories de parois],Tableau4[ai],0)</f>
        <v>0</v>
      </c>
      <c r="K87">
        <f>Tableau1[[#This Row],[aj]]*Tableau1[[#This Row],[Uactuel (W/m²K)]]*Tableau1[[#This Row],[Surface (m²)]]</f>
        <v>0</v>
      </c>
      <c r="L87">
        <f>Tableau1[[#This Row],[aj]]*Tableau1[[#This Row],[Urénové (W/m²K)]]*Tableau1[[#This Row],[Surface (m²)]]</f>
        <v>0</v>
      </c>
      <c r="M87">
        <f>_xlfn.XLOOKUP(Tableau1[[#This Row],[Isolation actuelle]],'Parois types'!$B$9:$B$71,'Parois types'!$D$9:$D$71,0)</f>
        <v>0</v>
      </c>
      <c r="N87">
        <f>IF(Tableau1[[#This Row],[Rénovation prévue ?]]='Données Giant'!$A$21,Tableau1[[#This Row],[Facteur solaire actuel]],_xlfn.XLOOKUP(Tableau1[[#This Row],[Rénovation prévue ?]],'Données Giant'!$A$8:$A$21,'Données Giant'!$B$8:$B$21,0))</f>
        <v>0</v>
      </c>
      <c r="O87">
        <f>IF(Tableau1[[#This Row],[Catégorie]]=DonnéesAutres!$A$100,235*0.5*Tableau1[[#This Row],[Facteur solaire actuel]]*Tableau1[[#This Row],[Surface (m²)]],0)</f>
        <v>0</v>
      </c>
      <c r="P87" s="71">
        <f>235*0.5*Tableau1[[#This Row],[Facteur Solaire rénové]]*Tableau1[[#This Row],[Surface (m²)]]</f>
        <v>0</v>
      </c>
      <c r="Q87" s="71">
        <f>_xlfn.XLOOKUP(Tableau1[[#This Row],[Rénovation prévue ?]],'Données Giant'!$A$8:$A$21,'Données Giant'!$C$8:$C$21,0)</f>
        <v>0</v>
      </c>
      <c r="R87" s="27">
        <f>_xlfn.XLOOKUP(Tableau1[[#This Row],[Rénovation prévue ?]],'Données Giant'!$A$8:$A$21,'Données Giant'!$D$8:$D$21,0)</f>
        <v>0</v>
      </c>
      <c r="S87">
        <f>_xlfn.XLOOKUP(Tableau1[[#This Row],[Rénovation prévue ?]],'Données Giant'!$A$8:$A$21,'Données Giant'!$E$8:$E$21,0)</f>
        <v>0</v>
      </c>
      <c r="T87">
        <f>_xlfn.XLOOKUP(Tableau1[[#This Row],[Rénovation prévue ?]],'Données Giant'!$A$8:$A$21,'Données Giant'!$F$8:$F$21,0)</f>
        <v>0</v>
      </c>
      <c r="U87">
        <f>_xlfn.XLOOKUP(Tableau1[[#This Row],[Rénovation prévue ?]],'Données Giant'!$A$8:$A$21,'Données Giant'!$G$8:$G$21,0)</f>
        <v>0</v>
      </c>
      <c r="V87">
        <f>_xlfn.XLOOKUP(Tableau1[[#This Row],[Rénovation prévue ?]],'Données Giant'!$A$8:$A$21,'Données Giant'!$H$8:$H$21,0)</f>
        <v>0</v>
      </c>
    </row>
    <row r="88" spans="1:22" x14ac:dyDescent="0.25">
      <c r="A88" s="29">
        <f>'Encodage données'!C150</f>
        <v>0</v>
      </c>
      <c r="B88" s="29">
        <f>'Encodage données'!D150</f>
        <v>0</v>
      </c>
      <c r="C88" s="29">
        <f>'Encodage données'!E150</f>
        <v>0</v>
      </c>
      <c r="D88" s="29">
        <f>'Encodage données'!F150</f>
        <v>0</v>
      </c>
      <c r="E88" s="29">
        <f>'Encodage données'!G150</f>
        <v>0</v>
      </c>
      <c r="F88" s="29">
        <f>'Encodage données'!H150</f>
        <v>0</v>
      </c>
      <c r="G88" s="29">
        <f>'Encodage données'!J150</f>
        <v>0</v>
      </c>
      <c r="H88" s="29">
        <f>IF(OR(Tableau1[[#This Row],[Isolation actuelle]]="U connu",Tableau1[[#This Row],[Isolation actuelle]]="U connu (porte et fenêtres)"),Tableau1[[#This Row],[Si U connu de la paroi]],_xlfn.XLOOKUP(Tableau1[[#This Row],[Isolation actuelle]],'Parois types'!$B$9:$B$71,'Parois types'!$C$9:$C$71,0))</f>
        <v>0</v>
      </c>
      <c r="I88" s="29">
        <f>IF(Tableau1[[#This Row],[Rénovation prévue ?]]='Données Giant'!$A$21,Tableau1[[#This Row],[Uactuel (W/m²K)]],'Encodage données'!I150)</f>
        <v>0</v>
      </c>
      <c r="J88">
        <f>_xlfn.XLOOKUP(Tableau1[[#This Row],[Catégorie]],Tableau4[Catégories de parois],Tableau4[ai],0)</f>
        <v>0</v>
      </c>
      <c r="K88">
        <f>Tableau1[[#This Row],[aj]]*Tableau1[[#This Row],[Uactuel (W/m²K)]]*Tableau1[[#This Row],[Surface (m²)]]</f>
        <v>0</v>
      </c>
      <c r="L88">
        <f>Tableau1[[#This Row],[aj]]*Tableau1[[#This Row],[Urénové (W/m²K)]]*Tableau1[[#This Row],[Surface (m²)]]</f>
        <v>0</v>
      </c>
      <c r="M88">
        <f>_xlfn.XLOOKUP(Tableau1[[#This Row],[Isolation actuelle]],'Parois types'!$B$9:$B$71,'Parois types'!$D$9:$D$71,0)</f>
        <v>0</v>
      </c>
      <c r="N88">
        <f>IF(Tableau1[[#This Row],[Rénovation prévue ?]]='Données Giant'!$A$21,Tableau1[[#This Row],[Facteur solaire actuel]],_xlfn.XLOOKUP(Tableau1[[#This Row],[Rénovation prévue ?]],'Données Giant'!$A$8:$A$21,'Données Giant'!$B$8:$B$21,0))</f>
        <v>0</v>
      </c>
      <c r="O88">
        <f>IF(Tableau1[[#This Row],[Catégorie]]=DonnéesAutres!$A$100,235*0.5*Tableau1[[#This Row],[Facteur solaire actuel]]*Tableau1[[#This Row],[Surface (m²)]],0)</f>
        <v>0</v>
      </c>
      <c r="P88" s="71">
        <f>235*0.5*Tableau1[[#This Row],[Facteur Solaire rénové]]*Tableau1[[#This Row],[Surface (m²)]]</f>
        <v>0</v>
      </c>
      <c r="Q88" s="71">
        <f>_xlfn.XLOOKUP(Tableau1[[#This Row],[Rénovation prévue ?]],'Données Giant'!$A$8:$A$21,'Données Giant'!$C$8:$C$21,0)</f>
        <v>0</v>
      </c>
      <c r="R88" s="27">
        <f>_xlfn.XLOOKUP(Tableau1[[#This Row],[Rénovation prévue ?]],'Données Giant'!$A$8:$A$21,'Données Giant'!$D$8:$D$21,0)</f>
        <v>0</v>
      </c>
      <c r="S88">
        <f>_xlfn.XLOOKUP(Tableau1[[#This Row],[Rénovation prévue ?]],'Données Giant'!$A$8:$A$21,'Données Giant'!$E$8:$E$21,0)</f>
        <v>0</v>
      </c>
      <c r="T88">
        <f>_xlfn.XLOOKUP(Tableau1[[#This Row],[Rénovation prévue ?]],'Données Giant'!$A$8:$A$21,'Données Giant'!$F$8:$F$21,0)</f>
        <v>0</v>
      </c>
      <c r="U88">
        <f>_xlfn.XLOOKUP(Tableau1[[#This Row],[Rénovation prévue ?]],'Données Giant'!$A$8:$A$21,'Données Giant'!$G$8:$G$21,0)</f>
        <v>0</v>
      </c>
      <c r="V88">
        <f>_xlfn.XLOOKUP(Tableau1[[#This Row],[Rénovation prévue ?]],'Données Giant'!$A$8:$A$21,'Données Giant'!$H$8:$H$21,0)</f>
        <v>0</v>
      </c>
    </row>
    <row r="89" spans="1:22" x14ac:dyDescent="0.25">
      <c r="A89" s="29">
        <f>'Encodage données'!C151</f>
        <v>0</v>
      </c>
      <c r="B89" s="29">
        <f>'Encodage données'!D151</f>
        <v>0</v>
      </c>
      <c r="C89" s="29">
        <f>'Encodage données'!E151</f>
        <v>0</v>
      </c>
      <c r="D89" s="29">
        <f>'Encodage données'!F151</f>
        <v>0</v>
      </c>
      <c r="E89" s="29">
        <f>'Encodage données'!G151</f>
        <v>0</v>
      </c>
      <c r="F89" s="29">
        <f>'Encodage données'!H151</f>
        <v>0</v>
      </c>
      <c r="G89" s="29">
        <f>'Encodage données'!J151</f>
        <v>0</v>
      </c>
      <c r="H89" s="29">
        <f>IF(OR(Tableau1[[#This Row],[Isolation actuelle]]="U connu",Tableau1[[#This Row],[Isolation actuelle]]="U connu (porte et fenêtres)"),Tableau1[[#This Row],[Si U connu de la paroi]],_xlfn.XLOOKUP(Tableau1[[#This Row],[Isolation actuelle]],'Parois types'!$B$9:$B$71,'Parois types'!$C$9:$C$71,0))</f>
        <v>0</v>
      </c>
      <c r="I89" s="29">
        <f>IF(Tableau1[[#This Row],[Rénovation prévue ?]]='Données Giant'!$A$21,Tableau1[[#This Row],[Uactuel (W/m²K)]],'Encodage données'!I151)</f>
        <v>0</v>
      </c>
      <c r="J89">
        <f>_xlfn.XLOOKUP(Tableau1[[#This Row],[Catégorie]],Tableau4[Catégories de parois],Tableau4[ai],0)</f>
        <v>0</v>
      </c>
      <c r="K89">
        <f>Tableau1[[#This Row],[aj]]*Tableau1[[#This Row],[Uactuel (W/m²K)]]*Tableau1[[#This Row],[Surface (m²)]]</f>
        <v>0</v>
      </c>
      <c r="L89">
        <f>Tableau1[[#This Row],[aj]]*Tableau1[[#This Row],[Urénové (W/m²K)]]*Tableau1[[#This Row],[Surface (m²)]]</f>
        <v>0</v>
      </c>
      <c r="M89">
        <f>_xlfn.XLOOKUP(Tableau1[[#This Row],[Isolation actuelle]],'Parois types'!$B$9:$B$71,'Parois types'!$D$9:$D$71,0)</f>
        <v>0</v>
      </c>
      <c r="N89">
        <f>IF(Tableau1[[#This Row],[Rénovation prévue ?]]='Données Giant'!$A$21,Tableau1[[#This Row],[Facteur solaire actuel]],_xlfn.XLOOKUP(Tableau1[[#This Row],[Rénovation prévue ?]],'Données Giant'!$A$8:$A$21,'Données Giant'!$B$8:$B$21,0))</f>
        <v>0</v>
      </c>
      <c r="O89">
        <f>IF(Tableau1[[#This Row],[Catégorie]]=DonnéesAutres!$A$100,235*0.5*Tableau1[[#This Row],[Facteur solaire actuel]]*Tableau1[[#This Row],[Surface (m²)]],0)</f>
        <v>0</v>
      </c>
      <c r="P89" s="71">
        <f>235*0.5*Tableau1[[#This Row],[Facteur Solaire rénové]]*Tableau1[[#This Row],[Surface (m²)]]</f>
        <v>0</v>
      </c>
      <c r="Q89" s="71">
        <f>_xlfn.XLOOKUP(Tableau1[[#This Row],[Rénovation prévue ?]],'Données Giant'!$A$8:$A$21,'Données Giant'!$C$8:$C$21,0)</f>
        <v>0</v>
      </c>
      <c r="R89" s="27">
        <f>_xlfn.XLOOKUP(Tableau1[[#This Row],[Rénovation prévue ?]],'Données Giant'!$A$8:$A$21,'Données Giant'!$D$8:$D$21,0)</f>
        <v>0</v>
      </c>
      <c r="S89">
        <f>_xlfn.XLOOKUP(Tableau1[[#This Row],[Rénovation prévue ?]],'Données Giant'!$A$8:$A$21,'Données Giant'!$E$8:$E$21,0)</f>
        <v>0</v>
      </c>
      <c r="T89">
        <f>_xlfn.XLOOKUP(Tableau1[[#This Row],[Rénovation prévue ?]],'Données Giant'!$A$8:$A$21,'Données Giant'!$F$8:$F$21,0)</f>
        <v>0</v>
      </c>
      <c r="U89">
        <f>_xlfn.XLOOKUP(Tableau1[[#This Row],[Rénovation prévue ?]],'Données Giant'!$A$8:$A$21,'Données Giant'!$G$8:$G$21,0)</f>
        <v>0</v>
      </c>
      <c r="V89">
        <f>_xlfn.XLOOKUP(Tableau1[[#This Row],[Rénovation prévue ?]],'Données Giant'!$A$8:$A$21,'Données Giant'!$H$8:$H$21,0)</f>
        <v>0</v>
      </c>
    </row>
    <row r="90" spans="1:22" x14ac:dyDescent="0.25">
      <c r="A90" s="29">
        <f>'Encodage données'!C152</f>
        <v>0</v>
      </c>
      <c r="B90" s="29">
        <f>'Encodage données'!D152</f>
        <v>0</v>
      </c>
      <c r="C90" s="29">
        <f>'Encodage données'!E152</f>
        <v>0</v>
      </c>
      <c r="D90" s="29">
        <f>'Encodage données'!F152</f>
        <v>0</v>
      </c>
      <c r="E90" s="29">
        <f>'Encodage données'!G152</f>
        <v>0</v>
      </c>
      <c r="F90" s="29">
        <f>'Encodage données'!H152</f>
        <v>0</v>
      </c>
      <c r="G90" s="29">
        <f>'Encodage données'!J152</f>
        <v>0</v>
      </c>
      <c r="H90" s="29">
        <f>IF(OR(Tableau1[[#This Row],[Isolation actuelle]]="U connu",Tableau1[[#This Row],[Isolation actuelle]]="U connu (porte et fenêtres)"),Tableau1[[#This Row],[Si U connu de la paroi]],_xlfn.XLOOKUP(Tableau1[[#This Row],[Isolation actuelle]],'Parois types'!$B$9:$B$71,'Parois types'!$C$9:$C$71,0))</f>
        <v>0</v>
      </c>
      <c r="I90" s="29">
        <f>IF(Tableau1[[#This Row],[Rénovation prévue ?]]='Données Giant'!$A$21,Tableau1[[#This Row],[Uactuel (W/m²K)]],'Encodage données'!I152)</f>
        <v>0</v>
      </c>
      <c r="J90">
        <f>_xlfn.XLOOKUP(Tableau1[[#This Row],[Catégorie]],Tableau4[Catégories de parois],Tableau4[ai],0)</f>
        <v>0</v>
      </c>
      <c r="K90">
        <f>Tableau1[[#This Row],[aj]]*Tableau1[[#This Row],[Uactuel (W/m²K)]]*Tableau1[[#This Row],[Surface (m²)]]</f>
        <v>0</v>
      </c>
      <c r="L90">
        <f>Tableau1[[#This Row],[aj]]*Tableau1[[#This Row],[Urénové (W/m²K)]]*Tableau1[[#This Row],[Surface (m²)]]</f>
        <v>0</v>
      </c>
      <c r="M90">
        <f>_xlfn.XLOOKUP(Tableau1[[#This Row],[Isolation actuelle]],'Parois types'!$B$9:$B$71,'Parois types'!$D$9:$D$71,0)</f>
        <v>0</v>
      </c>
      <c r="N90">
        <f>IF(Tableau1[[#This Row],[Rénovation prévue ?]]='Données Giant'!$A$21,Tableau1[[#This Row],[Facteur solaire actuel]],_xlfn.XLOOKUP(Tableau1[[#This Row],[Rénovation prévue ?]],'Données Giant'!$A$8:$A$21,'Données Giant'!$B$8:$B$21,0))</f>
        <v>0</v>
      </c>
      <c r="O90">
        <f>IF(Tableau1[[#This Row],[Catégorie]]=DonnéesAutres!$A$100,235*0.5*Tableau1[[#This Row],[Facteur solaire actuel]]*Tableau1[[#This Row],[Surface (m²)]],0)</f>
        <v>0</v>
      </c>
      <c r="P90" s="71">
        <f>235*0.5*Tableau1[[#This Row],[Facteur Solaire rénové]]*Tableau1[[#This Row],[Surface (m²)]]</f>
        <v>0</v>
      </c>
      <c r="Q90" s="71">
        <f>_xlfn.XLOOKUP(Tableau1[[#This Row],[Rénovation prévue ?]],'Données Giant'!$A$8:$A$21,'Données Giant'!$C$8:$C$21,0)</f>
        <v>0</v>
      </c>
      <c r="R90" s="27">
        <f>_xlfn.XLOOKUP(Tableau1[[#This Row],[Rénovation prévue ?]],'Données Giant'!$A$8:$A$21,'Données Giant'!$D$8:$D$21,0)</f>
        <v>0</v>
      </c>
      <c r="S90">
        <f>_xlfn.XLOOKUP(Tableau1[[#This Row],[Rénovation prévue ?]],'Données Giant'!$A$8:$A$21,'Données Giant'!$E$8:$E$21,0)</f>
        <v>0</v>
      </c>
      <c r="T90">
        <f>_xlfn.XLOOKUP(Tableau1[[#This Row],[Rénovation prévue ?]],'Données Giant'!$A$8:$A$21,'Données Giant'!$F$8:$F$21,0)</f>
        <v>0</v>
      </c>
      <c r="U90">
        <f>_xlfn.XLOOKUP(Tableau1[[#This Row],[Rénovation prévue ?]],'Données Giant'!$A$8:$A$21,'Données Giant'!$G$8:$G$21,0)</f>
        <v>0</v>
      </c>
      <c r="V90">
        <f>_xlfn.XLOOKUP(Tableau1[[#This Row],[Rénovation prévue ?]],'Données Giant'!$A$8:$A$21,'Données Giant'!$H$8:$H$21,0)</f>
        <v>0</v>
      </c>
    </row>
    <row r="91" spans="1:22" x14ac:dyDescent="0.25">
      <c r="A91" s="29">
        <f>'Encodage données'!C153</f>
        <v>0</v>
      </c>
      <c r="B91" s="29">
        <f>'Encodage données'!D153</f>
        <v>0</v>
      </c>
      <c r="C91" s="29">
        <f>'Encodage données'!E153</f>
        <v>0</v>
      </c>
      <c r="D91" s="29">
        <f>'Encodage données'!F153</f>
        <v>0</v>
      </c>
      <c r="E91" s="29">
        <f>'Encodage données'!G153</f>
        <v>0</v>
      </c>
      <c r="F91" s="29">
        <f>'Encodage données'!H153</f>
        <v>0</v>
      </c>
      <c r="G91" s="29">
        <f>'Encodage données'!J153</f>
        <v>0</v>
      </c>
      <c r="H91" s="29">
        <f>IF(OR(Tableau1[[#This Row],[Isolation actuelle]]="U connu",Tableau1[[#This Row],[Isolation actuelle]]="U connu (porte et fenêtres)"),Tableau1[[#This Row],[Si U connu de la paroi]],_xlfn.XLOOKUP(Tableau1[[#This Row],[Isolation actuelle]],'Parois types'!$B$9:$B$71,'Parois types'!$C$9:$C$71,0))</f>
        <v>0</v>
      </c>
      <c r="I91" s="29">
        <f>IF(Tableau1[[#This Row],[Rénovation prévue ?]]='Données Giant'!$A$21,Tableau1[[#This Row],[Uactuel (W/m²K)]],'Encodage données'!I153)</f>
        <v>0</v>
      </c>
      <c r="J91">
        <f>_xlfn.XLOOKUP(Tableau1[[#This Row],[Catégorie]],Tableau4[Catégories de parois],Tableau4[ai],0)</f>
        <v>0</v>
      </c>
      <c r="K91">
        <f>Tableau1[[#This Row],[aj]]*Tableau1[[#This Row],[Uactuel (W/m²K)]]*Tableau1[[#This Row],[Surface (m²)]]</f>
        <v>0</v>
      </c>
      <c r="L91">
        <f>Tableau1[[#This Row],[aj]]*Tableau1[[#This Row],[Urénové (W/m²K)]]*Tableau1[[#This Row],[Surface (m²)]]</f>
        <v>0</v>
      </c>
      <c r="M91">
        <f>_xlfn.XLOOKUP(Tableau1[[#This Row],[Isolation actuelle]],'Parois types'!$B$9:$B$71,'Parois types'!$D$9:$D$71,0)</f>
        <v>0</v>
      </c>
      <c r="N91">
        <f>IF(Tableau1[[#This Row],[Rénovation prévue ?]]='Données Giant'!$A$21,Tableau1[[#This Row],[Facteur solaire actuel]],_xlfn.XLOOKUP(Tableau1[[#This Row],[Rénovation prévue ?]],'Données Giant'!$A$8:$A$21,'Données Giant'!$B$8:$B$21,0))</f>
        <v>0</v>
      </c>
      <c r="O91">
        <f>IF(Tableau1[[#This Row],[Catégorie]]=DonnéesAutres!$A$100,235*0.5*Tableau1[[#This Row],[Facteur solaire actuel]]*Tableau1[[#This Row],[Surface (m²)]],0)</f>
        <v>0</v>
      </c>
      <c r="P91" s="71">
        <f>235*0.5*Tableau1[[#This Row],[Facteur Solaire rénové]]*Tableau1[[#This Row],[Surface (m²)]]</f>
        <v>0</v>
      </c>
      <c r="Q91" s="71">
        <f>_xlfn.XLOOKUP(Tableau1[[#This Row],[Rénovation prévue ?]],'Données Giant'!$A$8:$A$21,'Données Giant'!$C$8:$C$21,0)</f>
        <v>0</v>
      </c>
      <c r="R91" s="27">
        <f>_xlfn.XLOOKUP(Tableau1[[#This Row],[Rénovation prévue ?]],'Données Giant'!$A$8:$A$21,'Données Giant'!$D$8:$D$21,0)</f>
        <v>0</v>
      </c>
      <c r="S91">
        <f>_xlfn.XLOOKUP(Tableau1[[#This Row],[Rénovation prévue ?]],'Données Giant'!$A$8:$A$21,'Données Giant'!$E$8:$E$21,0)</f>
        <v>0</v>
      </c>
      <c r="T91">
        <f>_xlfn.XLOOKUP(Tableau1[[#This Row],[Rénovation prévue ?]],'Données Giant'!$A$8:$A$21,'Données Giant'!$F$8:$F$21,0)</f>
        <v>0</v>
      </c>
      <c r="U91">
        <f>_xlfn.XLOOKUP(Tableau1[[#This Row],[Rénovation prévue ?]],'Données Giant'!$A$8:$A$21,'Données Giant'!$G$8:$G$21,0)</f>
        <v>0</v>
      </c>
      <c r="V91">
        <f>_xlfn.XLOOKUP(Tableau1[[#This Row],[Rénovation prévue ?]],'Données Giant'!$A$8:$A$21,'Données Giant'!$H$8:$H$21,0)</f>
        <v>0</v>
      </c>
    </row>
    <row r="92" spans="1:22" x14ac:dyDescent="0.25">
      <c r="A92" s="29">
        <f>'Encodage données'!C154</f>
        <v>0</v>
      </c>
      <c r="B92" s="29">
        <f>'Encodage données'!D154</f>
        <v>0</v>
      </c>
      <c r="C92" s="29">
        <f>'Encodage données'!E154</f>
        <v>0</v>
      </c>
      <c r="D92" s="29">
        <f>'Encodage données'!F154</f>
        <v>0</v>
      </c>
      <c r="E92" s="29">
        <f>'Encodage données'!G154</f>
        <v>0</v>
      </c>
      <c r="F92" s="29">
        <f>'Encodage données'!H154</f>
        <v>0</v>
      </c>
      <c r="G92" s="29">
        <f>'Encodage données'!J154</f>
        <v>0</v>
      </c>
      <c r="H92" s="29">
        <f>IF(OR(Tableau1[[#This Row],[Isolation actuelle]]="U connu",Tableau1[[#This Row],[Isolation actuelle]]="U connu (porte et fenêtres)"),Tableau1[[#This Row],[Si U connu de la paroi]],_xlfn.XLOOKUP(Tableau1[[#This Row],[Isolation actuelle]],'Parois types'!$B$9:$B$71,'Parois types'!$C$9:$C$71,0))</f>
        <v>0</v>
      </c>
      <c r="I92" s="29">
        <f>IF(Tableau1[[#This Row],[Rénovation prévue ?]]='Données Giant'!$A$21,Tableau1[[#This Row],[Uactuel (W/m²K)]],'Encodage données'!I154)</f>
        <v>0</v>
      </c>
      <c r="J92">
        <f>_xlfn.XLOOKUP(Tableau1[[#This Row],[Catégorie]],Tableau4[Catégories de parois],Tableau4[ai],0)</f>
        <v>0</v>
      </c>
      <c r="K92">
        <f>Tableau1[[#This Row],[aj]]*Tableau1[[#This Row],[Uactuel (W/m²K)]]*Tableau1[[#This Row],[Surface (m²)]]</f>
        <v>0</v>
      </c>
      <c r="L92">
        <f>Tableau1[[#This Row],[aj]]*Tableau1[[#This Row],[Urénové (W/m²K)]]*Tableau1[[#This Row],[Surface (m²)]]</f>
        <v>0</v>
      </c>
      <c r="M92">
        <f>_xlfn.XLOOKUP(Tableau1[[#This Row],[Isolation actuelle]],'Parois types'!$B$9:$B$71,'Parois types'!$D$9:$D$71,0)</f>
        <v>0</v>
      </c>
      <c r="N92">
        <f>IF(Tableau1[[#This Row],[Rénovation prévue ?]]='Données Giant'!$A$21,Tableau1[[#This Row],[Facteur solaire actuel]],_xlfn.XLOOKUP(Tableau1[[#This Row],[Rénovation prévue ?]],'Données Giant'!$A$8:$A$21,'Données Giant'!$B$8:$B$21,0))</f>
        <v>0</v>
      </c>
      <c r="O92">
        <f>IF(Tableau1[[#This Row],[Catégorie]]=DonnéesAutres!$A$100,235*0.5*Tableau1[[#This Row],[Facteur solaire actuel]]*Tableau1[[#This Row],[Surface (m²)]],0)</f>
        <v>0</v>
      </c>
      <c r="P92" s="71">
        <f>235*0.5*Tableau1[[#This Row],[Facteur Solaire rénové]]*Tableau1[[#This Row],[Surface (m²)]]</f>
        <v>0</v>
      </c>
      <c r="Q92" s="71">
        <f>_xlfn.XLOOKUP(Tableau1[[#This Row],[Rénovation prévue ?]],'Données Giant'!$A$8:$A$21,'Données Giant'!$C$8:$C$21,0)</f>
        <v>0</v>
      </c>
      <c r="R92" s="27">
        <f>_xlfn.XLOOKUP(Tableau1[[#This Row],[Rénovation prévue ?]],'Données Giant'!$A$8:$A$21,'Données Giant'!$D$8:$D$21,0)</f>
        <v>0</v>
      </c>
      <c r="S92">
        <f>_xlfn.XLOOKUP(Tableau1[[#This Row],[Rénovation prévue ?]],'Données Giant'!$A$8:$A$21,'Données Giant'!$E$8:$E$21,0)</f>
        <v>0</v>
      </c>
      <c r="T92">
        <f>_xlfn.XLOOKUP(Tableau1[[#This Row],[Rénovation prévue ?]],'Données Giant'!$A$8:$A$21,'Données Giant'!$F$8:$F$21,0)</f>
        <v>0</v>
      </c>
      <c r="U92">
        <f>_xlfn.XLOOKUP(Tableau1[[#This Row],[Rénovation prévue ?]],'Données Giant'!$A$8:$A$21,'Données Giant'!$G$8:$G$21,0)</f>
        <v>0</v>
      </c>
      <c r="V92">
        <f>_xlfn.XLOOKUP(Tableau1[[#This Row],[Rénovation prévue ?]],'Données Giant'!$A$8:$A$21,'Données Giant'!$H$8:$H$21,0)</f>
        <v>0</v>
      </c>
    </row>
    <row r="93" spans="1:22" x14ac:dyDescent="0.25">
      <c r="A93" s="29">
        <f>'Encodage données'!C155</f>
        <v>0</v>
      </c>
      <c r="B93" s="29">
        <f>'Encodage données'!D155</f>
        <v>0</v>
      </c>
      <c r="C93" s="29">
        <f>'Encodage données'!E155</f>
        <v>0</v>
      </c>
      <c r="D93" s="29">
        <f>'Encodage données'!F155</f>
        <v>0</v>
      </c>
      <c r="E93" s="29">
        <f>'Encodage données'!G155</f>
        <v>0</v>
      </c>
      <c r="F93" s="29">
        <f>'Encodage données'!H155</f>
        <v>0</v>
      </c>
      <c r="G93" s="29">
        <f>'Encodage données'!J155</f>
        <v>0</v>
      </c>
      <c r="H93" s="29">
        <f>IF(OR(Tableau1[[#This Row],[Isolation actuelle]]="U connu",Tableau1[[#This Row],[Isolation actuelle]]="U connu (porte et fenêtres)"),Tableau1[[#This Row],[Si U connu de la paroi]],_xlfn.XLOOKUP(Tableau1[[#This Row],[Isolation actuelle]],'Parois types'!$B$9:$B$71,'Parois types'!$C$9:$C$71,0))</f>
        <v>0</v>
      </c>
      <c r="I93" s="29">
        <f>IF(Tableau1[[#This Row],[Rénovation prévue ?]]='Données Giant'!$A$21,Tableau1[[#This Row],[Uactuel (W/m²K)]],'Encodage données'!I155)</f>
        <v>0</v>
      </c>
      <c r="J93">
        <f>_xlfn.XLOOKUP(Tableau1[[#This Row],[Catégorie]],Tableau4[Catégories de parois],Tableau4[ai],0)</f>
        <v>0</v>
      </c>
      <c r="K93">
        <f>Tableau1[[#This Row],[aj]]*Tableau1[[#This Row],[Uactuel (W/m²K)]]*Tableau1[[#This Row],[Surface (m²)]]</f>
        <v>0</v>
      </c>
      <c r="L93">
        <f>Tableau1[[#This Row],[aj]]*Tableau1[[#This Row],[Urénové (W/m²K)]]*Tableau1[[#This Row],[Surface (m²)]]</f>
        <v>0</v>
      </c>
      <c r="M93">
        <f>_xlfn.XLOOKUP(Tableau1[[#This Row],[Isolation actuelle]],'Parois types'!$B$9:$B$71,'Parois types'!$D$9:$D$71,0)</f>
        <v>0</v>
      </c>
      <c r="N93">
        <f>IF(Tableau1[[#This Row],[Rénovation prévue ?]]='Données Giant'!$A$21,Tableau1[[#This Row],[Facteur solaire actuel]],_xlfn.XLOOKUP(Tableau1[[#This Row],[Rénovation prévue ?]],'Données Giant'!$A$8:$A$21,'Données Giant'!$B$8:$B$21,0))</f>
        <v>0</v>
      </c>
      <c r="O93">
        <f>IF(Tableau1[[#This Row],[Catégorie]]=DonnéesAutres!$A$100,235*0.5*Tableau1[[#This Row],[Facteur solaire actuel]]*Tableau1[[#This Row],[Surface (m²)]],0)</f>
        <v>0</v>
      </c>
      <c r="P93" s="71">
        <f>235*0.5*Tableau1[[#This Row],[Facteur Solaire rénové]]*Tableau1[[#This Row],[Surface (m²)]]</f>
        <v>0</v>
      </c>
      <c r="Q93" s="71">
        <f>_xlfn.XLOOKUP(Tableau1[[#This Row],[Rénovation prévue ?]],'Données Giant'!$A$8:$A$21,'Données Giant'!$C$8:$C$21,0)</f>
        <v>0</v>
      </c>
      <c r="R93" s="27">
        <f>_xlfn.XLOOKUP(Tableau1[[#This Row],[Rénovation prévue ?]],'Données Giant'!$A$8:$A$21,'Données Giant'!$D$8:$D$21,0)</f>
        <v>0</v>
      </c>
      <c r="S93">
        <f>_xlfn.XLOOKUP(Tableau1[[#This Row],[Rénovation prévue ?]],'Données Giant'!$A$8:$A$21,'Données Giant'!$E$8:$E$21,0)</f>
        <v>0</v>
      </c>
      <c r="T93">
        <f>_xlfn.XLOOKUP(Tableau1[[#This Row],[Rénovation prévue ?]],'Données Giant'!$A$8:$A$21,'Données Giant'!$F$8:$F$21,0)</f>
        <v>0</v>
      </c>
      <c r="U93">
        <f>_xlfn.XLOOKUP(Tableau1[[#This Row],[Rénovation prévue ?]],'Données Giant'!$A$8:$A$21,'Données Giant'!$G$8:$G$21,0)</f>
        <v>0</v>
      </c>
      <c r="V93">
        <f>_xlfn.XLOOKUP(Tableau1[[#This Row],[Rénovation prévue ?]],'Données Giant'!$A$8:$A$21,'Données Giant'!$H$8:$H$21,0)</f>
        <v>0</v>
      </c>
    </row>
    <row r="94" spans="1:22" x14ac:dyDescent="0.25">
      <c r="A94" s="29">
        <f>'Encodage données'!C156</f>
        <v>0</v>
      </c>
      <c r="B94" s="29">
        <f>'Encodage données'!D156</f>
        <v>0</v>
      </c>
      <c r="C94" s="29">
        <f>'Encodage données'!E156</f>
        <v>0</v>
      </c>
      <c r="D94" s="29">
        <f>'Encodage données'!F156</f>
        <v>0</v>
      </c>
      <c r="E94" s="29">
        <f>'Encodage données'!G156</f>
        <v>0</v>
      </c>
      <c r="F94" s="29">
        <f>'Encodage données'!H156</f>
        <v>0</v>
      </c>
      <c r="G94" s="29">
        <f>'Encodage données'!J156</f>
        <v>0</v>
      </c>
      <c r="H94" s="29">
        <f>IF(OR(Tableau1[[#This Row],[Isolation actuelle]]="U connu",Tableau1[[#This Row],[Isolation actuelle]]="U connu (porte et fenêtres)"),Tableau1[[#This Row],[Si U connu de la paroi]],_xlfn.XLOOKUP(Tableau1[[#This Row],[Isolation actuelle]],'Parois types'!$B$9:$B$71,'Parois types'!$C$9:$C$71,0))</f>
        <v>0</v>
      </c>
      <c r="I94" s="29">
        <f>IF(Tableau1[[#This Row],[Rénovation prévue ?]]='Données Giant'!$A$21,Tableau1[[#This Row],[Uactuel (W/m²K)]],'Encodage données'!I156)</f>
        <v>0</v>
      </c>
      <c r="J94">
        <f>_xlfn.XLOOKUP(Tableau1[[#This Row],[Catégorie]],Tableau4[Catégories de parois],Tableau4[ai],0)</f>
        <v>0</v>
      </c>
      <c r="K94">
        <f>Tableau1[[#This Row],[aj]]*Tableau1[[#This Row],[Uactuel (W/m²K)]]*Tableau1[[#This Row],[Surface (m²)]]</f>
        <v>0</v>
      </c>
      <c r="L94">
        <f>Tableau1[[#This Row],[aj]]*Tableau1[[#This Row],[Urénové (W/m²K)]]*Tableau1[[#This Row],[Surface (m²)]]</f>
        <v>0</v>
      </c>
      <c r="M94">
        <f>_xlfn.XLOOKUP(Tableau1[[#This Row],[Isolation actuelle]],'Parois types'!$B$9:$B$71,'Parois types'!$D$9:$D$71,0)</f>
        <v>0</v>
      </c>
      <c r="N94">
        <f>IF(Tableau1[[#This Row],[Rénovation prévue ?]]='Données Giant'!$A$21,Tableau1[[#This Row],[Facteur solaire actuel]],_xlfn.XLOOKUP(Tableau1[[#This Row],[Rénovation prévue ?]],'Données Giant'!$A$8:$A$21,'Données Giant'!$B$8:$B$21,0))</f>
        <v>0</v>
      </c>
      <c r="O94">
        <f>IF(Tableau1[[#This Row],[Catégorie]]=DonnéesAutres!$A$100,235*0.5*Tableau1[[#This Row],[Facteur solaire actuel]]*Tableau1[[#This Row],[Surface (m²)]],0)</f>
        <v>0</v>
      </c>
      <c r="P94" s="71">
        <f>235*0.5*Tableau1[[#This Row],[Facteur Solaire rénové]]*Tableau1[[#This Row],[Surface (m²)]]</f>
        <v>0</v>
      </c>
      <c r="Q94" s="71">
        <f>_xlfn.XLOOKUP(Tableau1[[#This Row],[Rénovation prévue ?]],'Données Giant'!$A$8:$A$21,'Données Giant'!$C$8:$C$21,0)</f>
        <v>0</v>
      </c>
      <c r="R94" s="27">
        <f>_xlfn.XLOOKUP(Tableau1[[#This Row],[Rénovation prévue ?]],'Données Giant'!$A$8:$A$21,'Données Giant'!$D$8:$D$21,0)</f>
        <v>0</v>
      </c>
      <c r="S94">
        <f>_xlfn.XLOOKUP(Tableau1[[#This Row],[Rénovation prévue ?]],'Données Giant'!$A$8:$A$21,'Données Giant'!$E$8:$E$21,0)</f>
        <v>0</v>
      </c>
      <c r="T94">
        <f>_xlfn.XLOOKUP(Tableau1[[#This Row],[Rénovation prévue ?]],'Données Giant'!$A$8:$A$21,'Données Giant'!$F$8:$F$21,0)</f>
        <v>0</v>
      </c>
      <c r="U94">
        <f>_xlfn.XLOOKUP(Tableau1[[#This Row],[Rénovation prévue ?]],'Données Giant'!$A$8:$A$21,'Données Giant'!$G$8:$G$21,0)</f>
        <v>0</v>
      </c>
      <c r="V94">
        <f>_xlfn.XLOOKUP(Tableau1[[#This Row],[Rénovation prévue ?]],'Données Giant'!$A$8:$A$21,'Données Giant'!$H$8:$H$21,0)</f>
        <v>0</v>
      </c>
    </row>
    <row r="95" spans="1:22" x14ac:dyDescent="0.25">
      <c r="A95" s="29">
        <f>'Encodage données'!C157</f>
        <v>0</v>
      </c>
      <c r="B95" s="29">
        <f>'Encodage données'!D157</f>
        <v>0</v>
      </c>
      <c r="C95" s="29">
        <f>'Encodage données'!E157</f>
        <v>0</v>
      </c>
      <c r="D95" s="29">
        <f>'Encodage données'!F157</f>
        <v>0</v>
      </c>
      <c r="E95" s="29">
        <f>'Encodage données'!G157</f>
        <v>0</v>
      </c>
      <c r="F95" s="29">
        <f>'Encodage données'!H157</f>
        <v>0</v>
      </c>
      <c r="G95" s="29">
        <f>'Encodage données'!J157</f>
        <v>0</v>
      </c>
      <c r="H95" s="29">
        <f>IF(OR(Tableau1[[#This Row],[Isolation actuelle]]="U connu",Tableau1[[#This Row],[Isolation actuelle]]="U connu (porte et fenêtres)"),Tableau1[[#This Row],[Si U connu de la paroi]],_xlfn.XLOOKUP(Tableau1[[#This Row],[Isolation actuelle]],'Parois types'!$B$9:$B$71,'Parois types'!$C$9:$C$71,0))</f>
        <v>0</v>
      </c>
      <c r="I95" s="29">
        <f>IF(Tableau1[[#This Row],[Rénovation prévue ?]]='Données Giant'!$A$21,Tableau1[[#This Row],[Uactuel (W/m²K)]],'Encodage données'!I157)</f>
        <v>0</v>
      </c>
      <c r="J95">
        <f>_xlfn.XLOOKUP(Tableau1[[#This Row],[Catégorie]],Tableau4[Catégories de parois],Tableau4[ai],0)</f>
        <v>0</v>
      </c>
      <c r="K95">
        <f>Tableau1[[#This Row],[aj]]*Tableau1[[#This Row],[Uactuel (W/m²K)]]*Tableau1[[#This Row],[Surface (m²)]]</f>
        <v>0</v>
      </c>
      <c r="L95">
        <f>Tableau1[[#This Row],[aj]]*Tableau1[[#This Row],[Urénové (W/m²K)]]*Tableau1[[#This Row],[Surface (m²)]]</f>
        <v>0</v>
      </c>
      <c r="M95">
        <f>_xlfn.XLOOKUP(Tableau1[[#This Row],[Isolation actuelle]],'Parois types'!$B$9:$B$71,'Parois types'!$D$9:$D$71,0)</f>
        <v>0</v>
      </c>
      <c r="N95">
        <f>IF(Tableau1[[#This Row],[Rénovation prévue ?]]='Données Giant'!$A$21,Tableau1[[#This Row],[Facteur solaire actuel]],_xlfn.XLOOKUP(Tableau1[[#This Row],[Rénovation prévue ?]],'Données Giant'!$A$8:$A$21,'Données Giant'!$B$8:$B$21,0))</f>
        <v>0</v>
      </c>
      <c r="O95">
        <f>IF(Tableau1[[#This Row],[Catégorie]]=DonnéesAutres!$A$100,235*0.5*Tableau1[[#This Row],[Facteur solaire actuel]]*Tableau1[[#This Row],[Surface (m²)]],0)</f>
        <v>0</v>
      </c>
      <c r="P95" s="71">
        <f>235*0.5*Tableau1[[#This Row],[Facteur Solaire rénové]]*Tableau1[[#This Row],[Surface (m²)]]</f>
        <v>0</v>
      </c>
      <c r="Q95" s="71">
        <f>_xlfn.XLOOKUP(Tableau1[[#This Row],[Rénovation prévue ?]],'Données Giant'!$A$8:$A$21,'Données Giant'!$C$8:$C$21,0)</f>
        <v>0</v>
      </c>
      <c r="R95" s="27">
        <f>_xlfn.XLOOKUP(Tableau1[[#This Row],[Rénovation prévue ?]],'Données Giant'!$A$8:$A$21,'Données Giant'!$D$8:$D$21,0)</f>
        <v>0</v>
      </c>
      <c r="S95">
        <f>_xlfn.XLOOKUP(Tableau1[[#This Row],[Rénovation prévue ?]],'Données Giant'!$A$8:$A$21,'Données Giant'!$E$8:$E$21,0)</f>
        <v>0</v>
      </c>
      <c r="T95">
        <f>_xlfn.XLOOKUP(Tableau1[[#This Row],[Rénovation prévue ?]],'Données Giant'!$A$8:$A$21,'Données Giant'!$F$8:$F$21,0)</f>
        <v>0</v>
      </c>
      <c r="U95">
        <f>_xlfn.XLOOKUP(Tableau1[[#This Row],[Rénovation prévue ?]],'Données Giant'!$A$8:$A$21,'Données Giant'!$G$8:$G$21,0)</f>
        <v>0</v>
      </c>
      <c r="V95">
        <f>_xlfn.XLOOKUP(Tableau1[[#This Row],[Rénovation prévue ?]],'Données Giant'!$A$8:$A$21,'Données Giant'!$H$8:$H$21,0)</f>
        <v>0</v>
      </c>
    </row>
    <row r="96" spans="1:22" x14ac:dyDescent="0.25">
      <c r="A96" s="29">
        <f>'Encodage données'!C158</f>
        <v>0</v>
      </c>
      <c r="B96" s="29">
        <f>'Encodage données'!D158</f>
        <v>0</v>
      </c>
      <c r="C96" s="29">
        <f>'Encodage données'!E158</f>
        <v>0</v>
      </c>
      <c r="D96" s="29">
        <f>'Encodage données'!F158</f>
        <v>0</v>
      </c>
      <c r="E96" s="29">
        <f>'Encodage données'!G158</f>
        <v>0</v>
      </c>
      <c r="F96" s="29">
        <f>'Encodage données'!H158</f>
        <v>0</v>
      </c>
      <c r="G96" s="29">
        <f>'Encodage données'!J158</f>
        <v>0</v>
      </c>
      <c r="H96" s="29">
        <f>IF(OR(Tableau1[[#This Row],[Isolation actuelle]]="U connu",Tableau1[[#This Row],[Isolation actuelle]]="U connu (porte et fenêtres)"),Tableau1[[#This Row],[Si U connu de la paroi]],_xlfn.XLOOKUP(Tableau1[[#This Row],[Isolation actuelle]],'Parois types'!$B$9:$B$71,'Parois types'!$C$9:$C$71,0))</f>
        <v>0</v>
      </c>
      <c r="I96" s="29">
        <f>IF(Tableau1[[#This Row],[Rénovation prévue ?]]='Données Giant'!$A$21,Tableau1[[#This Row],[Uactuel (W/m²K)]],'Encodage données'!I158)</f>
        <v>0</v>
      </c>
      <c r="J96">
        <f>_xlfn.XLOOKUP(Tableau1[[#This Row],[Catégorie]],Tableau4[Catégories de parois],Tableau4[ai],0)</f>
        <v>0</v>
      </c>
      <c r="K96">
        <f>Tableau1[[#This Row],[aj]]*Tableau1[[#This Row],[Uactuel (W/m²K)]]*Tableau1[[#This Row],[Surface (m²)]]</f>
        <v>0</v>
      </c>
      <c r="L96">
        <f>Tableau1[[#This Row],[aj]]*Tableau1[[#This Row],[Urénové (W/m²K)]]*Tableau1[[#This Row],[Surface (m²)]]</f>
        <v>0</v>
      </c>
      <c r="M96">
        <f>_xlfn.XLOOKUP(Tableau1[[#This Row],[Isolation actuelle]],'Parois types'!$B$9:$B$71,'Parois types'!$D$9:$D$71,0)</f>
        <v>0</v>
      </c>
      <c r="N96">
        <f>IF(Tableau1[[#This Row],[Rénovation prévue ?]]='Données Giant'!$A$21,Tableau1[[#This Row],[Facteur solaire actuel]],_xlfn.XLOOKUP(Tableau1[[#This Row],[Rénovation prévue ?]],'Données Giant'!$A$8:$A$21,'Données Giant'!$B$8:$B$21,0))</f>
        <v>0</v>
      </c>
      <c r="O96">
        <f>IF(Tableau1[[#This Row],[Catégorie]]=DonnéesAutres!$A$100,235*0.5*Tableau1[[#This Row],[Facteur solaire actuel]]*Tableau1[[#This Row],[Surface (m²)]],0)</f>
        <v>0</v>
      </c>
      <c r="P96" s="71">
        <f>235*0.5*Tableau1[[#This Row],[Facteur Solaire rénové]]*Tableau1[[#This Row],[Surface (m²)]]</f>
        <v>0</v>
      </c>
      <c r="Q96" s="71">
        <f>_xlfn.XLOOKUP(Tableau1[[#This Row],[Rénovation prévue ?]],'Données Giant'!$A$8:$A$21,'Données Giant'!$C$8:$C$21,0)</f>
        <v>0</v>
      </c>
      <c r="R96" s="27">
        <f>_xlfn.XLOOKUP(Tableau1[[#This Row],[Rénovation prévue ?]],'Données Giant'!$A$8:$A$21,'Données Giant'!$D$8:$D$21,0)</f>
        <v>0</v>
      </c>
      <c r="S96">
        <f>_xlfn.XLOOKUP(Tableau1[[#This Row],[Rénovation prévue ?]],'Données Giant'!$A$8:$A$21,'Données Giant'!$E$8:$E$21,0)</f>
        <v>0</v>
      </c>
      <c r="T96">
        <f>_xlfn.XLOOKUP(Tableau1[[#This Row],[Rénovation prévue ?]],'Données Giant'!$A$8:$A$21,'Données Giant'!$F$8:$F$21,0)</f>
        <v>0</v>
      </c>
      <c r="U96">
        <f>_xlfn.XLOOKUP(Tableau1[[#This Row],[Rénovation prévue ?]],'Données Giant'!$A$8:$A$21,'Données Giant'!$G$8:$G$21,0)</f>
        <v>0</v>
      </c>
      <c r="V96">
        <f>_xlfn.XLOOKUP(Tableau1[[#This Row],[Rénovation prévue ?]],'Données Giant'!$A$8:$A$21,'Données Giant'!$H$8:$H$21,0)</f>
        <v>0</v>
      </c>
    </row>
    <row r="97" spans="1:22" x14ac:dyDescent="0.25">
      <c r="A97" s="29">
        <f>'Encodage données'!C159</f>
        <v>0</v>
      </c>
      <c r="B97" s="29">
        <f>'Encodage données'!D159</f>
        <v>0</v>
      </c>
      <c r="C97" s="29">
        <f>'Encodage données'!E159</f>
        <v>0</v>
      </c>
      <c r="D97" s="29">
        <f>'Encodage données'!F159</f>
        <v>0</v>
      </c>
      <c r="E97" s="29">
        <f>'Encodage données'!G159</f>
        <v>0</v>
      </c>
      <c r="F97" s="29">
        <f>'Encodage données'!H159</f>
        <v>0</v>
      </c>
      <c r="G97" s="29">
        <f>'Encodage données'!J159</f>
        <v>0</v>
      </c>
      <c r="H97" s="29">
        <f>IF(OR(Tableau1[[#This Row],[Isolation actuelle]]="U connu",Tableau1[[#This Row],[Isolation actuelle]]="U connu (porte et fenêtres)"),Tableau1[[#This Row],[Si U connu de la paroi]],_xlfn.XLOOKUP(Tableau1[[#This Row],[Isolation actuelle]],'Parois types'!$B$9:$B$71,'Parois types'!$C$9:$C$71,0))</f>
        <v>0</v>
      </c>
      <c r="I97" s="29">
        <f>IF(Tableau1[[#This Row],[Rénovation prévue ?]]='Données Giant'!$A$21,Tableau1[[#This Row],[Uactuel (W/m²K)]],'Encodage données'!I159)</f>
        <v>0</v>
      </c>
      <c r="J97">
        <f>_xlfn.XLOOKUP(Tableau1[[#This Row],[Catégorie]],Tableau4[Catégories de parois],Tableau4[ai],0)</f>
        <v>0</v>
      </c>
      <c r="K97">
        <f>Tableau1[[#This Row],[aj]]*Tableau1[[#This Row],[Uactuel (W/m²K)]]*Tableau1[[#This Row],[Surface (m²)]]</f>
        <v>0</v>
      </c>
      <c r="L97">
        <f>Tableau1[[#This Row],[aj]]*Tableau1[[#This Row],[Urénové (W/m²K)]]*Tableau1[[#This Row],[Surface (m²)]]</f>
        <v>0</v>
      </c>
      <c r="M97">
        <f>_xlfn.XLOOKUP(Tableau1[[#This Row],[Isolation actuelle]],'Parois types'!$B$9:$B$71,'Parois types'!$D$9:$D$71,0)</f>
        <v>0</v>
      </c>
      <c r="N97">
        <f>IF(Tableau1[[#This Row],[Rénovation prévue ?]]='Données Giant'!$A$21,Tableau1[[#This Row],[Facteur solaire actuel]],_xlfn.XLOOKUP(Tableau1[[#This Row],[Rénovation prévue ?]],'Données Giant'!$A$8:$A$21,'Données Giant'!$B$8:$B$21,0))</f>
        <v>0</v>
      </c>
      <c r="O97">
        <f>IF(Tableau1[[#This Row],[Catégorie]]=DonnéesAutres!$A$100,235*0.5*Tableau1[[#This Row],[Facteur solaire actuel]]*Tableau1[[#This Row],[Surface (m²)]],0)</f>
        <v>0</v>
      </c>
      <c r="P97" s="71">
        <f>235*0.5*Tableau1[[#This Row],[Facteur Solaire rénové]]*Tableau1[[#This Row],[Surface (m²)]]</f>
        <v>0</v>
      </c>
      <c r="Q97" s="71">
        <f>_xlfn.XLOOKUP(Tableau1[[#This Row],[Rénovation prévue ?]],'Données Giant'!$A$8:$A$21,'Données Giant'!$C$8:$C$21,0)</f>
        <v>0</v>
      </c>
      <c r="R97" s="27">
        <f>_xlfn.XLOOKUP(Tableau1[[#This Row],[Rénovation prévue ?]],'Données Giant'!$A$8:$A$21,'Données Giant'!$D$8:$D$21,0)</f>
        <v>0</v>
      </c>
      <c r="S97">
        <f>_xlfn.XLOOKUP(Tableau1[[#This Row],[Rénovation prévue ?]],'Données Giant'!$A$8:$A$21,'Données Giant'!$E$8:$E$21,0)</f>
        <v>0</v>
      </c>
      <c r="T97">
        <f>_xlfn.XLOOKUP(Tableau1[[#This Row],[Rénovation prévue ?]],'Données Giant'!$A$8:$A$21,'Données Giant'!$F$8:$F$21,0)</f>
        <v>0</v>
      </c>
      <c r="U97">
        <f>_xlfn.XLOOKUP(Tableau1[[#This Row],[Rénovation prévue ?]],'Données Giant'!$A$8:$A$21,'Données Giant'!$G$8:$G$21,0)</f>
        <v>0</v>
      </c>
      <c r="V97">
        <f>_xlfn.XLOOKUP(Tableau1[[#This Row],[Rénovation prévue ?]],'Données Giant'!$A$8:$A$21,'Données Giant'!$H$8:$H$21,0)</f>
        <v>0</v>
      </c>
    </row>
    <row r="98" spans="1:22" x14ac:dyDescent="0.25">
      <c r="A98" s="29">
        <f>'Encodage données'!C160</f>
        <v>0</v>
      </c>
      <c r="B98" s="29">
        <f>'Encodage données'!D160</f>
        <v>0</v>
      </c>
      <c r="C98" s="29">
        <f>'Encodage données'!E160</f>
        <v>0</v>
      </c>
      <c r="D98" s="29">
        <f>'Encodage données'!F160</f>
        <v>0</v>
      </c>
      <c r="E98" s="29">
        <f>'Encodage données'!G160</f>
        <v>0</v>
      </c>
      <c r="F98" s="29">
        <f>'Encodage données'!H160</f>
        <v>0</v>
      </c>
      <c r="G98" s="29">
        <f>'Encodage données'!J160</f>
        <v>0</v>
      </c>
      <c r="H98" s="29">
        <f>IF(OR(Tableau1[[#This Row],[Isolation actuelle]]="U connu",Tableau1[[#This Row],[Isolation actuelle]]="U connu (porte et fenêtres)"),Tableau1[[#This Row],[Si U connu de la paroi]],_xlfn.XLOOKUP(Tableau1[[#This Row],[Isolation actuelle]],'Parois types'!$B$9:$B$71,'Parois types'!$C$9:$C$71,0))</f>
        <v>0</v>
      </c>
      <c r="I98" s="29">
        <f>IF(Tableau1[[#This Row],[Rénovation prévue ?]]='Données Giant'!$A$21,Tableau1[[#This Row],[Uactuel (W/m²K)]],'Encodage données'!I160)</f>
        <v>0</v>
      </c>
      <c r="J98">
        <f>_xlfn.XLOOKUP(Tableau1[[#This Row],[Catégorie]],Tableau4[Catégories de parois],Tableau4[ai],0)</f>
        <v>0</v>
      </c>
      <c r="K98">
        <f>Tableau1[[#This Row],[aj]]*Tableau1[[#This Row],[Uactuel (W/m²K)]]*Tableau1[[#This Row],[Surface (m²)]]</f>
        <v>0</v>
      </c>
      <c r="L98">
        <f>Tableau1[[#This Row],[aj]]*Tableau1[[#This Row],[Urénové (W/m²K)]]*Tableau1[[#This Row],[Surface (m²)]]</f>
        <v>0</v>
      </c>
      <c r="M98">
        <f>_xlfn.XLOOKUP(Tableau1[[#This Row],[Isolation actuelle]],'Parois types'!$B$9:$B$71,'Parois types'!$D$9:$D$71,0)</f>
        <v>0</v>
      </c>
      <c r="N98">
        <f>IF(Tableau1[[#This Row],[Rénovation prévue ?]]='Données Giant'!$A$21,Tableau1[[#This Row],[Facteur solaire actuel]],_xlfn.XLOOKUP(Tableau1[[#This Row],[Rénovation prévue ?]],'Données Giant'!$A$8:$A$21,'Données Giant'!$B$8:$B$21,0))</f>
        <v>0</v>
      </c>
      <c r="O98">
        <f>IF(Tableau1[[#This Row],[Catégorie]]=DonnéesAutres!$A$100,235*0.5*Tableau1[[#This Row],[Facteur solaire actuel]]*Tableau1[[#This Row],[Surface (m²)]],0)</f>
        <v>0</v>
      </c>
      <c r="P98" s="71">
        <f>235*0.5*Tableau1[[#This Row],[Facteur Solaire rénové]]*Tableau1[[#This Row],[Surface (m²)]]</f>
        <v>0</v>
      </c>
      <c r="Q98" s="71">
        <f>_xlfn.XLOOKUP(Tableau1[[#This Row],[Rénovation prévue ?]],'Données Giant'!$A$8:$A$21,'Données Giant'!$C$8:$C$21,0)</f>
        <v>0</v>
      </c>
      <c r="R98" s="27">
        <f>_xlfn.XLOOKUP(Tableau1[[#This Row],[Rénovation prévue ?]],'Données Giant'!$A$8:$A$21,'Données Giant'!$D$8:$D$21,0)</f>
        <v>0</v>
      </c>
      <c r="S98">
        <f>_xlfn.XLOOKUP(Tableau1[[#This Row],[Rénovation prévue ?]],'Données Giant'!$A$8:$A$21,'Données Giant'!$E$8:$E$21,0)</f>
        <v>0</v>
      </c>
      <c r="T98">
        <f>_xlfn.XLOOKUP(Tableau1[[#This Row],[Rénovation prévue ?]],'Données Giant'!$A$8:$A$21,'Données Giant'!$F$8:$F$21,0)</f>
        <v>0</v>
      </c>
      <c r="U98">
        <f>_xlfn.XLOOKUP(Tableau1[[#This Row],[Rénovation prévue ?]],'Données Giant'!$A$8:$A$21,'Données Giant'!$G$8:$G$21,0)</f>
        <v>0</v>
      </c>
      <c r="V98">
        <f>_xlfn.XLOOKUP(Tableau1[[#This Row],[Rénovation prévue ?]],'Données Giant'!$A$8:$A$21,'Données Giant'!$H$8:$H$21,0)</f>
        <v>0</v>
      </c>
    </row>
    <row r="99" spans="1:22" x14ac:dyDescent="0.25">
      <c r="A99" s="29">
        <f>'Encodage données'!C161</f>
        <v>0</v>
      </c>
      <c r="B99" s="29">
        <f>'Encodage données'!D161</f>
        <v>0</v>
      </c>
      <c r="C99" s="29">
        <f>'Encodage données'!E161</f>
        <v>0</v>
      </c>
      <c r="D99" s="29">
        <f>'Encodage données'!F161</f>
        <v>0</v>
      </c>
      <c r="E99" s="29">
        <f>'Encodage données'!G161</f>
        <v>0</v>
      </c>
      <c r="F99" s="29">
        <f>'Encodage données'!H161</f>
        <v>0</v>
      </c>
      <c r="G99" s="29">
        <f>'Encodage données'!J161</f>
        <v>0</v>
      </c>
      <c r="H99" s="29">
        <f>IF(OR(Tableau1[[#This Row],[Isolation actuelle]]="U connu",Tableau1[[#This Row],[Isolation actuelle]]="U connu (porte et fenêtres)"),Tableau1[[#This Row],[Si U connu de la paroi]],_xlfn.XLOOKUP(Tableau1[[#This Row],[Isolation actuelle]],'Parois types'!$B$9:$B$71,'Parois types'!$C$9:$C$71,0))</f>
        <v>0</v>
      </c>
      <c r="I99" s="29">
        <f>IF(Tableau1[[#This Row],[Rénovation prévue ?]]='Données Giant'!$A$21,Tableau1[[#This Row],[Uactuel (W/m²K)]],'Encodage données'!I161)</f>
        <v>0</v>
      </c>
      <c r="J99">
        <f>_xlfn.XLOOKUP(Tableau1[[#This Row],[Catégorie]],Tableau4[Catégories de parois],Tableau4[ai],0)</f>
        <v>0</v>
      </c>
      <c r="K99">
        <f>Tableau1[[#This Row],[aj]]*Tableau1[[#This Row],[Uactuel (W/m²K)]]*Tableau1[[#This Row],[Surface (m²)]]</f>
        <v>0</v>
      </c>
      <c r="L99">
        <f>Tableau1[[#This Row],[aj]]*Tableau1[[#This Row],[Urénové (W/m²K)]]*Tableau1[[#This Row],[Surface (m²)]]</f>
        <v>0</v>
      </c>
      <c r="M99">
        <f>_xlfn.XLOOKUP(Tableau1[[#This Row],[Isolation actuelle]],'Parois types'!$B$9:$B$71,'Parois types'!$D$9:$D$71,0)</f>
        <v>0</v>
      </c>
      <c r="N99">
        <f>IF(Tableau1[[#This Row],[Rénovation prévue ?]]='Données Giant'!$A$21,Tableau1[[#This Row],[Facteur solaire actuel]],_xlfn.XLOOKUP(Tableau1[[#This Row],[Rénovation prévue ?]],'Données Giant'!$A$8:$A$21,'Données Giant'!$B$8:$B$21,0))</f>
        <v>0</v>
      </c>
      <c r="O99">
        <f>IF(Tableau1[[#This Row],[Catégorie]]=DonnéesAutres!$A$100,235*0.5*Tableau1[[#This Row],[Facteur solaire actuel]]*Tableau1[[#This Row],[Surface (m²)]],0)</f>
        <v>0</v>
      </c>
      <c r="P99" s="71">
        <f>235*0.5*Tableau1[[#This Row],[Facteur Solaire rénové]]*Tableau1[[#This Row],[Surface (m²)]]</f>
        <v>0</v>
      </c>
      <c r="Q99" s="71">
        <f>_xlfn.XLOOKUP(Tableau1[[#This Row],[Rénovation prévue ?]],'Données Giant'!$A$8:$A$21,'Données Giant'!$C$8:$C$21,0)</f>
        <v>0</v>
      </c>
      <c r="R99" s="27">
        <f>_xlfn.XLOOKUP(Tableau1[[#This Row],[Rénovation prévue ?]],'Données Giant'!$A$8:$A$21,'Données Giant'!$D$8:$D$21,0)</f>
        <v>0</v>
      </c>
      <c r="S99">
        <f>_xlfn.XLOOKUP(Tableau1[[#This Row],[Rénovation prévue ?]],'Données Giant'!$A$8:$A$21,'Données Giant'!$E$8:$E$21,0)</f>
        <v>0</v>
      </c>
      <c r="T99">
        <f>_xlfn.XLOOKUP(Tableau1[[#This Row],[Rénovation prévue ?]],'Données Giant'!$A$8:$A$21,'Données Giant'!$F$8:$F$21,0)</f>
        <v>0</v>
      </c>
      <c r="U99">
        <f>_xlfn.XLOOKUP(Tableau1[[#This Row],[Rénovation prévue ?]],'Données Giant'!$A$8:$A$21,'Données Giant'!$G$8:$G$21,0)</f>
        <v>0</v>
      </c>
      <c r="V99">
        <f>_xlfn.XLOOKUP(Tableau1[[#This Row],[Rénovation prévue ?]],'Données Giant'!$A$8:$A$21,'Données Giant'!$H$8:$H$21,0)</f>
        <v>0</v>
      </c>
    </row>
    <row r="100" spans="1:22" x14ac:dyDescent="0.25">
      <c r="A100" s="29">
        <f>'Encodage données'!C162</f>
        <v>0</v>
      </c>
      <c r="B100" s="29">
        <f>'Encodage données'!D162</f>
        <v>0</v>
      </c>
      <c r="C100" s="29">
        <f>'Encodage données'!E162</f>
        <v>0</v>
      </c>
      <c r="D100" s="29">
        <f>'Encodage données'!F162</f>
        <v>0</v>
      </c>
      <c r="E100" s="29">
        <f>'Encodage données'!G162</f>
        <v>0</v>
      </c>
      <c r="F100" s="29">
        <f>'Encodage données'!H162</f>
        <v>0</v>
      </c>
      <c r="G100" s="29">
        <f>'Encodage données'!J162</f>
        <v>0</v>
      </c>
      <c r="H100" s="29">
        <f>IF(OR(Tableau1[[#This Row],[Isolation actuelle]]="U connu",Tableau1[[#This Row],[Isolation actuelle]]="U connu (porte et fenêtres)"),Tableau1[[#This Row],[Si U connu de la paroi]],_xlfn.XLOOKUP(Tableau1[[#This Row],[Isolation actuelle]],'Parois types'!$B$9:$B$71,'Parois types'!$C$9:$C$71,0))</f>
        <v>0</v>
      </c>
      <c r="I100" s="29">
        <f>IF(Tableau1[[#This Row],[Rénovation prévue ?]]='Données Giant'!$A$21,Tableau1[[#This Row],[Uactuel (W/m²K)]],'Encodage données'!I162)</f>
        <v>0</v>
      </c>
      <c r="J100">
        <f>_xlfn.XLOOKUP(Tableau1[[#This Row],[Catégorie]],Tableau4[Catégories de parois],Tableau4[ai],0)</f>
        <v>0</v>
      </c>
      <c r="K100">
        <f>Tableau1[[#This Row],[aj]]*Tableau1[[#This Row],[Uactuel (W/m²K)]]*Tableau1[[#This Row],[Surface (m²)]]</f>
        <v>0</v>
      </c>
      <c r="L100">
        <f>Tableau1[[#This Row],[aj]]*Tableau1[[#This Row],[Urénové (W/m²K)]]*Tableau1[[#This Row],[Surface (m²)]]</f>
        <v>0</v>
      </c>
      <c r="M100">
        <f>_xlfn.XLOOKUP(Tableau1[[#This Row],[Isolation actuelle]],'Parois types'!$B$9:$B$71,'Parois types'!$D$9:$D$71,0)</f>
        <v>0</v>
      </c>
      <c r="N100">
        <f>IF(Tableau1[[#This Row],[Rénovation prévue ?]]='Données Giant'!$A$21,Tableau1[[#This Row],[Facteur solaire actuel]],_xlfn.XLOOKUP(Tableau1[[#This Row],[Rénovation prévue ?]],'Données Giant'!$A$8:$A$21,'Données Giant'!$B$8:$B$21,0))</f>
        <v>0</v>
      </c>
      <c r="O100">
        <f>IF(Tableau1[[#This Row],[Catégorie]]=DonnéesAutres!$A$100,235*0.5*Tableau1[[#This Row],[Facteur solaire actuel]]*Tableau1[[#This Row],[Surface (m²)]],0)</f>
        <v>0</v>
      </c>
      <c r="P100" s="71">
        <f>235*0.5*Tableau1[[#This Row],[Facteur Solaire rénové]]*Tableau1[[#This Row],[Surface (m²)]]</f>
        <v>0</v>
      </c>
      <c r="Q100" s="71">
        <f>_xlfn.XLOOKUP(Tableau1[[#This Row],[Rénovation prévue ?]],'Données Giant'!$A$8:$A$21,'Données Giant'!$C$8:$C$21,0)</f>
        <v>0</v>
      </c>
      <c r="R100" s="27">
        <f>_xlfn.XLOOKUP(Tableau1[[#This Row],[Rénovation prévue ?]],'Données Giant'!$A$8:$A$21,'Données Giant'!$D$8:$D$21,0)</f>
        <v>0</v>
      </c>
      <c r="S100">
        <f>_xlfn.XLOOKUP(Tableau1[[#This Row],[Rénovation prévue ?]],'Données Giant'!$A$8:$A$21,'Données Giant'!$E$8:$E$21,0)</f>
        <v>0</v>
      </c>
      <c r="T100">
        <f>_xlfn.XLOOKUP(Tableau1[[#This Row],[Rénovation prévue ?]],'Données Giant'!$A$8:$A$21,'Données Giant'!$F$8:$F$21,0)</f>
        <v>0</v>
      </c>
      <c r="U100">
        <f>_xlfn.XLOOKUP(Tableau1[[#This Row],[Rénovation prévue ?]],'Données Giant'!$A$8:$A$21,'Données Giant'!$G$8:$G$21,0)</f>
        <v>0</v>
      </c>
      <c r="V100">
        <f>_xlfn.XLOOKUP(Tableau1[[#This Row],[Rénovation prévue ?]],'Données Giant'!$A$8:$A$21,'Données Giant'!$H$8:$H$21,0)</f>
        <v>0</v>
      </c>
    </row>
    <row r="101" spans="1:22" x14ac:dyDescent="0.25">
      <c r="A101" s="29">
        <f>'Encodage données'!C163</f>
        <v>0</v>
      </c>
      <c r="B101" s="29">
        <f>'Encodage données'!D163</f>
        <v>0</v>
      </c>
      <c r="C101" s="29">
        <f>'Encodage données'!E163</f>
        <v>0</v>
      </c>
      <c r="D101" s="29">
        <f>'Encodage données'!F163</f>
        <v>0</v>
      </c>
      <c r="E101" s="29">
        <f>'Encodage données'!G163</f>
        <v>0</v>
      </c>
      <c r="F101" s="29">
        <f>'Encodage données'!H163</f>
        <v>0</v>
      </c>
      <c r="G101" s="29">
        <f>'Encodage données'!J163</f>
        <v>0</v>
      </c>
      <c r="H101" s="29">
        <f>IF(OR(Tableau1[[#This Row],[Isolation actuelle]]="U connu",Tableau1[[#This Row],[Isolation actuelle]]="U connu (porte et fenêtres)"),Tableau1[[#This Row],[Si U connu de la paroi]],_xlfn.XLOOKUP(Tableau1[[#This Row],[Isolation actuelle]],'Parois types'!$B$9:$B$71,'Parois types'!$C$9:$C$71,0))</f>
        <v>0</v>
      </c>
      <c r="I101" s="29">
        <f>IF(Tableau1[[#This Row],[Rénovation prévue ?]]='Données Giant'!$A$21,Tableau1[[#This Row],[Uactuel (W/m²K)]],'Encodage données'!I163)</f>
        <v>0</v>
      </c>
      <c r="J101">
        <f>_xlfn.XLOOKUP(Tableau1[[#This Row],[Catégorie]],Tableau4[Catégories de parois],Tableau4[ai],0)</f>
        <v>0</v>
      </c>
      <c r="K101">
        <f>Tableau1[[#This Row],[aj]]*Tableau1[[#This Row],[Uactuel (W/m²K)]]*Tableau1[[#This Row],[Surface (m²)]]</f>
        <v>0</v>
      </c>
      <c r="L101">
        <f>Tableau1[[#This Row],[aj]]*Tableau1[[#This Row],[Urénové (W/m²K)]]*Tableau1[[#This Row],[Surface (m²)]]</f>
        <v>0</v>
      </c>
      <c r="M101">
        <f>_xlfn.XLOOKUP(Tableau1[[#This Row],[Isolation actuelle]],'Parois types'!$B$9:$B$71,'Parois types'!$D$9:$D$71,0)</f>
        <v>0</v>
      </c>
      <c r="N101">
        <f>IF(Tableau1[[#This Row],[Rénovation prévue ?]]='Données Giant'!$A$21,Tableau1[[#This Row],[Facteur solaire actuel]],_xlfn.XLOOKUP(Tableau1[[#This Row],[Rénovation prévue ?]],'Données Giant'!$A$8:$A$21,'Données Giant'!$B$8:$B$21,0))</f>
        <v>0</v>
      </c>
      <c r="O101">
        <f>IF(Tableau1[[#This Row],[Catégorie]]=DonnéesAutres!$A$100,235*0.5*Tableau1[[#This Row],[Facteur solaire actuel]]*Tableau1[[#This Row],[Surface (m²)]],0)</f>
        <v>0</v>
      </c>
      <c r="P101" s="71">
        <f>235*0.5*Tableau1[[#This Row],[Facteur Solaire rénové]]*Tableau1[[#This Row],[Surface (m²)]]</f>
        <v>0</v>
      </c>
      <c r="Q101" s="71">
        <f>_xlfn.XLOOKUP(Tableau1[[#This Row],[Rénovation prévue ?]],'Données Giant'!$A$8:$A$21,'Données Giant'!$C$8:$C$21,0)</f>
        <v>0</v>
      </c>
      <c r="R101" s="27">
        <f>_xlfn.XLOOKUP(Tableau1[[#This Row],[Rénovation prévue ?]],'Données Giant'!$A$8:$A$21,'Données Giant'!$D$8:$D$21,0)</f>
        <v>0</v>
      </c>
      <c r="S101">
        <f>_xlfn.XLOOKUP(Tableau1[[#This Row],[Rénovation prévue ?]],'Données Giant'!$A$8:$A$21,'Données Giant'!$E$8:$E$21,0)</f>
        <v>0</v>
      </c>
      <c r="T101">
        <f>_xlfn.XLOOKUP(Tableau1[[#This Row],[Rénovation prévue ?]],'Données Giant'!$A$8:$A$21,'Données Giant'!$F$8:$F$21,0)</f>
        <v>0</v>
      </c>
      <c r="U101">
        <f>_xlfn.XLOOKUP(Tableau1[[#This Row],[Rénovation prévue ?]],'Données Giant'!$A$8:$A$21,'Données Giant'!$G$8:$G$21,0)</f>
        <v>0</v>
      </c>
      <c r="V101">
        <f>_xlfn.XLOOKUP(Tableau1[[#This Row],[Rénovation prévue ?]],'Données Giant'!$A$8:$A$21,'Données Giant'!$H$8:$H$21,0)</f>
        <v>0</v>
      </c>
    </row>
    <row r="102" spans="1:22" x14ac:dyDescent="0.25">
      <c r="A102" s="29">
        <f>'Encodage données'!C164</f>
        <v>0</v>
      </c>
      <c r="B102" s="29">
        <f>'Encodage données'!D164</f>
        <v>0</v>
      </c>
      <c r="C102" s="29">
        <f>'Encodage données'!E164</f>
        <v>0</v>
      </c>
      <c r="D102" s="29">
        <f>'Encodage données'!F164</f>
        <v>0</v>
      </c>
      <c r="E102" s="29">
        <f>'Encodage données'!G164</f>
        <v>0</v>
      </c>
      <c r="F102" s="29">
        <f>'Encodage données'!H164</f>
        <v>0</v>
      </c>
      <c r="G102" s="29">
        <f>'Encodage données'!J164</f>
        <v>0</v>
      </c>
      <c r="H102" s="29">
        <f>IF(OR(Tableau1[[#This Row],[Isolation actuelle]]="U connu",Tableau1[[#This Row],[Isolation actuelle]]="U connu (porte et fenêtres)"),Tableau1[[#This Row],[Si U connu de la paroi]],_xlfn.XLOOKUP(Tableau1[[#This Row],[Isolation actuelle]],'Parois types'!$B$9:$B$71,'Parois types'!$C$9:$C$71,0))</f>
        <v>0</v>
      </c>
      <c r="I102" s="29">
        <f>IF(Tableau1[[#This Row],[Rénovation prévue ?]]='Données Giant'!$A$21,Tableau1[[#This Row],[Uactuel (W/m²K)]],'Encodage données'!I164)</f>
        <v>0</v>
      </c>
      <c r="J102">
        <f>_xlfn.XLOOKUP(Tableau1[[#This Row],[Catégorie]],Tableau4[Catégories de parois],Tableau4[ai],0)</f>
        <v>0</v>
      </c>
      <c r="K102">
        <f>Tableau1[[#This Row],[aj]]*Tableau1[[#This Row],[Uactuel (W/m²K)]]*Tableau1[[#This Row],[Surface (m²)]]</f>
        <v>0</v>
      </c>
      <c r="L102">
        <f>Tableau1[[#This Row],[aj]]*Tableau1[[#This Row],[Urénové (W/m²K)]]*Tableau1[[#This Row],[Surface (m²)]]</f>
        <v>0</v>
      </c>
      <c r="M102">
        <f>_xlfn.XLOOKUP(Tableau1[[#This Row],[Isolation actuelle]],'Parois types'!$B$9:$B$71,'Parois types'!$D$9:$D$71,0)</f>
        <v>0</v>
      </c>
      <c r="N102">
        <f>IF(Tableau1[[#This Row],[Rénovation prévue ?]]='Données Giant'!$A$21,Tableau1[[#This Row],[Facteur solaire actuel]],_xlfn.XLOOKUP(Tableau1[[#This Row],[Rénovation prévue ?]],'Données Giant'!$A$8:$A$21,'Données Giant'!$B$8:$B$21,0))</f>
        <v>0</v>
      </c>
      <c r="O102">
        <f>IF(Tableau1[[#This Row],[Catégorie]]=DonnéesAutres!$A$100,235*0.5*Tableau1[[#This Row],[Facteur solaire actuel]]*Tableau1[[#This Row],[Surface (m²)]],0)</f>
        <v>0</v>
      </c>
      <c r="P102" s="71">
        <f>235*0.5*Tableau1[[#This Row],[Facteur Solaire rénové]]*Tableau1[[#This Row],[Surface (m²)]]</f>
        <v>0</v>
      </c>
      <c r="Q102" s="71">
        <f>_xlfn.XLOOKUP(Tableau1[[#This Row],[Rénovation prévue ?]],'Données Giant'!$A$8:$A$21,'Données Giant'!$C$8:$C$21,0)</f>
        <v>0</v>
      </c>
      <c r="R102" s="27">
        <f>_xlfn.XLOOKUP(Tableau1[[#This Row],[Rénovation prévue ?]],'Données Giant'!$A$8:$A$21,'Données Giant'!$D$8:$D$21,0)</f>
        <v>0</v>
      </c>
      <c r="S102">
        <f>_xlfn.XLOOKUP(Tableau1[[#This Row],[Rénovation prévue ?]],'Données Giant'!$A$8:$A$21,'Données Giant'!$E$8:$E$21,0)</f>
        <v>0</v>
      </c>
      <c r="T102">
        <f>_xlfn.XLOOKUP(Tableau1[[#This Row],[Rénovation prévue ?]],'Données Giant'!$A$8:$A$21,'Données Giant'!$F$8:$F$21,0)</f>
        <v>0</v>
      </c>
      <c r="U102">
        <f>_xlfn.XLOOKUP(Tableau1[[#This Row],[Rénovation prévue ?]],'Données Giant'!$A$8:$A$21,'Données Giant'!$G$8:$G$21,0)</f>
        <v>0</v>
      </c>
      <c r="V102">
        <f>_xlfn.XLOOKUP(Tableau1[[#This Row],[Rénovation prévue ?]],'Données Giant'!$A$8:$A$21,'Données Giant'!$H$8:$H$21,0)</f>
        <v>0</v>
      </c>
    </row>
    <row r="103" spans="1:22" x14ac:dyDescent="0.25">
      <c r="A103" s="29">
        <f>'Encodage données'!C165</f>
        <v>0</v>
      </c>
      <c r="B103" s="29">
        <f>'Encodage données'!D165</f>
        <v>0</v>
      </c>
      <c r="C103" s="29">
        <f>'Encodage données'!E165</f>
        <v>0</v>
      </c>
      <c r="D103" s="29">
        <f>'Encodage données'!F165</f>
        <v>0</v>
      </c>
      <c r="E103" s="29">
        <f>'Encodage données'!G165</f>
        <v>0</v>
      </c>
      <c r="F103" s="29">
        <f>'Encodage données'!H165</f>
        <v>0</v>
      </c>
      <c r="G103" s="29">
        <f>'Encodage données'!J165</f>
        <v>0</v>
      </c>
      <c r="H103" s="29">
        <f>IF(OR(Tableau1[[#This Row],[Isolation actuelle]]="U connu",Tableau1[[#This Row],[Isolation actuelle]]="U connu (porte et fenêtres)"),Tableau1[[#This Row],[Si U connu de la paroi]],_xlfn.XLOOKUP(Tableau1[[#This Row],[Isolation actuelle]],'Parois types'!$B$9:$B$71,'Parois types'!$C$9:$C$71,0))</f>
        <v>0</v>
      </c>
      <c r="I103" s="29">
        <f>IF(Tableau1[[#This Row],[Rénovation prévue ?]]='Données Giant'!$A$21,Tableau1[[#This Row],[Uactuel (W/m²K)]],'Encodage données'!I165)</f>
        <v>0</v>
      </c>
      <c r="J103">
        <f>_xlfn.XLOOKUP(Tableau1[[#This Row],[Catégorie]],Tableau4[Catégories de parois],Tableau4[ai],0)</f>
        <v>0</v>
      </c>
      <c r="K103">
        <f>Tableau1[[#This Row],[aj]]*Tableau1[[#This Row],[Uactuel (W/m²K)]]*Tableau1[[#This Row],[Surface (m²)]]</f>
        <v>0</v>
      </c>
      <c r="L103">
        <f>Tableau1[[#This Row],[aj]]*Tableau1[[#This Row],[Urénové (W/m²K)]]*Tableau1[[#This Row],[Surface (m²)]]</f>
        <v>0</v>
      </c>
      <c r="M103">
        <f>_xlfn.XLOOKUP(Tableau1[[#This Row],[Isolation actuelle]],'Parois types'!$B$9:$B$71,'Parois types'!$D$9:$D$71,0)</f>
        <v>0</v>
      </c>
      <c r="N103">
        <f>IF(Tableau1[[#This Row],[Rénovation prévue ?]]='Données Giant'!$A$21,Tableau1[[#This Row],[Facteur solaire actuel]],_xlfn.XLOOKUP(Tableau1[[#This Row],[Rénovation prévue ?]],'Données Giant'!$A$8:$A$21,'Données Giant'!$B$8:$B$21,0))</f>
        <v>0</v>
      </c>
      <c r="O103">
        <f>IF(Tableau1[[#This Row],[Catégorie]]=DonnéesAutres!$A$100,235*0.5*Tableau1[[#This Row],[Facteur solaire actuel]]*Tableau1[[#This Row],[Surface (m²)]],0)</f>
        <v>0</v>
      </c>
      <c r="P103" s="71">
        <f>235*0.5*Tableau1[[#This Row],[Facteur Solaire rénové]]*Tableau1[[#This Row],[Surface (m²)]]</f>
        <v>0</v>
      </c>
      <c r="Q103" s="71">
        <f>_xlfn.XLOOKUP(Tableau1[[#This Row],[Rénovation prévue ?]],'Données Giant'!$A$8:$A$21,'Données Giant'!$C$8:$C$21,0)</f>
        <v>0</v>
      </c>
      <c r="R103" s="27">
        <f>_xlfn.XLOOKUP(Tableau1[[#This Row],[Rénovation prévue ?]],'Données Giant'!$A$8:$A$21,'Données Giant'!$D$8:$D$21,0)</f>
        <v>0</v>
      </c>
      <c r="S103">
        <f>_xlfn.XLOOKUP(Tableau1[[#This Row],[Rénovation prévue ?]],'Données Giant'!$A$8:$A$21,'Données Giant'!$E$8:$E$21,0)</f>
        <v>0</v>
      </c>
      <c r="T103">
        <f>_xlfn.XLOOKUP(Tableau1[[#This Row],[Rénovation prévue ?]],'Données Giant'!$A$8:$A$21,'Données Giant'!$F$8:$F$21,0)</f>
        <v>0</v>
      </c>
      <c r="U103">
        <f>_xlfn.XLOOKUP(Tableau1[[#This Row],[Rénovation prévue ?]],'Données Giant'!$A$8:$A$21,'Données Giant'!$G$8:$G$21,0)</f>
        <v>0</v>
      </c>
      <c r="V103">
        <f>_xlfn.XLOOKUP(Tableau1[[#This Row],[Rénovation prévue ?]],'Données Giant'!$A$8:$A$21,'Données Giant'!$H$8:$H$21,0)</f>
        <v>0</v>
      </c>
    </row>
    <row r="104" spans="1:22" x14ac:dyDescent="0.25">
      <c r="A104" s="29">
        <f>'Encodage données'!C166</f>
        <v>0</v>
      </c>
      <c r="B104" s="29">
        <f>'Encodage données'!D166</f>
        <v>0</v>
      </c>
      <c r="C104" s="29">
        <f>'Encodage données'!E166</f>
        <v>0</v>
      </c>
      <c r="D104" s="29">
        <f>'Encodage données'!F166</f>
        <v>0</v>
      </c>
      <c r="E104" s="29">
        <f>'Encodage données'!G166</f>
        <v>0</v>
      </c>
      <c r="F104" s="29">
        <f>'Encodage données'!H166</f>
        <v>0</v>
      </c>
      <c r="G104" s="29">
        <f>'Encodage données'!J166</f>
        <v>0</v>
      </c>
      <c r="H104" s="29">
        <f>IF(OR(Tableau1[[#This Row],[Isolation actuelle]]="U connu",Tableau1[[#This Row],[Isolation actuelle]]="U connu (porte et fenêtres)"),Tableau1[[#This Row],[Si U connu de la paroi]],_xlfn.XLOOKUP(Tableau1[[#This Row],[Isolation actuelle]],'Parois types'!$B$9:$B$71,'Parois types'!$C$9:$C$71,0))</f>
        <v>0</v>
      </c>
      <c r="I104" s="29">
        <f>IF(Tableau1[[#This Row],[Rénovation prévue ?]]='Données Giant'!$A$21,Tableau1[[#This Row],[Uactuel (W/m²K)]],'Encodage données'!I166)</f>
        <v>0</v>
      </c>
      <c r="J104">
        <f>_xlfn.XLOOKUP(Tableau1[[#This Row],[Catégorie]],Tableau4[Catégories de parois],Tableau4[ai],0)</f>
        <v>0</v>
      </c>
      <c r="K104">
        <f>Tableau1[[#This Row],[aj]]*Tableau1[[#This Row],[Uactuel (W/m²K)]]*Tableau1[[#This Row],[Surface (m²)]]</f>
        <v>0</v>
      </c>
      <c r="L104">
        <f>Tableau1[[#This Row],[aj]]*Tableau1[[#This Row],[Urénové (W/m²K)]]*Tableau1[[#This Row],[Surface (m²)]]</f>
        <v>0</v>
      </c>
      <c r="M104">
        <f>_xlfn.XLOOKUP(Tableau1[[#This Row],[Isolation actuelle]],'Parois types'!$B$9:$B$71,'Parois types'!$D$9:$D$71,0)</f>
        <v>0</v>
      </c>
      <c r="N104">
        <f>IF(Tableau1[[#This Row],[Rénovation prévue ?]]='Données Giant'!$A$21,Tableau1[[#This Row],[Facteur solaire actuel]],_xlfn.XLOOKUP(Tableau1[[#This Row],[Rénovation prévue ?]],'Données Giant'!$A$8:$A$21,'Données Giant'!$B$8:$B$21,0))</f>
        <v>0</v>
      </c>
      <c r="O104">
        <f>IF(Tableau1[[#This Row],[Catégorie]]=DonnéesAutres!$A$100,235*0.5*Tableau1[[#This Row],[Facteur solaire actuel]]*Tableau1[[#This Row],[Surface (m²)]],0)</f>
        <v>0</v>
      </c>
      <c r="P104" s="71">
        <f>235*0.5*Tableau1[[#This Row],[Facteur Solaire rénové]]*Tableau1[[#This Row],[Surface (m²)]]</f>
        <v>0</v>
      </c>
      <c r="Q104" s="71">
        <f>_xlfn.XLOOKUP(Tableau1[[#This Row],[Rénovation prévue ?]],'Données Giant'!$A$8:$A$21,'Données Giant'!$C$8:$C$21,0)</f>
        <v>0</v>
      </c>
      <c r="R104" s="27">
        <f>_xlfn.XLOOKUP(Tableau1[[#This Row],[Rénovation prévue ?]],'Données Giant'!$A$8:$A$21,'Données Giant'!$D$8:$D$21,0)</f>
        <v>0</v>
      </c>
      <c r="S104">
        <f>_xlfn.XLOOKUP(Tableau1[[#This Row],[Rénovation prévue ?]],'Données Giant'!$A$8:$A$21,'Données Giant'!$E$8:$E$21,0)</f>
        <v>0</v>
      </c>
      <c r="T104">
        <f>_xlfn.XLOOKUP(Tableau1[[#This Row],[Rénovation prévue ?]],'Données Giant'!$A$8:$A$21,'Données Giant'!$F$8:$F$21,0)</f>
        <v>0</v>
      </c>
      <c r="U104">
        <f>_xlfn.XLOOKUP(Tableau1[[#This Row],[Rénovation prévue ?]],'Données Giant'!$A$8:$A$21,'Données Giant'!$G$8:$G$21,0)</f>
        <v>0</v>
      </c>
      <c r="V104">
        <f>_xlfn.XLOOKUP(Tableau1[[#This Row],[Rénovation prévue ?]],'Données Giant'!$A$8:$A$21,'Données Giant'!$H$8:$H$21,0)</f>
        <v>0</v>
      </c>
    </row>
    <row r="105" spans="1:22" x14ac:dyDescent="0.25">
      <c r="A105" s="29">
        <f>'Encodage données'!C167</f>
        <v>0</v>
      </c>
      <c r="B105" s="29">
        <f>'Encodage données'!D167</f>
        <v>0</v>
      </c>
      <c r="C105" s="29">
        <f>'Encodage données'!E167</f>
        <v>0</v>
      </c>
      <c r="D105" s="29">
        <f>'Encodage données'!F167</f>
        <v>0</v>
      </c>
      <c r="E105" s="29">
        <f>'Encodage données'!G167</f>
        <v>0</v>
      </c>
      <c r="F105" s="29">
        <f>'Encodage données'!H167</f>
        <v>0</v>
      </c>
      <c r="G105" s="29">
        <f>'Encodage données'!J167</f>
        <v>0</v>
      </c>
      <c r="H105" s="29">
        <f>IF(OR(Tableau1[[#This Row],[Isolation actuelle]]="U connu",Tableau1[[#This Row],[Isolation actuelle]]="U connu (porte et fenêtres)"),Tableau1[[#This Row],[Si U connu de la paroi]],_xlfn.XLOOKUP(Tableau1[[#This Row],[Isolation actuelle]],'Parois types'!$B$9:$B$71,'Parois types'!$C$9:$C$71,0))</f>
        <v>0</v>
      </c>
      <c r="I105" s="29">
        <f>IF(Tableau1[[#This Row],[Rénovation prévue ?]]='Données Giant'!$A$21,Tableau1[[#This Row],[Uactuel (W/m²K)]],'Encodage données'!I167)</f>
        <v>0</v>
      </c>
      <c r="J105">
        <f>_xlfn.XLOOKUP(Tableau1[[#This Row],[Catégorie]],Tableau4[Catégories de parois],Tableau4[ai],0)</f>
        <v>0</v>
      </c>
      <c r="K105">
        <f>Tableau1[[#This Row],[aj]]*Tableau1[[#This Row],[Uactuel (W/m²K)]]*Tableau1[[#This Row],[Surface (m²)]]</f>
        <v>0</v>
      </c>
      <c r="L105">
        <f>Tableau1[[#This Row],[aj]]*Tableau1[[#This Row],[Urénové (W/m²K)]]*Tableau1[[#This Row],[Surface (m²)]]</f>
        <v>0</v>
      </c>
      <c r="M105">
        <f>_xlfn.XLOOKUP(Tableau1[[#This Row],[Isolation actuelle]],'Parois types'!$B$9:$B$71,'Parois types'!$D$9:$D$71,0)</f>
        <v>0</v>
      </c>
      <c r="N105">
        <f>IF(Tableau1[[#This Row],[Rénovation prévue ?]]='Données Giant'!$A$21,Tableau1[[#This Row],[Facteur solaire actuel]],_xlfn.XLOOKUP(Tableau1[[#This Row],[Rénovation prévue ?]],'Données Giant'!$A$8:$A$21,'Données Giant'!$B$8:$B$21,0))</f>
        <v>0</v>
      </c>
      <c r="O105">
        <f>IF(Tableau1[[#This Row],[Catégorie]]=DonnéesAutres!$A$100,235*0.5*Tableau1[[#This Row],[Facteur solaire actuel]]*Tableau1[[#This Row],[Surface (m²)]],0)</f>
        <v>0</v>
      </c>
      <c r="P105" s="71">
        <f>235*0.5*Tableau1[[#This Row],[Facteur Solaire rénové]]*Tableau1[[#This Row],[Surface (m²)]]</f>
        <v>0</v>
      </c>
      <c r="Q105" s="71">
        <f>_xlfn.XLOOKUP(Tableau1[[#This Row],[Rénovation prévue ?]],'Données Giant'!$A$8:$A$21,'Données Giant'!$C$8:$C$21,0)</f>
        <v>0</v>
      </c>
      <c r="R105" s="27">
        <f>_xlfn.XLOOKUP(Tableau1[[#This Row],[Rénovation prévue ?]],'Données Giant'!$A$8:$A$21,'Données Giant'!$D$8:$D$21,0)</f>
        <v>0</v>
      </c>
      <c r="S105">
        <f>_xlfn.XLOOKUP(Tableau1[[#This Row],[Rénovation prévue ?]],'Données Giant'!$A$8:$A$21,'Données Giant'!$E$8:$E$21,0)</f>
        <v>0</v>
      </c>
      <c r="T105">
        <f>_xlfn.XLOOKUP(Tableau1[[#This Row],[Rénovation prévue ?]],'Données Giant'!$A$8:$A$21,'Données Giant'!$F$8:$F$21,0)</f>
        <v>0</v>
      </c>
      <c r="U105">
        <f>_xlfn.XLOOKUP(Tableau1[[#This Row],[Rénovation prévue ?]],'Données Giant'!$A$8:$A$21,'Données Giant'!$G$8:$G$21,0)</f>
        <v>0</v>
      </c>
      <c r="V105">
        <f>_xlfn.XLOOKUP(Tableau1[[#This Row],[Rénovation prévue ?]],'Données Giant'!$A$8:$A$21,'Données Giant'!$H$8:$H$21,0)</f>
        <v>0</v>
      </c>
    </row>
    <row r="106" spans="1:22" x14ac:dyDescent="0.25">
      <c r="A106" s="29">
        <f>'Encodage données'!C168</f>
        <v>0</v>
      </c>
      <c r="B106" s="29">
        <f>'Encodage données'!D168</f>
        <v>0</v>
      </c>
      <c r="C106" s="29">
        <f>'Encodage données'!E168</f>
        <v>0</v>
      </c>
      <c r="D106" s="29">
        <f>'Encodage données'!F168</f>
        <v>0</v>
      </c>
      <c r="E106" s="29">
        <f>'Encodage données'!G168</f>
        <v>0</v>
      </c>
      <c r="F106" s="29">
        <f>'Encodage données'!H168</f>
        <v>0</v>
      </c>
      <c r="G106" s="29">
        <f>'Encodage données'!J168</f>
        <v>0</v>
      </c>
      <c r="H106" s="29">
        <f>IF(OR(Tableau1[[#This Row],[Isolation actuelle]]="U connu",Tableau1[[#This Row],[Isolation actuelle]]="U connu (porte et fenêtres)"),Tableau1[[#This Row],[Si U connu de la paroi]],_xlfn.XLOOKUP(Tableau1[[#This Row],[Isolation actuelle]],'Parois types'!$B$9:$B$71,'Parois types'!$C$9:$C$71,0))</f>
        <v>0</v>
      </c>
      <c r="I106" s="29">
        <f>IF(Tableau1[[#This Row],[Rénovation prévue ?]]='Données Giant'!$A$21,Tableau1[[#This Row],[Uactuel (W/m²K)]],'Encodage données'!I168)</f>
        <v>0</v>
      </c>
      <c r="J106">
        <f>_xlfn.XLOOKUP(Tableau1[[#This Row],[Catégorie]],Tableau4[Catégories de parois],Tableau4[ai],0)</f>
        <v>0</v>
      </c>
      <c r="K106">
        <f>Tableau1[[#This Row],[aj]]*Tableau1[[#This Row],[Uactuel (W/m²K)]]*Tableau1[[#This Row],[Surface (m²)]]</f>
        <v>0</v>
      </c>
      <c r="L106">
        <f>Tableau1[[#This Row],[aj]]*Tableau1[[#This Row],[Urénové (W/m²K)]]*Tableau1[[#This Row],[Surface (m²)]]</f>
        <v>0</v>
      </c>
      <c r="M106">
        <f>_xlfn.XLOOKUP(Tableau1[[#This Row],[Isolation actuelle]],'Parois types'!$B$9:$B$71,'Parois types'!$D$9:$D$71,0)</f>
        <v>0</v>
      </c>
      <c r="N106">
        <f>IF(Tableau1[[#This Row],[Rénovation prévue ?]]='Données Giant'!$A$21,Tableau1[[#This Row],[Facteur solaire actuel]],_xlfn.XLOOKUP(Tableau1[[#This Row],[Rénovation prévue ?]],'Données Giant'!$A$8:$A$21,'Données Giant'!$B$8:$B$21,0))</f>
        <v>0</v>
      </c>
      <c r="O106">
        <f>IF(Tableau1[[#This Row],[Catégorie]]=DonnéesAutres!$A$100,235*0.5*Tableau1[[#This Row],[Facteur solaire actuel]]*Tableau1[[#This Row],[Surface (m²)]],0)</f>
        <v>0</v>
      </c>
      <c r="P106" s="71">
        <f>235*0.5*Tableau1[[#This Row],[Facteur Solaire rénové]]*Tableau1[[#This Row],[Surface (m²)]]</f>
        <v>0</v>
      </c>
      <c r="Q106" s="71">
        <f>_xlfn.XLOOKUP(Tableau1[[#This Row],[Rénovation prévue ?]],'Données Giant'!$A$8:$A$21,'Données Giant'!$C$8:$C$21,0)</f>
        <v>0</v>
      </c>
      <c r="R106" s="27">
        <f>_xlfn.XLOOKUP(Tableau1[[#This Row],[Rénovation prévue ?]],'Données Giant'!$A$8:$A$21,'Données Giant'!$D$8:$D$21,0)</f>
        <v>0</v>
      </c>
      <c r="S106">
        <f>_xlfn.XLOOKUP(Tableau1[[#This Row],[Rénovation prévue ?]],'Données Giant'!$A$8:$A$21,'Données Giant'!$E$8:$E$21,0)</f>
        <v>0</v>
      </c>
      <c r="T106">
        <f>_xlfn.XLOOKUP(Tableau1[[#This Row],[Rénovation prévue ?]],'Données Giant'!$A$8:$A$21,'Données Giant'!$F$8:$F$21,0)</f>
        <v>0</v>
      </c>
      <c r="U106">
        <f>_xlfn.XLOOKUP(Tableau1[[#This Row],[Rénovation prévue ?]],'Données Giant'!$A$8:$A$21,'Données Giant'!$G$8:$G$21,0)</f>
        <v>0</v>
      </c>
      <c r="V106">
        <f>_xlfn.XLOOKUP(Tableau1[[#This Row],[Rénovation prévue ?]],'Données Giant'!$A$8:$A$21,'Données Giant'!$H$8:$H$21,0)</f>
        <v>0</v>
      </c>
    </row>
    <row r="107" spans="1:22" x14ac:dyDescent="0.25">
      <c r="A107" s="29">
        <f>'Encodage données'!C169</f>
        <v>0</v>
      </c>
      <c r="B107" s="29">
        <f>'Encodage données'!D169</f>
        <v>0</v>
      </c>
      <c r="C107" s="29">
        <f>'Encodage données'!E169</f>
        <v>0</v>
      </c>
      <c r="D107" s="29">
        <f>'Encodage données'!F169</f>
        <v>0</v>
      </c>
      <c r="E107" s="29">
        <f>'Encodage données'!G169</f>
        <v>0</v>
      </c>
      <c r="F107" s="29">
        <f>'Encodage données'!H169</f>
        <v>0</v>
      </c>
      <c r="G107" s="29">
        <f>'Encodage données'!J169</f>
        <v>0</v>
      </c>
      <c r="H107" s="29">
        <f>IF(OR(Tableau1[[#This Row],[Isolation actuelle]]="U connu",Tableau1[[#This Row],[Isolation actuelle]]="U connu (porte et fenêtres)"),Tableau1[[#This Row],[Si U connu de la paroi]],_xlfn.XLOOKUP(Tableau1[[#This Row],[Isolation actuelle]],'Parois types'!$B$9:$B$71,'Parois types'!$C$9:$C$71,0))</f>
        <v>0</v>
      </c>
      <c r="I107" s="29">
        <f>IF(Tableau1[[#This Row],[Rénovation prévue ?]]='Données Giant'!$A$21,Tableau1[[#This Row],[Uactuel (W/m²K)]],'Encodage données'!I169)</f>
        <v>0</v>
      </c>
      <c r="J107">
        <f>_xlfn.XLOOKUP(Tableau1[[#This Row],[Catégorie]],Tableau4[Catégories de parois],Tableau4[ai],0)</f>
        <v>0</v>
      </c>
      <c r="K107">
        <f>Tableau1[[#This Row],[aj]]*Tableau1[[#This Row],[Uactuel (W/m²K)]]*Tableau1[[#This Row],[Surface (m²)]]</f>
        <v>0</v>
      </c>
      <c r="L107">
        <f>Tableau1[[#This Row],[aj]]*Tableau1[[#This Row],[Urénové (W/m²K)]]*Tableau1[[#This Row],[Surface (m²)]]</f>
        <v>0</v>
      </c>
      <c r="M107">
        <f>_xlfn.XLOOKUP(Tableau1[[#This Row],[Isolation actuelle]],'Parois types'!$B$9:$B$71,'Parois types'!$D$9:$D$71,0)</f>
        <v>0</v>
      </c>
      <c r="N107">
        <f>IF(Tableau1[[#This Row],[Rénovation prévue ?]]='Données Giant'!$A$21,Tableau1[[#This Row],[Facteur solaire actuel]],_xlfn.XLOOKUP(Tableau1[[#This Row],[Rénovation prévue ?]],'Données Giant'!$A$8:$A$21,'Données Giant'!$B$8:$B$21,0))</f>
        <v>0</v>
      </c>
      <c r="O107">
        <f>IF(Tableau1[[#This Row],[Catégorie]]=DonnéesAutres!$A$100,235*0.5*Tableau1[[#This Row],[Facteur solaire actuel]]*Tableau1[[#This Row],[Surface (m²)]],0)</f>
        <v>0</v>
      </c>
      <c r="P107" s="71">
        <f>235*0.5*Tableau1[[#This Row],[Facteur Solaire rénové]]*Tableau1[[#This Row],[Surface (m²)]]</f>
        <v>0</v>
      </c>
      <c r="Q107" s="71">
        <f>_xlfn.XLOOKUP(Tableau1[[#This Row],[Rénovation prévue ?]],'Données Giant'!$A$8:$A$21,'Données Giant'!$C$8:$C$21,0)</f>
        <v>0</v>
      </c>
      <c r="R107" s="27">
        <f>_xlfn.XLOOKUP(Tableau1[[#This Row],[Rénovation prévue ?]],'Données Giant'!$A$8:$A$21,'Données Giant'!$D$8:$D$21,0)</f>
        <v>0</v>
      </c>
      <c r="S107">
        <f>_xlfn.XLOOKUP(Tableau1[[#This Row],[Rénovation prévue ?]],'Données Giant'!$A$8:$A$21,'Données Giant'!$E$8:$E$21,0)</f>
        <v>0</v>
      </c>
      <c r="T107">
        <f>_xlfn.XLOOKUP(Tableau1[[#This Row],[Rénovation prévue ?]],'Données Giant'!$A$8:$A$21,'Données Giant'!$F$8:$F$21,0)</f>
        <v>0</v>
      </c>
      <c r="U107">
        <f>_xlfn.XLOOKUP(Tableau1[[#This Row],[Rénovation prévue ?]],'Données Giant'!$A$8:$A$21,'Données Giant'!$G$8:$G$21,0)</f>
        <v>0</v>
      </c>
      <c r="V107">
        <f>_xlfn.XLOOKUP(Tableau1[[#This Row],[Rénovation prévue ?]],'Données Giant'!$A$8:$A$21,'Données Giant'!$H$8:$H$21,0)</f>
        <v>0</v>
      </c>
    </row>
    <row r="108" spans="1:22" x14ac:dyDescent="0.25">
      <c r="A108" s="29">
        <f>'Encodage données'!C170</f>
        <v>0</v>
      </c>
      <c r="B108" s="29">
        <f>'Encodage données'!D170</f>
        <v>0</v>
      </c>
      <c r="C108" s="29">
        <f>'Encodage données'!E170</f>
        <v>0</v>
      </c>
      <c r="D108" s="29">
        <f>'Encodage données'!F170</f>
        <v>0</v>
      </c>
      <c r="E108" s="29">
        <f>'Encodage données'!G170</f>
        <v>0</v>
      </c>
      <c r="F108" s="29">
        <f>'Encodage données'!H170</f>
        <v>0</v>
      </c>
      <c r="G108" s="29">
        <f>'Encodage données'!J170</f>
        <v>0</v>
      </c>
      <c r="H108" s="29">
        <f>IF(OR(Tableau1[[#This Row],[Isolation actuelle]]="U connu",Tableau1[[#This Row],[Isolation actuelle]]="U connu (porte et fenêtres)"),Tableau1[[#This Row],[Si U connu de la paroi]],_xlfn.XLOOKUP(Tableau1[[#This Row],[Isolation actuelle]],'Parois types'!$B$9:$B$71,'Parois types'!$C$9:$C$71,0))</f>
        <v>0</v>
      </c>
      <c r="I108" s="29">
        <f>IF(Tableau1[[#This Row],[Rénovation prévue ?]]='Données Giant'!$A$21,Tableau1[[#This Row],[Uactuel (W/m²K)]],'Encodage données'!I170)</f>
        <v>0</v>
      </c>
      <c r="J108">
        <f>_xlfn.XLOOKUP(Tableau1[[#This Row],[Catégorie]],Tableau4[Catégories de parois],Tableau4[ai],0)</f>
        <v>0</v>
      </c>
      <c r="K108">
        <f>Tableau1[[#This Row],[aj]]*Tableau1[[#This Row],[Uactuel (W/m²K)]]*Tableau1[[#This Row],[Surface (m²)]]</f>
        <v>0</v>
      </c>
      <c r="L108">
        <f>Tableau1[[#This Row],[aj]]*Tableau1[[#This Row],[Urénové (W/m²K)]]*Tableau1[[#This Row],[Surface (m²)]]</f>
        <v>0</v>
      </c>
      <c r="M108">
        <f>_xlfn.XLOOKUP(Tableau1[[#This Row],[Isolation actuelle]],'Parois types'!$B$9:$B$71,'Parois types'!$D$9:$D$71,0)</f>
        <v>0</v>
      </c>
      <c r="N108">
        <f>IF(Tableau1[[#This Row],[Rénovation prévue ?]]='Données Giant'!$A$21,Tableau1[[#This Row],[Facteur solaire actuel]],_xlfn.XLOOKUP(Tableau1[[#This Row],[Rénovation prévue ?]],'Données Giant'!$A$8:$A$21,'Données Giant'!$B$8:$B$21,0))</f>
        <v>0</v>
      </c>
      <c r="O108">
        <f>IF(Tableau1[[#This Row],[Catégorie]]=DonnéesAutres!$A$100,235*0.5*Tableau1[[#This Row],[Facteur solaire actuel]]*Tableau1[[#This Row],[Surface (m²)]],0)</f>
        <v>0</v>
      </c>
      <c r="P108" s="71">
        <f>235*0.5*Tableau1[[#This Row],[Facteur Solaire rénové]]*Tableau1[[#This Row],[Surface (m²)]]</f>
        <v>0</v>
      </c>
      <c r="Q108" s="71">
        <f>_xlfn.XLOOKUP(Tableau1[[#This Row],[Rénovation prévue ?]],'Données Giant'!$A$8:$A$21,'Données Giant'!$C$8:$C$21,0)</f>
        <v>0</v>
      </c>
      <c r="R108" s="27">
        <f>_xlfn.XLOOKUP(Tableau1[[#This Row],[Rénovation prévue ?]],'Données Giant'!$A$8:$A$21,'Données Giant'!$D$8:$D$21,0)</f>
        <v>0</v>
      </c>
      <c r="S108">
        <f>_xlfn.XLOOKUP(Tableau1[[#This Row],[Rénovation prévue ?]],'Données Giant'!$A$8:$A$21,'Données Giant'!$E$8:$E$21,0)</f>
        <v>0</v>
      </c>
      <c r="T108">
        <f>_xlfn.XLOOKUP(Tableau1[[#This Row],[Rénovation prévue ?]],'Données Giant'!$A$8:$A$21,'Données Giant'!$F$8:$F$21,0)</f>
        <v>0</v>
      </c>
      <c r="U108">
        <f>_xlfn.XLOOKUP(Tableau1[[#This Row],[Rénovation prévue ?]],'Données Giant'!$A$8:$A$21,'Données Giant'!$G$8:$G$21,0)</f>
        <v>0</v>
      </c>
      <c r="V108">
        <f>_xlfn.XLOOKUP(Tableau1[[#This Row],[Rénovation prévue ?]],'Données Giant'!$A$8:$A$21,'Données Giant'!$H$8:$H$21,0)</f>
        <v>0</v>
      </c>
    </row>
    <row r="109" spans="1:22" x14ac:dyDescent="0.25">
      <c r="A109" s="29">
        <f>'Encodage données'!C171</f>
        <v>0</v>
      </c>
      <c r="B109" s="29">
        <f>'Encodage données'!D171</f>
        <v>0</v>
      </c>
      <c r="C109" s="29">
        <f>'Encodage données'!E171</f>
        <v>0</v>
      </c>
      <c r="D109" s="29">
        <f>'Encodage données'!F171</f>
        <v>0</v>
      </c>
      <c r="E109" s="29">
        <f>'Encodage données'!G171</f>
        <v>0</v>
      </c>
      <c r="F109" s="29">
        <f>'Encodage données'!H171</f>
        <v>0</v>
      </c>
      <c r="G109" s="29">
        <f>'Encodage données'!J171</f>
        <v>0</v>
      </c>
      <c r="H109" s="29">
        <f>IF(OR(Tableau1[[#This Row],[Isolation actuelle]]="U connu",Tableau1[[#This Row],[Isolation actuelle]]="U connu (porte et fenêtres)"),Tableau1[[#This Row],[Si U connu de la paroi]],_xlfn.XLOOKUP(Tableau1[[#This Row],[Isolation actuelle]],'Parois types'!$B$9:$B$71,'Parois types'!$C$9:$C$71,0))</f>
        <v>0</v>
      </c>
      <c r="I109" s="29">
        <f>IF(Tableau1[[#This Row],[Rénovation prévue ?]]='Données Giant'!$A$21,Tableau1[[#This Row],[Uactuel (W/m²K)]],'Encodage données'!I171)</f>
        <v>0</v>
      </c>
      <c r="J109">
        <f>_xlfn.XLOOKUP(Tableau1[[#This Row],[Catégorie]],Tableau4[Catégories de parois],Tableau4[ai],0)</f>
        <v>0</v>
      </c>
      <c r="K109">
        <f>Tableau1[[#This Row],[aj]]*Tableau1[[#This Row],[Uactuel (W/m²K)]]*Tableau1[[#This Row],[Surface (m²)]]</f>
        <v>0</v>
      </c>
      <c r="L109">
        <f>Tableau1[[#This Row],[aj]]*Tableau1[[#This Row],[Urénové (W/m²K)]]*Tableau1[[#This Row],[Surface (m²)]]</f>
        <v>0</v>
      </c>
      <c r="M109">
        <f>_xlfn.XLOOKUP(Tableau1[[#This Row],[Isolation actuelle]],'Parois types'!$B$9:$B$71,'Parois types'!$D$9:$D$71,0)</f>
        <v>0</v>
      </c>
      <c r="N109">
        <f>IF(Tableau1[[#This Row],[Rénovation prévue ?]]='Données Giant'!$A$21,Tableau1[[#This Row],[Facteur solaire actuel]],_xlfn.XLOOKUP(Tableau1[[#This Row],[Rénovation prévue ?]],'Données Giant'!$A$8:$A$21,'Données Giant'!$B$8:$B$21,0))</f>
        <v>0</v>
      </c>
      <c r="O109">
        <f>IF(Tableau1[[#This Row],[Catégorie]]=DonnéesAutres!$A$100,235*0.5*Tableau1[[#This Row],[Facteur solaire actuel]]*Tableau1[[#This Row],[Surface (m²)]],0)</f>
        <v>0</v>
      </c>
      <c r="P109" s="71">
        <f>235*0.5*Tableau1[[#This Row],[Facteur Solaire rénové]]*Tableau1[[#This Row],[Surface (m²)]]</f>
        <v>0</v>
      </c>
      <c r="Q109" s="71">
        <f>_xlfn.XLOOKUP(Tableau1[[#This Row],[Rénovation prévue ?]],'Données Giant'!$A$8:$A$21,'Données Giant'!$C$8:$C$21,0)</f>
        <v>0</v>
      </c>
      <c r="R109" s="27">
        <f>_xlfn.XLOOKUP(Tableau1[[#This Row],[Rénovation prévue ?]],'Données Giant'!$A$8:$A$21,'Données Giant'!$D$8:$D$21,0)</f>
        <v>0</v>
      </c>
      <c r="S109">
        <f>_xlfn.XLOOKUP(Tableau1[[#This Row],[Rénovation prévue ?]],'Données Giant'!$A$8:$A$21,'Données Giant'!$E$8:$E$21,0)</f>
        <v>0</v>
      </c>
      <c r="T109">
        <f>_xlfn.XLOOKUP(Tableau1[[#This Row],[Rénovation prévue ?]],'Données Giant'!$A$8:$A$21,'Données Giant'!$F$8:$F$21,0)</f>
        <v>0</v>
      </c>
      <c r="U109">
        <f>_xlfn.XLOOKUP(Tableau1[[#This Row],[Rénovation prévue ?]],'Données Giant'!$A$8:$A$21,'Données Giant'!$G$8:$G$21,0)</f>
        <v>0</v>
      </c>
      <c r="V109">
        <f>_xlfn.XLOOKUP(Tableau1[[#This Row],[Rénovation prévue ?]],'Données Giant'!$A$8:$A$21,'Données Giant'!$H$8:$H$21,0)</f>
        <v>0</v>
      </c>
    </row>
    <row r="110" spans="1:22" x14ac:dyDescent="0.25">
      <c r="A110" s="29">
        <f>'Encodage données'!C172</f>
        <v>0</v>
      </c>
      <c r="B110" s="29">
        <f>'Encodage données'!D172</f>
        <v>0</v>
      </c>
      <c r="C110" s="29">
        <f>'Encodage données'!E172</f>
        <v>0</v>
      </c>
      <c r="D110" s="29">
        <f>'Encodage données'!F172</f>
        <v>0</v>
      </c>
      <c r="E110" s="29">
        <f>'Encodage données'!G172</f>
        <v>0</v>
      </c>
      <c r="F110" s="29">
        <f>'Encodage données'!H172</f>
        <v>0</v>
      </c>
      <c r="G110" s="29">
        <f>'Encodage données'!J172</f>
        <v>0</v>
      </c>
      <c r="H110" s="29">
        <f>IF(OR(Tableau1[[#This Row],[Isolation actuelle]]="U connu",Tableau1[[#This Row],[Isolation actuelle]]="U connu (porte et fenêtres)"),Tableau1[[#This Row],[Si U connu de la paroi]],_xlfn.XLOOKUP(Tableau1[[#This Row],[Isolation actuelle]],'Parois types'!$B$9:$B$71,'Parois types'!$C$9:$C$71,0))</f>
        <v>0</v>
      </c>
      <c r="I110" s="29">
        <f>IF(Tableau1[[#This Row],[Rénovation prévue ?]]='Données Giant'!$A$21,Tableau1[[#This Row],[Uactuel (W/m²K)]],'Encodage données'!I172)</f>
        <v>0</v>
      </c>
      <c r="J110">
        <f>_xlfn.XLOOKUP(Tableau1[[#This Row],[Catégorie]],Tableau4[Catégories de parois],Tableau4[ai],0)</f>
        <v>0</v>
      </c>
      <c r="K110">
        <f>Tableau1[[#This Row],[aj]]*Tableau1[[#This Row],[Uactuel (W/m²K)]]*Tableau1[[#This Row],[Surface (m²)]]</f>
        <v>0</v>
      </c>
      <c r="L110">
        <f>Tableau1[[#This Row],[aj]]*Tableau1[[#This Row],[Urénové (W/m²K)]]*Tableau1[[#This Row],[Surface (m²)]]</f>
        <v>0</v>
      </c>
      <c r="M110">
        <f>_xlfn.XLOOKUP(Tableau1[[#This Row],[Isolation actuelle]],'Parois types'!$B$9:$B$71,'Parois types'!$D$9:$D$71,0)</f>
        <v>0</v>
      </c>
      <c r="N110">
        <f>IF(Tableau1[[#This Row],[Rénovation prévue ?]]='Données Giant'!$A$21,Tableau1[[#This Row],[Facteur solaire actuel]],_xlfn.XLOOKUP(Tableau1[[#This Row],[Rénovation prévue ?]],'Données Giant'!$A$8:$A$21,'Données Giant'!$B$8:$B$21,0))</f>
        <v>0</v>
      </c>
      <c r="O110">
        <f>IF(Tableau1[[#This Row],[Catégorie]]=DonnéesAutres!$A$100,235*0.5*Tableau1[[#This Row],[Facteur solaire actuel]]*Tableau1[[#This Row],[Surface (m²)]],0)</f>
        <v>0</v>
      </c>
      <c r="P110" s="71">
        <f>235*0.5*Tableau1[[#This Row],[Facteur Solaire rénové]]*Tableau1[[#This Row],[Surface (m²)]]</f>
        <v>0</v>
      </c>
      <c r="Q110" s="71">
        <f>_xlfn.XLOOKUP(Tableau1[[#This Row],[Rénovation prévue ?]],'Données Giant'!$A$8:$A$21,'Données Giant'!$C$8:$C$21,0)</f>
        <v>0</v>
      </c>
      <c r="R110" s="27">
        <f>_xlfn.XLOOKUP(Tableau1[[#This Row],[Rénovation prévue ?]],'Données Giant'!$A$8:$A$21,'Données Giant'!$D$8:$D$21,0)</f>
        <v>0</v>
      </c>
      <c r="S110">
        <f>_xlfn.XLOOKUP(Tableau1[[#This Row],[Rénovation prévue ?]],'Données Giant'!$A$8:$A$21,'Données Giant'!$E$8:$E$21,0)</f>
        <v>0</v>
      </c>
      <c r="T110">
        <f>_xlfn.XLOOKUP(Tableau1[[#This Row],[Rénovation prévue ?]],'Données Giant'!$A$8:$A$21,'Données Giant'!$F$8:$F$21,0)</f>
        <v>0</v>
      </c>
      <c r="U110">
        <f>_xlfn.XLOOKUP(Tableau1[[#This Row],[Rénovation prévue ?]],'Données Giant'!$A$8:$A$21,'Données Giant'!$G$8:$G$21,0)</f>
        <v>0</v>
      </c>
      <c r="V110">
        <f>_xlfn.XLOOKUP(Tableau1[[#This Row],[Rénovation prévue ?]],'Données Giant'!$A$8:$A$21,'Données Giant'!$H$8:$H$21,0)</f>
        <v>0</v>
      </c>
    </row>
    <row r="111" spans="1:22" x14ac:dyDescent="0.25">
      <c r="A111" s="29">
        <f>'Encodage données'!C173</f>
        <v>0</v>
      </c>
      <c r="B111" s="29">
        <f>'Encodage données'!D173</f>
        <v>0</v>
      </c>
      <c r="C111" s="29">
        <f>'Encodage données'!E173</f>
        <v>0</v>
      </c>
      <c r="D111" s="29">
        <f>'Encodage données'!F173</f>
        <v>0</v>
      </c>
      <c r="E111" s="29">
        <f>'Encodage données'!G173</f>
        <v>0</v>
      </c>
      <c r="F111" s="29">
        <f>'Encodage données'!H173</f>
        <v>0</v>
      </c>
      <c r="G111" s="29">
        <f>'Encodage données'!J173</f>
        <v>0</v>
      </c>
      <c r="H111" s="29">
        <f>IF(OR(Tableau1[[#This Row],[Isolation actuelle]]="U connu",Tableau1[[#This Row],[Isolation actuelle]]="U connu (porte et fenêtres)"),Tableau1[[#This Row],[Si U connu de la paroi]],_xlfn.XLOOKUP(Tableau1[[#This Row],[Isolation actuelle]],'Parois types'!$B$9:$B$71,'Parois types'!$C$9:$C$71,0))</f>
        <v>0</v>
      </c>
      <c r="I111" s="29">
        <f>IF(Tableau1[[#This Row],[Rénovation prévue ?]]='Données Giant'!$A$21,Tableau1[[#This Row],[Uactuel (W/m²K)]],'Encodage données'!I173)</f>
        <v>0</v>
      </c>
      <c r="J111">
        <f>_xlfn.XLOOKUP(Tableau1[[#This Row],[Catégorie]],Tableau4[Catégories de parois],Tableau4[ai],0)</f>
        <v>0</v>
      </c>
      <c r="K111">
        <f>Tableau1[[#This Row],[aj]]*Tableau1[[#This Row],[Uactuel (W/m²K)]]*Tableau1[[#This Row],[Surface (m²)]]</f>
        <v>0</v>
      </c>
      <c r="L111">
        <f>Tableau1[[#This Row],[aj]]*Tableau1[[#This Row],[Urénové (W/m²K)]]*Tableau1[[#This Row],[Surface (m²)]]</f>
        <v>0</v>
      </c>
      <c r="M111">
        <f>_xlfn.XLOOKUP(Tableau1[[#This Row],[Isolation actuelle]],'Parois types'!$B$9:$B$71,'Parois types'!$D$9:$D$71,0)</f>
        <v>0</v>
      </c>
      <c r="N111">
        <f>IF(Tableau1[[#This Row],[Rénovation prévue ?]]='Données Giant'!$A$21,Tableau1[[#This Row],[Facteur solaire actuel]],_xlfn.XLOOKUP(Tableau1[[#This Row],[Rénovation prévue ?]],'Données Giant'!$A$8:$A$21,'Données Giant'!$B$8:$B$21,0))</f>
        <v>0</v>
      </c>
      <c r="O111">
        <f>IF(Tableau1[[#This Row],[Catégorie]]=DonnéesAutres!$A$100,235*0.5*Tableau1[[#This Row],[Facteur solaire actuel]]*Tableau1[[#This Row],[Surface (m²)]],0)</f>
        <v>0</v>
      </c>
      <c r="P111" s="71">
        <f>235*0.5*Tableau1[[#This Row],[Facteur Solaire rénové]]*Tableau1[[#This Row],[Surface (m²)]]</f>
        <v>0</v>
      </c>
      <c r="Q111" s="71">
        <f>_xlfn.XLOOKUP(Tableau1[[#This Row],[Rénovation prévue ?]],'Données Giant'!$A$8:$A$21,'Données Giant'!$C$8:$C$21,0)</f>
        <v>0</v>
      </c>
      <c r="R111" s="27">
        <f>_xlfn.XLOOKUP(Tableau1[[#This Row],[Rénovation prévue ?]],'Données Giant'!$A$8:$A$21,'Données Giant'!$D$8:$D$21,0)</f>
        <v>0</v>
      </c>
      <c r="S111">
        <f>_xlfn.XLOOKUP(Tableau1[[#This Row],[Rénovation prévue ?]],'Données Giant'!$A$8:$A$21,'Données Giant'!$E$8:$E$21,0)</f>
        <v>0</v>
      </c>
      <c r="T111">
        <f>_xlfn.XLOOKUP(Tableau1[[#This Row],[Rénovation prévue ?]],'Données Giant'!$A$8:$A$21,'Données Giant'!$F$8:$F$21,0)</f>
        <v>0</v>
      </c>
      <c r="U111">
        <f>_xlfn.XLOOKUP(Tableau1[[#This Row],[Rénovation prévue ?]],'Données Giant'!$A$8:$A$21,'Données Giant'!$G$8:$G$21,0)</f>
        <v>0</v>
      </c>
      <c r="V111">
        <f>_xlfn.XLOOKUP(Tableau1[[#This Row],[Rénovation prévue ?]],'Données Giant'!$A$8:$A$21,'Données Giant'!$H$8:$H$21,0)</f>
        <v>0</v>
      </c>
    </row>
    <row r="112" spans="1:22" x14ac:dyDescent="0.25">
      <c r="A112" s="29">
        <f>'Encodage données'!C174</f>
        <v>0</v>
      </c>
      <c r="B112" s="29">
        <f>'Encodage données'!D174</f>
        <v>0</v>
      </c>
      <c r="C112" s="29">
        <f>'Encodage données'!E174</f>
        <v>0</v>
      </c>
      <c r="D112" s="29">
        <f>'Encodage données'!F174</f>
        <v>0</v>
      </c>
      <c r="E112" s="29">
        <f>'Encodage données'!G174</f>
        <v>0</v>
      </c>
      <c r="F112" s="29">
        <f>'Encodage données'!H174</f>
        <v>0</v>
      </c>
      <c r="G112" s="29">
        <f>'Encodage données'!J174</f>
        <v>0</v>
      </c>
      <c r="H112" s="29">
        <f>IF(OR(Tableau1[[#This Row],[Isolation actuelle]]="U connu",Tableau1[[#This Row],[Isolation actuelle]]="U connu (porte et fenêtres)"),Tableau1[[#This Row],[Si U connu de la paroi]],_xlfn.XLOOKUP(Tableau1[[#This Row],[Isolation actuelle]],'Parois types'!$B$9:$B$71,'Parois types'!$C$9:$C$71,0))</f>
        <v>0</v>
      </c>
      <c r="I112" s="29">
        <f>IF(Tableau1[[#This Row],[Rénovation prévue ?]]='Données Giant'!$A$21,Tableau1[[#This Row],[Uactuel (W/m²K)]],'Encodage données'!I174)</f>
        <v>0</v>
      </c>
      <c r="J112">
        <f>_xlfn.XLOOKUP(Tableau1[[#This Row],[Catégorie]],Tableau4[Catégories de parois],Tableau4[ai],0)</f>
        <v>0</v>
      </c>
      <c r="K112">
        <f>Tableau1[[#This Row],[aj]]*Tableau1[[#This Row],[Uactuel (W/m²K)]]*Tableau1[[#This Row],[Surface (m²)]]</f>
        <v>0</v>
      </c>
      <c r="L112">
        <f>Tableau1[[#This Row],[aj]]*Tableau1[[#This Row],[Urénové (W/m²K)]]*Tableau1[[#This Row],[Surface (m²)]]</f>
        <v>0</v>
      </c>
      <c r="M112">
        <f>_xlfn.XLOOKUP(Tableau1[[#This Row],[Isolation actuelle]],'Parois types'!$B$9:$B$71,'Parois types'!$D$9:$D$71,0)</f>
        <v>0</v>
      </c>
      <c r="N112">
        <f>IF(Tableau1[[#This Row],[Rénovation prévue ?]]='Données Giant'!$A$21,Tableau1[[#This Row],[Facteur solaire actuel]],_xlfn.XLOOKUP(Tableau1[[#This Row],[Rénovation prévue ?]],'Données Giant'!$A$8:$A$21,'Données Giant'!$B$8:$B$21,0))</f>
        <v>0</v>
      </c>
      <c r="O112">
        <f>IF(Tableau1[[#This Row],[Catégorie]]=DonnéesAutres!$A$100,235*0.5*Tableau1[[#This Row],[Facteur solaire actuel]]*Tableau1[[#This Row],[Surface (m²)]],0)</f>
        <v>0</v>
      </c>
      <c r="P112" s="71">
        <f>235*0.5*Tableau1[[#This Row],[Facteur Solaire rénové]]*Tableau1[[#This Row],[Surface (m²)]]</f>
        <v>0</v>
      </c>
      <c r="Q112" s="71">
        <f>_xlfn.XLOOKUP(Tableau1[[#This Row],[Rénovation prévue ?]],'Données Giant'!$A$8:$A$21,'Données Giant'!$C$8:$C$21,0)</f>
        <v>0</v>
      </c>
      <c r="R112" s="27">
        <f>_xlfn.XLOOKUP(Tableau1[[#This Row],[Rénovation prévue ?]],'Données Giant'!$A$8:$A$21,'Données Giant'!$D$8:$D$21,0)</f>
        <v>0</v>
      </c>
      <c r="S112">
        <f>_xlfn.XLOOKUP(Tableau1[[#This Row],[Rénovation prévue ?]],'Données Giant'!$A$8:$A$21,'Données Giant'!$E$8:$E$21,0)</f>
        <v>0</v>
      </c>
      <c r="T112">
        <f>_xlfn.XLOOKUP(Tableau1[[#This Row],[Rénovation prévue ?]],'Données Giant'!$A$8:$A$21,'Données Giant'!$F$8:$F$21,0)</f>
        <v>0</v>
      </c>
      <c r="U112">
        <f>_xlfn.XLOOKUP(Tableau1[[#This Row],[Rénovation prévue ?]],'Données Giant'!$A$8:$A$21,'Données Giant'!$G$8:$G$21,0)</f>
        <v>0</v>
      </c>
      <c r="V112">
        <f>_xlfn.XLOOKUP(Tableau1[[#This Row],[Rénovation prévue ?]],'Données Giant'!$A$8:$A$21,'Données Giant'!$H$8:$H$21,0)</f>
        <v>0</v>
      </c>
    </row>
    <row r="113" spans="1:22" x14ac:dyDescent="0.25">
      <c r="A113" s="29">
        <f>'Encodage données'!C175</f>
        <v>0</v>
      </c>
      <c r="B113" s="29">
        <f>'Encodage données'!D175</f>
        <v>0</v>
      </c>
      <c r="C113" s="29">
        <f>'Encodage données'!E175</f>
        <v>0</v>
      </c>
      <c r="D113" s="29">
        <f>'Encodage données'!F175</f>
        <v>0</v>
      </c>
      <c r="E113" s="29">
        <f>'Encodage données'!G175</f>
        <v>0</v>
      </c>
      <c r="F113" s="29">
        <f>'Encodage données'!H175</f>
        <v>0</v>
      </c>
      <c r="G113" s="29">
        <f>'Encodage données'!J175</f>
        <v>0</v>
      </c>
      <c r="H113" s="29">
        <f>IF(OR(Tableau1[[#This Row],[Isolation actuelle]]="U connu",Tableau1[[#This Row],[Isolation actuelle]]="U connu (porte et fenêtres)"),Tableau1[[#This Row],[Si U connu de la paroi]],_xlfn.XLOOKUP(Tableau1[[#This Row],[Isolation actuelle]],'Parois types'!$B$9:$B$71,'Parois types'!$C$9:$C$71,0))</f>
        <v>0</v>
      </c>
      <c r="I113" s="29">
        <f>IF(Tableau1[[#This Row],[Rénovation prévue ?]]='Données Giant'!$A$21,Tableau1[[#This Row],[Uactuel (W/m²K)]],'Encodage données'!I175)</f>
        <v>0</v>
      </c>
      <c r="J113">
        <f>_xlfn.XLOOKUP(Tableau1[[#This Row],[Catégorie]],Tableau4[Catégories de parois],Tableau4[ai],0)</f>
        <v>0</v>
      </c>
      <c r="K113">
        <f>Tableau1[[#This Row],[aj]]*Tableau1[[#This Row],[Uactuel (W/m²K)]]*Tableau1[[#This Row],[Surface (m²)]]</f>
        <v>0</v>
      </c>
      <c r="L113">
        <f>Tableau1[[#This Row],[aj]]*Tableau1[[#This Row],[Urénové (W/m²K)]]*Tableau1[[#This Row],[Surface (m²)]]</f>
        <v>0</v>
      </c>
      <c r="M113">
        <f>_xlfn.XLOOKUP(Tableau1[[#This Row],[Isolation actuelle]],'Parois types'!$B$9:$B$71,'Parois types'!$D$9:$D$71,0)</f>
        <v>0</v>
      </c>
      <c r="N113">
        <f>IF(Tableau1[[#This Row],[Rénovation prévue ?]]='Données Giant'!$A$21,Tableau1[[#This Row],[Facteur solaire actuel]],_xlfn.XLOOKUP(Tableau1[[#This Row],[Rénovation prévue ?]],'Données Giant'!$A$8:$A$21,'Données Giant'!$B$8:$B$21,0))</f>
        <v>0</v>
      </c>
      <c r="O113">
        <f>IF(Tableau1[[#This Row],[Catégorie]]=DonnéesAutres!$A$100,235*0.5*Tableau1[[#This Row],[Facteur solaire actuel]]*Tableau1[[#This Row],[Surface (m²)]],0)</f>
        <v>0</v>
      </c>
      <c r="P113" s="71">
        <f>235*0.5*Tableau1[[#This Row],[Facteur Solaire rénové]]*Tableau1[[#This Row],[Surface (m²)]]</f>
        <v>0</v>
      </c>
      <c r="Q113" s="71">
        <f>_xlfn.XLOOKUP(Tableau1[[#This Row],[Rénovation prévue ?]],'Données Giant'!$A$8:$A$21,'Données Giant'!$C$8:$C$21,0)</f>
        <v>0</v>
      </c>
      <c r="R113" s="27">
        <f>_xlfn.XLOOKUP(Tableau1[[#This Row],[Rénovation prévue ?]],'Données Giant'!$A$8:$A$21,'Données Giant'!$D$8:$D$21,0)</f>
        <v>0</v>
      </c>
      <c r="S113">
        <f>_xlfn.XLOOKUP(Tableau1[[#This Row],[Rénovation prévue ?]],'Données Giant'!$A$8:$A$21,'Données Giant'!$E$8:$E$21,0)</f>
        <v>0</v>
      </c>
      <c r="T113">
        <f>_xlfn.XLOOKUP(Tableau1[[#This Row],[Rénovation prévue ?]],'Données Giant'!$A$8:$A$21,'Données Giant'!$F$8:$F$21,0)</f>
        <v>0</v>
      </c>
      <c r="U113">
        <f>_xlfn.XLOOKUP(Tableau1[[#This Row],[Rénovation prévue ?]],'Données Giant'!$A$8:$A$21,'Données Giant'!$G$8:$G$21,0)</f>
        <v>0</v>
      </c>
      <c r="V113">
        <f>_xlfn.XLOOKUP(Tableau1[[#This Row],[Rénovation prévue ?]],'Données Giant'!$A$8:$A$21,'Données Giant'!$H$8:$H$21,0)</f>
        <v>0</v>
      </c>
    </row>
    <row r="114" spans="1:22" x14ac:dyDescent="0.25">
      <c r="A114" s="29">
        <f>'Encodage données'!C176</f>
        <v>0</v>
      </c>
      <c r="B114" s="29">
        <f>'Encodage données'!D176</f>
        <v>0</v>
      </c>
      <c r="C114" s="29">
        <f>'Encodage données'!E176</f>
        <v>0</v>
      </c>
      <c r="D114" s="29">
        <f>'Encodage données'!F176</f>
        <v>0</v>
      </c>
      <c r="E114" s="29">
        <f>'Encodage données'!G176</f>
        <v>0</v>
      </c>
      <c r="F114" s="29">
        <f>'Encodage données'!H176</f>
        <v>0</v>
      </c>
      <c r="G114" s="29">
        <f>'Encodage données'!J176</f>
        <v>0</v>
      </c>
      <c r="H114" s="29">
        <f>IF(OR(Tableau1[[#This Row],[Isolation actuelle]]="U connu",Tableau1[[#This Row],[Isolation actuelle]]="U connu (porte et fenêtres)"),Tableau1[[#This Row],[Si U connu de la paroi]],_xlfn.XLOOKUP(Tableau1[[#This Row],[Isolation actuelle]],'Parois types'!$B$9:$B$71,'Parois types'!$C$9:$C$71,0))</f>
        <v>0</v>
      </c>
      <c r="I114" s="29">
        <f>IF(Tableau1[[#This Row],[Rénovation prévue ?]]='Données Giant'!$A$21,Tableau1[[#This Row],[Uactuel (W/m²K)]],'Encodage données'!I176)</f>
        <v>0</v>
      </c>
      <c r="J114">
        <f>_xlfn.XLOOKUP(Tableau1[[#This Row],[Catégorie]],Tableau4[Catégories de parois],Tableau4[ai],0)</f>
        <v>0</v>
      </c>
      <c r="K114">
        <f>Tableau1[[#This Row],[aj]]*Tableau1[[#This Row],[Uactuel (W/m²K)]]*Tableau1[[#This Row],[Surface (m²)]]</f>
        <v>0</v>
      </c>
      <c r="L114">
        <f>Tableau1[[#This Row],[aj]]*Tableau1[[#This Row],[Urénové (W/m²K)]]*Tableau1[[#This Row],[Surface (m²)]]</f>
        <v>0</v>
      </c>
      <c r="M114">
        <f>_xlfn.XLOOKUP(Tableau1[[#This Row],[Isolation actuelle]],'Parois types'!$B$9:$B$71,'Parois types'!$D$9:$D$71,0)</f>
        <v>0</v>
      </c>
      <c r="N114">
        <f>IF(Tableau1[[#This Row],[Rénovation prévue ?]]='Données Giant'!$A$21,Tableau1[[#This Row],[Facteur solaire actuel]],_xlfn.XLOOKUP(Tableau1[[#This Row],[Rénovation prévue ?]],'Données Giant'!$A$8:$A$21,'Données Giant'!$B$8:$B$21,0))</f>
        <v>0</v>
      </c>
      <c r="O114">
        <f>IF(Tableau1[[#This Row],[Catégorie]]=DonnéesAutres!$A$100,235*0.5*Tableau1[[#This Row],[Facteur solaire actuel]]*Tableau1[[#This Row],[Surface (m²)]],0)</f>
        <v>0</v>
      </c>
      <c r="P114" s="71">
        <f>235*0.5*Tableau1[[#This Row],[Facteur Solaire rénové]]*Tableau1[[#This Row],[Surface (m²)]]</f>
        <v>0</v>
      </c>
      <c r="Q114" s="71">
        <f>_xlfn.XLOOKUP(Tableau1[[#This Row],[Rénovation prévue ?]],'Données Giant'!$A$8:$A$21,'Données Giant'!$C$8:$C$21,0)</f>
        <v>0</v>
      </c>
      <c r="R114" s="27">
        <f>_xlfn.XLOOKUP(Tableau1[[#This Row],[Rénovation prévue ?]],'Données Giant'!$A$8:$A$21,'Données Giant'!$D$8:$D$21,0)</f>
        <v>0</v>
      </c>
      <c r="S114">
        <f>_xlfn.XLOOKUP(Tableau1[[#This Row],[Rénovation prévue ?]],'Données Giant'!$A$8:$A$21,'Données Giant'!$E$8:$E$21,0)</f>
        <v>0</v>
      </c>
      <c r="T114">
        <f>_xlfn.XLOOKUP(Tableau1[[#This Row],[Rénovation prévue ?]],'Données Giant'!$A$8:$A$21,'Données Giant'!$F$8:$F$21,0)</f>
        <v>0</v>
      </c>
      <c r="U114">
        <f>_xlfn.XLOOKUP(Tableau1[[#This Row],[Rénovation prévue ?]],'Données Giant'!$A$8:$A$21,'Données Giant'!$G$8:$G$21,0)</f>
        <v>0</v>
      </c>
      <c r="V114">
        <f>_xlfn.XLOOKUP(Tableau1[[#This Row],[Rénovation prévue ?]],'Données Giant'!$A$8:$A$21,'Données Giant'!$H$8:$H$21,0)</f>
        <v>0</v>
      </c>
    </row>
    <row r="115" spans="1:22" x14ac:dyDescent="0.25">
      <c r="A115" s="29">
        <f>'Encodage données'!C177</f>
        <v>0</v>
      </c>
      <c r="B115" s="29">
        <f>'Encodage données'!D177</f>
        <v>0</v>
      </c>
      <c r="C115" s="29">
        <f>'Encodage données'!E177</f>
        <v>0</v>
      </c>
      <c r="D115" s="29">
        <f>'Encodage données'!F177</f>
        <v>0</v>
      </c>
      <c r="E115" s="29">
        <f>'Encodage données'!G177</f>
        <v>0</v>
      </c>
      <c r="F115" s="29">
        <f>'Encodage données'!H177</f>
        <v>0</v>
      </c>
      <c r="G115" s="29">
        <f>'Encodage données'!J177</f>
        <v>0</v>
      </c>
      <c r="H115" s="29">
        <f>IF(OR(Tableau1[[#This Row],[Isolation actuelle]]="U connu",Tableau1[[#This Row],[Isolation actuelle]]="U connu (porte et fenêtres)"),Tableau1[[#This Row],[Si U connu de la paroi]],_xlfn.XLOOKUP(Tableau1[[#This Row],[Isolation actuelle]],'Parois types'!$B$9:$B$71,'Parois types'!$C$9:$C$71,0))</f>
        <v>0</v>
      </c>
      <c r="I115" s="29">
        <f>IF(Tableau1[[#This Row],[Rénovation prévue ?]]='Données Giant'!$A$21,Tableau1[[#This Row],[Uactuel (W/m²K)]],'Encodage données'!I177)</f>
        <v>0</v>
      </c>
      <c r="J115">
        <f>_xlfn.XLOOKUP(Tableau1[[#This Row],[Catégorie]],Tableau4[Catégories de parois],Tableau4[ai],0)</f>
        <v>0</v>
      </c>
      <c r="K115">
        <f>Tableau1[[#This Row],[aj]]*Tableau1[[#This Row],[Uactuel (W/m²K)]]*Tableau1[[#This Row],[Surface (m²)]]</f>
        <v>0</v>
      </c>
      <c r="L115">
        <f>Tableau1[[#This Row],[aj]]*Tableau1[[#This Row],[Urénové (W/m²K)]]*Tableau1[[#This Row],[Surface (m²)]]</f>
        <v>0</v>
      </c>
      <c r="M115">
        <f>_xlfn.XLOOKUP(Tableau1[[#This Row],[Isolation actuelle]],'Parois types'!$B$9:$B$71,'Parois types'!$D$9:$D$71,0)</f>
        <v>0</v>
      </c>
      <c r="N115">
        <f>IF(Tableau1[[#This Row],[Rénovation prévue ?]]='Données Giant'!$A$21,Tableau1[[#This Row],[Facteur solaire actuel]],_xlfn.XLOOKUP(Tableau1[[#This Row],[Rénovation prévue ?]],'Données Giant'!$A$8:$A$21,'Données Giant'!$B$8:$B$21,0))</f>
        <v>0</v>
      </c>
      <c r="O115">
        <f>IF(Tableau1[[#This Row],[Catégorie]]=DonnéesAutres!$A$100,235*0.5*Tableau1[[#This Row],[Facteur solaire actuel]]*Tableau1[[#This Row],[Surface (m²)]],0)</f>
        <v>0</v>
      </c>
      <c r="P115" s="71">
        <f>235*0.5*Tableau1[[#This Row],[Facteur Solaire rénové]]*Tableau1[[#This Row],[Surface (m²)]]</f>
        <v>0</v>
      </c>
      <c r="Q115" s="71">
        <f>_xlfn.XLOOKUP(Tableau1[[#This Row],[Rénovation prévue ?]],'Données Giant'!$A$8:$A$21,'Données Giant'!$C$8:$C$21,0)</f>
        <v>0</v>
      </c>
      <c r="R115" s="27">
        <f>_xlfn.XLOOKUP(Tableau1[[#This Row],[Rénovation prévue ?]],'Données Giant'!$A$8:$A$21,'Données Giant'!$D$8:$D$21,0)</f>
        <v>0</v>
      </c>
      <c r="S115">
        <f>_xlfn.XLOOKUP(Tableau1[[#This Row],[Rénovation prévue ?]],'Données Giant'!$A$8:$A$21,'Données Giant'!$E$8:$E$21,0)</f>
        <v>0</v>
      </c>
      <c r="T115">
        <f>_xlfn.XLOOKUP(Tableau1[[#This Row],[Rénovation prévue ?]],'Données Giant'!$A$8:$A$21,'Données Giant'!$F$8:$F$21,0)</f>
        <v>0</v>
      </c>
      <c r="U115">
        <f>_xlfn.XLOOKUP(Tableau1[[#This Row],[Rénovation prévue ?]],'Données Giant'!$A$8:$A$21,'Données Giant'!$G$8:$G$21,0)</f>
        <v>0</v>
      </c>
      <c r="V115">
        <f>_xlfn.XLOOKUP(Tableau1[[#This Row],[Rénovation prévue ?]],'Données Giant'!$A$8:$A$21,'Données Giant'!$H$8:$H$21,0)</f>
        <v>0</v>
      </c>
    </row>
    <row r="116" spans="1:22" x14ac:dyDescent="0.25">
      <c r="A116" s="29">
        <f>'Encodage données'!C178</f>
        <v>0</v>
      </c>
      <c r="B116" s="29">
        <f>'Encodage données'!D178</f>
        <v>0</v>
      </c>
      <c r="C116" s="29">
        <f>'Encodage données'!E178</f>
        <v>0</v>
      </c>
      <c r="D116" s="29">
        <f>'Encodage données'!F178</f>
        <v>0</v>
      </c>
      <c r="E116" s="29">
        <f>'Encodage données'!G178</f>
        <v>0</v>
      </c>
      <c r="F116" s="29">
        <f>'Encodage données'!H178</f>
        <v>0</v>
      </c>
      <c r="G116" s="29">
        <f>'Encodage données'!J178</f>
        <v>0</v>
      </c>
      <c r="H116" s="29">
        <f>IF(OR(Tableau1[[#This Row],[Isolation actuelle]]="U connu",Tableau1[[#This Row],[Isolation actuelle]]="U connu (porte et fenêtres)"),Tableau1[[#This Row],[Si U connu de la paroi]],_xlfn.XLOOKUP(Tableau1[[#This Row],[Isolation actuelle]],'Parois types'!$B$9:$B$71,'Parois types'!$C$9:$C$71,0))</f>
        <v>0</v>
      </c>
      <c r="I116" s="29">
        <f>IF(Tableau1[[#This Row],[Rénovation prévue ?]]='Données Giant'!$A$21,Tableau1[[#This Row],[Uactuel (W/m²K)]],'Encodage données'!I178)</f>
        <v>0</v>
      </c>
      <c r="J116">
        <f>_xlfn.XLOOKUP(Tableau1[[#This Row],[Catégorie]],Tableau4[Catégories de parois],Tableau4[ai],0)</f>
        <v>0</v>
      </c>
      <c r="K116">
        <f>Tableau1[[#This Row],[aj]]*Tableau1[[#This Row],[Uactuel (W/m²K)]]*Tableau1[[#This Row],[Surface (m²)]]</f>
        <v>0</v>
      </c>
      <c r="L116">
        <f>Tableau1[[#This Row],[aj]]*Tableau1[[#This Row],[Urénové (W/m²K)]]*Tableau1[[#This Row],[Surface (m²)]]</f>
        <v>0</v>
      </c>
      <c r="M116">
        <f>_xlfn.XLOOKUP(Tableau1[[#This Row],[Isolation actuelle]],'Parois types'!$B$9:$B$71,'Parois types'!$D$9:$D$71,0)</f>
        <v>0</v>
      </c>
      <c r="N116">
        <f>IF(Tableau1[[#This Row],[Rénovation prévue ?]]='Données Giant'!$A$21,Tableau1[[#This Row],[Facteur solaire actuel]],_xlfn.XLOOKUP(Tableau1[[#This Row],[Rénovation prévue ?]],'Données Giant'!$A$8:$A$21,'Données Giant'!$B$8:$B$21,0))</f>
        <v>0</v>
      </c>
      <c r="O116">
        <f>IF(Tableau1[[#This Row],[Catégorie]]=DonnéesAutres!$A$100,235*0.5*Tableau1[[#This Row],[Facteur solaire actuel]]*Tableau1[[#This Row],[Surface (m²)]],0)</f>
        <v>0</v>
      </c>
      <c r="P116" s="71">
        <f>235*0.5*Tableau1[[#This Row],[Facteur Solaire rénové]]*Tableau1[[#This Row],[Surface (m²)]]</f>
        <v>0</v>
      </c>
      <c r="Q116" s="71">
        <f>_xlfn.XLOOKUP(Tableau1[[#This Row],[Rénovation prévue ?]],'Données Giant'!$A$8:$A$21,'Données Giant'!$C$8:$C$21,0)</f>
        <v>0</v>
      </c>
      <c r="R116" s="27">
        <f>_xlfn.XLOOKUP(Tableau1[[#This Row],[Rénovation prévue ?]],'Données Giant'!$A$8:$A$21,'Données Giant'!$D$8:$D$21,0)</f>
        <v>0</v>
      </c>
      <c r="S116">
        <f>_xlfn.XLOOKUP(Tableau1[[#This Row],[Rénovation prévue ?]],'Données Giant'!$A$8:$A$21,'Données Giant'!$E$8:$E$21,0)</f>
        <v>0</v>
      </c>
      <c r="T116">
        <f>_xlfn.XLOOKUP(Tableau1[[#This Row],[Rénovation prévue ?]],'Données Giant'!$A$8:$A$21,'Données Giant'!$F$8:$F$21,0)</f>
        <v>0</v>
      </c>
      <c r="U116">
        <f>_xlfn.XLOOKUP(Tableau1[[#This Row],[Rénovation prévue ?]],'Données Giant'!$A$8:$A$21,'Données Giant'!$G$8:$G$21,0)</f>
        <v>0</v>
      </c>
      <c r="V116">
        <f>_xlfn.XLOOKUP(Tableau1[[#This Row],[Rénovation prévue ?]],'Données Giant'!$A$8:$A$21,'Données Giant'!$H$8:$H$21,0)</f>
        <v>0</v>
      </c>
    </row>
    <row r="117" spans="1:22" x14ac:dyDescent="0.25">
      <c r="A117" s="29">
        <f>'Encodage données'!C179</f>
        <v>0</v>
      </c>
      <c r="B117" s="29">
        <f>'Encodage données'!D179</f>
        <v>0</v>
      </c>
      <c r="C117" s="29">
        <f>'Encodage données'!E179</f>
        <v>0</v>
      </c>
      <c r="D117" s="29">
        <f>'Encodage données'!F179</f>
        <v>0</v>
      </c>
      <c r="E117" s="29">
        <f>'Encodage données'!G179</f>
        <v>0</v>
      </c>
      <c r="F117" s="29">
        <f>'Encodage données'!H179</f>
        <v>0</v>
      </c>
      <c r="G117" s="29">
        <f>'Encodage données'!J179</f>
        <v>0</v>
      </c>
      <c r="H117" s="29">
        <f>IF(OR(Tableau1[[#This Row],[Isolation actuelle]]="U connu",Tableau1[[#This Row],[Isolation actuelle]]="U connu (porte et fenêtres)"),Tableau1[[#This Row],[Si U connu de la paroi]],_xlfn.XLOOKUP(Tableau1[[#This Row],[Isolation actuelle]],'Parois types'!$B$9:$B$71,'Parois types'!$C$9:$C$71,0))</f>
        <v>0</v>
      </c>
      <c r="I117" s="29">
        <f>IF(Tableau1[[#This Row],[Rénovation prévue ?]]='Données Giant'!$A$21,Tableau1[[#This Row],[Uactuel (W/m²K)]],'Encodage données'!I179)</f>
        <v>0</v>
      </c>
      <c r="J117">
        <f>_xlfn.XLOOKUP(Tableau1[[#This Row],[Catégorie]],Tableau4[Catégories de parois],Tableau4[ai],0)</f>
        <v>0</v>
      </c>
      <c r="K117">
        <f>Tableau1[[#This Row],[aj]]*Tableau1[[#This Row],[Uactuel (W/m²K)]]*Tableau1[[#This Row],[Surface (m²)]]</f>
        <v>0</v>
      </c>
      <c r="L117">
        <f>Tableau1[[#This Row],[aj]]*Tableau1[[#This Row],[Urénové (W/m²K)]]*Tableau1[[#This Row],[Surface (m²)]]</f>
        <v>0</v>
      </c>
      <c r="M117">
        <f>_xlfn.XLOOKUP(Tableau1[[#This Row],[Isolation actuelle]],'Parois types'!$B$9:$B$71,'Parois types'!$D$9:$D$71,0)</f>
        <v>0</v>
      </c>
      <c r="N117">
        <f>IF(Tableau1[[#This Row],[Rénovation prévue ?]]='Données Giant'!$A$21,Tableau1[[#This Row],[Facteur solaire actuel]],_xlfn.XLOOKUP(Tableau1[[#This Row],[Rénovation prévue ?]],'Données Giant'!$A$8:$A$21,'Données Giant'!$B$8:$B$21,0))</f>
        <v>0</v>
      </c>
      <c r="O117">
        <f>IF(Tableau1[[#This Row],[Catégorie]]=DonnéesAutres!$A$100,235*0.5*Tableau1[[#This Row],[Facteur solaire actuel]]*Tableau1[[#This Row],[Surface (m²)]],0)</f>
        <v>0</v>
      </c>
      <c r="P117" s="71">
        <f>235*0.5*Tableau1[[#This Row],[Facteur Solaire rénové]]*Tableau1[[#This Row],[Surface (m²)]]</f>
        <v>0</v>
      </c>
      <c r="Q117" s="71">
        <f>_xlfn.XLOOKUP(Tableau1[[#This Row],[Rénovation prévue ?]],'Données Giant'!$A$8:$A$21,'Données Giant'!$C$8:$C$21,0)</f>
        <v>0</v>
      </c>
      <c r="R117" s="27">
        <f>_xlfn.XLOOKUP(Tableau1[[#This Row],[Rénovation prévue ?]],'Données Giant'!$A$8:$A$21,'Données Giant'!$D$8:$D$21,0)</f>
        <v>0</v>
      </c>
      <c r="S117">
        <f>_xlfn.XLOOKUP(Tableau1[[#This Row],[Rénovation prévue ?]],'Données Giant'!$A$8:$A$21,'Données Giant'!$E$8:$E$21,0)</f>
        <v>0</v>
      </c>
      <c r="T117">
        <f>_xlfn.XLOOKUP(Tableau1[[#This Row],[Rénovation prévue ?]],'Données Giant'!$A$8:$A$21,'Données Giant'!$F$8:$F$21,0)</f>
        <v>0</v>
      </c>
      <c r="U117">
        <f>_xlfn.XLOOKUP(Tableau1[[#This Row],[Rénovation prévue ?]],'Données Giant'!$A$8:$A$21,'Données Giant'!$G$8:$G$21,0)</f>
        <v>0</v>
      </c>
      <c r="V117">
        <f>_xlfn.XLOOKUP(Tableau1[[#This Row],[Rénovation prévue ?]],'Données Giant'!$A$8:$A$21,'Données Giant'!$H$8:$H$21,0)</f>
        <v>0</v>
      </c>
    </row>
    <row r="118" spans="1:22" x14ac:dyDescent="0.25">
      <c r="A118" s="29">
        <f>'Encodage données'!C180</f>
        <v>0</v>
      </c>
      <c r="B118" s="29">
        <f>'Encodage données'!D180</f>
        <v>0</v>
      </c>
      <c r="C118" s="29">
        <f>'Encodage données'!E180</f>
        <v>0</v>
      </c>
      <c r="D118" s="29">
        <f>'Encodage données'!F180</f>
        <v>0</v>
      </c>
      <c r="E118" s="29">
        <f>'Encodage données'!G180</f>
        <v>0</v>
      </c>
      <c r="F118" s="29">
        <f>'Encodage données'!H180</f>
        <v>0</v>
      </c>
      <c r="G118" s="29">
        <f>'Encodage données'!J180</f>
        <v>0</v>
      </c>
      <c r="H118" s="29">
        <f>IF(OR(Tableau1[[#This Row],[Isolation actuelle]]="U connu",Tableau1[[#This Row],[Isolation actuelle]]="U connu (porte et fenêtres)"),Tableau1[[#This Row],[Si U connu de la paroi]],_xlfn.XLOOKUP(Tableau1[[#This Row],[Isolation actuelle]],'Parois types'!$B$9:$B$71,'Parois types'!$C$9:$C$71,0))</f>
        <v>0</v>
      </c>
      <c r="I118" s="29">
        <f>IF(Tableau1[[#This Row],[Rénovation prévue ?]]='Données Giant'!$A$21,Tableau1[[#This Row],[Uactuel (W/m²K)]],'Encodage données'!I180)</f>
        <v>0</v>
      </c>
      <c r="J118">
        <f>_xlfn.XLOOKUP(Tableau1[[#This Row],[Catégorie]],Tableau4[Catégories de parois],Tableau4[ai],0)</f>
        <v>0</v>
      </c>
      <c r="K118">
        <f>Tableau1[[#This Row],[aj]]*Tableau1[[#This Row],[Uactuel (W/m²K)]]*Tableau1[[#This Row],[Surface (m²)]]</f>
        <v>0</v>
      </c>
      <c r="L118">
        <f>Tableau1[[#This Row],[aj]]*Tableau1[[#This Row],[Urénové (W/m²K)]]*Tableau1[[#This Row],[Surface (m²)]]</f>
        <v>0</v>
      </c>
      <c r="M118">
        <f>_xlfn.XLOOKUP(Tableau1[[#This Row],[Isolation actuelle]],'Parois types'!$B$9:$B$71,'Parois types'!$D$9:$D$71,0)</f>
        <v>0</v>
      </c>
      <c r="N118">
        <f>IF(Tableau1[[#This Row],[Rénovation prévue ?]]='Données Giant'!$A$21,Tableau1[[#This Row],[Facteur solaire actuel]],_xlfn.XLOOKUP(Tableau1[[#This Row],[Rénovation prévue ?]],'Données Giant'!$A$8:$A$21,'Données Giant'!$B$8:$B$21,0))</f>
        <v>0</v>
      </c>
      <c r="O118">
        <f>IF(Tableau1[[#This Row],[Catégorie]]=DonnéesAutres!$A$100,235*0.5*Tableau1[[#This Row],[Facteur solaire actuel]]*Tableau1[[#This Row],[Surface (m²)]],0)</f>
        <v>0</v>
      </c>
      <c r="P118" s="71">
        <f>235*0.5*Tableau1[[#This Row],[Facteur Solaire rénové]]*Tableau1[[#This Row],[Surface (m²)]]</f>
        <v>0</v>
      </c>
      <c r="Q118" s="71">
        <f>_xlfn.XLOOKUP(Tableau1[[#This Row],[Rénovation prévue ?]],'Données Giant'!$A$8:$A$21,'Données Giant'!$C$8:$C$21,0)</f>
        <v>0</v>
      </c>
      <c r="R118" s="27">
        <f>_xlfn.XLOOKUP(Tableau1[[#This Row],[Rénovation prévue ?]],'Données Giant'!$A$8:$A$21,'Données Giant'!$D$8:$D$21,0)</f>
        <v>0</v>
      </c>
      <c r="S118">
        <f>_xlfn.XLOOKUP(Tableau1[[#This Row],[Rénovation prévue ?]],'Données Giant'!$A$8:$A$21,'Données Giant'!$E$8:$E$21,0)</f>
        <v>0</v>
      </c>
      <c r="T118">
        <f>_xlfn.XLOOKUP(Tableau1[[#This Row],[Rénovation prévue ?]],'Données Giant'!$A$8:$A$21,'Données Giant'!$F$8:$F$21,0)</f>
        <v>0</v>
      </c>
      <c r="U118">
        <f>_xlfn.XLOOKUP(Tableau1[[#This Row],[Rénovation prévue ?]],'Données Giant'!$A$8:$A$21,'Données Giant'!$G$8:$G$21,0)</f>
        <v>0</v>
      </c>
      <c r="V118">
        <f>_xlfn.XLOOKUP(Tableau1[[#This Row],[Rénovation prévue ?]],'Données Giant'!$A$8:$A$21,'Données Giant'!$H$8:$H$21,0)</f>
        <v>0</v>
      </c>
    </row>
    <row r="119" spans="1:22" x14ac:dyDescent="0.25">
      <c r="A119" s="29">
        <f>'Encodage données'!C181</f>
        <v>0</v>
      </c>
      <c r="B119" s="29">
        <f>'Encodage données'!D181</f>
        <v>0</v>
      </c>
      <c r="C119" s="29">
        <f>'Encodage données'!E181</f>
        <v>0</v>
      </c>
      <c r="D119" s="29">
        <f>'Encodage données'!F181</f>
        <v>0</v>
      </c>
      <c r="E119" s="29">
        <f>'Encodage données'!G181</f>
        <v>0</v>
      </c>
      <c r="F119" s="29">
        <f>'Encodage données'!H181</f>
        <v>0</v>
      </c>
      <c r="G119" s="29">
        <f>'Encodage données'!J181</f>
        <v>0</v>
      </c>
      <c r="H119" s="29">
        <f>IF(OR(Tableau1[[#This Row],[Isolation actuelle]]="U connu",Tableau1[[#This Row],[Isolation actuelle]]="U connu (porte et fenêtres)"),Tableau1[[#This Row],[Si U connu de la paroi]],_xlfn.XLOOKUP(Tableau1[[#This Row],[Isolation actuelle]],'Parois types'!$B$9:$B$71,'Parois types'!$C$9:$C$71,0))</f>
        <v>0</v>
      </c>
      <c r="I119" s="29">
        <f>IF(Tableau1[[#This Row],[Rénovation prévue ?]]='Données Giant'!$A$21,Tableau1[[#This Row],[Uactuel (W/m²K)]],'Encodage données'!I181)</f>
        <v>0</v>
      </c>
      <c r="J119">
        <f>_xlfn.XLOOKUP(Tableau1[[#This Row],[Catégorie]],Tableau4[Catégories de parois],Tableau4[ai],0)</f>
        <v>0</v>
      </c>
      <c r="K119">
        <f>Tableau1[[#This Row],[aj]]*Tableau1[[#This Row],[Uactuel (W/m²K)]]*Tableau1[[#This Row],[Surface (m²)]]</f>
        <v>0</v>
      </c>
      <c r="L119">
        <f>Tableau1[[#This Row],[aj]]*Tableau1[[#This Row],[Urénové (W/m²K)]]*Tableau1[[#This Row],[Surface (m²)]]</f>
        <v>0</v>
      </c>
      <c r="M119">
        <f>_xlfn.XLOOKUP(Tableau1[[#This Row],[Isolation actuelle]],'Parois types'!$B$9:$B$71,'Parois types'!$D$9:$D$71,0)</f>
        <v>0</v>
      </c>
      <c r="N119">
        <f>IF(Tableau1[[#This Row],[Rénovation prévue ?]]='Données Giant'!$A$21,Tableau1[[#This Row],[Facteur solaire actuel]],_xlfn.XLOOKUP(Tableau1[[#This Row],[Rénovation prévue ?]],'Données Giant'!$A$8:$A$21,'Données Giant'!$B$8:$B$21,0))</f>
        <v>0</v>
      </c>
      <c r="O119">
        <f>IF(Tableau1[[#This Row],[Catégorie]]=DonnéesAutres!$A$100,235*0.5*Tableau1[[#This Row],[Facteur solaire actuel]]*Tableau1[[#This Row],[Surface (m²)]],0)</f>
        <v>0</v>
      </c>
      <c r="P119" s="71">
        <f>235*0.5*Tableau1[[#This Row],[Facteur Solaire rénové]]*Tableau1[[#This Row],[Surface (m²)]]</f>
        <v>0</v>
      </c>
      <c r="Q119" s="71">
        <f>_xlfn.XLOOKUP(Tableau1[[#This Row],[Rénovation prévue ?]],'Données Giant'!$A$8:$A$21,'Données Giant'!$C$8:$C$21,0)</f>
        <v>0</v>
      </c>
      <c r="R119" s="27">
        <f>_xlfn.XLOOKUP(Tableau1[[#This Row],[Rénovation prévue ?]],'Données Giant'!$A$8:$A$21,'Données Giant'!$D$8:$D$21,0)</f>
        <v>0</v>
      </c>
      <c r="S119">
        <f>_xlfn.XLOOKUP(Tableau1[[#This Row],[Rénovation prévue ?]],'Données Giant'!$A$8:$A$21,'Données Giant'!$E$8:$E$21,0)</f>
        <v>0</v>
      </c>
      <c r="T119">
        <f>_xlfn.XLOOKUP(Tableau1[[#This Row],[Rénovation prévue ?]],'Données Giant'!$A$8:$A$21,'Données Giant'!$F$8:$F$21,0)</f>
        <v>0</v>
      </c>
      <c r="U119">
        <f>_xlfn.XLOOKUP(Tableau1[[#This Row],[Rénovation prévue ?]],'Données Giant'!$A$8:$A$21,'Données Giant'!$G$8:$G$21,0)</f>
        <v>0</v>
      </c>
      <c r="V119">
        <f>_xlfn.XLOOKUP(Tableau1[[#This Row],[Rénovation prévue ?]],'Données Giant'!$A$8:$A$21,'Données Giant'!$H$8:$H$21,0)</f>
        <v>0</v>
      </c>
    </row>
    <row r="120" spans="1:22" x14ac:dyDescent="0.25">
      <c r="A120" s="29">
        <f>'Encodage données'!C182</f>
        <v>0</v>
      </c>
      <c r="B120" s="29">
        <f>'Encodage données'!D182</f>
        <v>0</v>
      </c>
      <c r="C120" s="29">
        <f>'Encodage données'!E182</f>
        <v>0</v>
      </c>
      <c r="D120" s="29">
        <f>'Encodage données'!F182</f>
        <v>0</v>
      </c>
      <c r="E120" s="29">
        <f>'Encodage données'!G182</f>
        <v>0</v>
      </c>
      <c r="F120" s="29">
        <f>'Encodage données'!H182</f>
        <v>0</v>
      </c>
      <c r="G120" s="29">
        <f>'Encodage données'!J182</f>
        <v>0</v>
      </c>
      <c r="H120" s="29">
        <f>IF(OR(Tableau1[[#This Row],[Isolation actuelle]]="U connu",Tableau1[[#This Row],[Isolation actuelle]]="U connu (porte et fenêtres)"),Tableau1[[#This Row],[Si U connu de la paroi]],_xlfn.XLOOKUP(Tableau1[[#This Row],[Isolation actuelle]],'Parois types'!$B$9:$B$71,'Parois types'!$C$9:$C$71,0))</f>
        <v>0</v>
      </c>
      <c r="I120" s="29">
        <f>IF(Tableau1[[#This Row],[Rénovation prévue ?]]='Données Giant'!$A$21,Tableau1[[#This Row],[Uactuel (W/m²K)]],'Encodage données'!I182)</f>
        <v>0</v>
      </c>
      <c r="J120">
        <f>_xlfn.XLOOKUP(Tableau1[[#This Row],[Catégorie]],Tableau4[Catégories de parois],Tableau4[ai],0)</f>
        <v>0</v>
      </c>
      <c r="K120">
        <f>Tableau1[[#This Row],[aj]]*Tableau1[[#This Row],[Uactuel (W/m²K)]]*Tableau1[[#This Row],[Surface (m²)]]</f>
        <v>0</v>
      </c>
      <c r="L120">
        <f>Tableau1[[#This Row],[aj]]*Tableau1[[#This Row],[Urénové (W/m²K)]]*Tableau1[[#This Row],[Surface (m²)]]</f>
        <v>0</v>
      </c>
      <c r="M120">
        <f>_xlfn.XLOOKUP(Tableau1[[#This Row],[Isolation actuelle]],'Parois types'!$B$9:$B$71,'Parois types'!$D$9:$D$71,0)</f>
        <v>0</v>
      </c>
      <c r="N120">
        <f>IF(Tableau1[[#This Row],[Rénovation prévue ?]]='Données Giant'!$A$21,Tableau1[[#This Row],[Facteur solaire actuel]],_xlfn.XLOOKUP(Tableau1[[#This Row],[Rénovation prévue ?]],'Données Giant'!$A$8:$A$21,'Données Giant'!$B$8:$B$21,0))</f>
        <v>0</v>
      </c>
      <c r="O120">
        <f>IF(Tableau1[[#This Row],[Catégorie]]=DonnéesAutres!$A$100,235*0.5*Tableau1[[#This Row],[Facteur solaire actuel]]*Tableau1[[#This Row],[Surface (m²)]],0)</f>
        <v>0</v>
      </c>
      <c r="P120" s="71">
        <f>235*0.5*Tableau1[[#This Row],[Facteur Solaire rénové]]*Tableau1[[#This Row],[Surface (m²)]]</f>
        <v>0</v>
      </c>
      <c r="Q120" s="71">
        <f>_xlfn.XLOOKUP(Tableau1[[#This Row],[Rénovation prévue ?]],'Données Giant'!$A$8:$A$21,'Données Giant'!$C$8:$C$21,0)</f>
        <v>0</v>
      </c>
      <c r="R120" s="27">
        <f>_xlfn.XLOOKUP(Tableau1[[#This Row],[Rénovation prévue ?]],'Données Giant'!$A$8:$A$21,'Données Giant'!$D$8:$D$21,0)</f>
        <v>0</v>
      </c>
      <c r="S120">
        <f>_xlfn.XLOOKUP(Tableau1[[#This Row],[Rénovation prévue ?]],'Données Giant'!$A$8:$A$21,'Données Giant'!$E$8:$E$21,0)</f>
        <v>0</v>
      </c>
      <c r="T120">
        <f>_xlfn.XLOOKUP(Tableau1[[#This Row],[Rénovation prévue ?]],'Données Giant'!$A$8:$A$21,'Données Giant'!$F$8:$F$21,0)</f>
        <v>0</v>
      </c>
      <c r="U120">
        <f>_xlfn.XLOOKUP(Tableau1[[#This Row],[Rénovation prévue ?]],'Données Giant'!$A$8:$A$21,'Données Giant'!$G$8:$G$21,0)</f>
        <v>0</v>
      </c>
      <c r="V120">
        <f>_xlfn.XLOOKUP(Tableau1[[#This Row],[Rénovation prévue ?]],'Données Giant'!$A$8:$A$21,'Données Giant'!$H$8:$H$21,0)</f>
        <v>0</v>
      </c>
    </row>
    <row r="121" spans="1:22" x14ac:dyDescent="0.25">
      <c r="A121" s="29"/>
      <c r="B121" s="29"/>
      <c r="C121" s="29"/>
      <c r="D121" s="29"/>
      <c r="E121" s="29"/>
      <c r="F121" s="29"/>
      <c r="G121" s="29"/>
      <c r="H121" s="29"/>
      <c r="I121" s="29"/>
    </row>
    <row r="122" spans="1:22" x14ac:dyDescent="0.25">
      <c r="A122" s="29"/>
      <c r="B122" s="29"/>
      <c r="C122" s="29"/>
      <c r="D122" s="29"/>
      <c r="E122" s="29"/>
      <c r="F122" s="29"/>
      <c r="G122" s="29"/>
      <c r="H122" s="29"/>
      <c r="I122" s="29"/>
    </row>
    <row r="123" spans="1:22" x14ac:dyDescent="0.25">
      <c r="A123" s="29"/>
      <c r="B123" s="29"/>
      <c r="C123" s="29"/>
      <c r="D123" s="29"/>
      <c r="E123" s="29"/>
      <c r="F123" s="29"/>
      <c r="G123" s="29"/>
      <c r="H123" s="29"/>
      <c r="I123" s="29"/>
    </row>
    <row r="124" spans="1:22" x14ac:dyDescent="0.25">
      <c r="A124" s="29"/>
      <c r="B124" s="29"/>
      <c r="C124" s="29"/>
      <c r="D124" s="29"/>
      <c r="E124" s="29"/>
      <c r="F124" s="29"/>
      <c r="G124" s="29"/>
      <c r="H124" s="29"/>
      <c r="I124" s="29"/>
    </row>
    <row r="125" spans="1:22" x14ac:dyDescent="0.25">
      <c r="A125" s="29"/>
      <c r="B125" s="29"/>
      <c r="C125" s="29"/>
      <c r="D125" s="29"/>
      <c r="E125" s="29"/>
      <c r="F125" s="29"/>
      <c r="G125" s="29"/>
      <c r="H125" s="29"/>
      <c r="I125" s="29"/>
    </row>
    <row r="126" spans="1:22" x14ac:dyDescent="0.25">
      <c r="A126" s="29"/>
      <c r="B126" s="29"/>
      <c r="C126" s="29"/>
      <c r="D126" s="29"/>
      <c r="E126" s="29"/>
      <c r="F126" s="29"/>
      <c r="G126" s="29"/>
      <c r="H126" s="29"/>
      <c r="I126" s="29"/>
    </row>
    <row r="127" spans="1:22" x14ac:dyDescent="0.25">
      <c r="A127" s="29"/>
      <c r="B127" s="29"/>
      <c r="C127" s="29"/>
      <c r="D127" s="29"/>
      <c r="E127" s="29"/>
      <c r="F127" s="29"/>
      <c r="G127" s="29"/>
      <c r="H127" s="29"/>
      <c r="I127" s="29"/>
    </row>
    <row r="128" spans="1:22" x14ac:dyDescent="0.25">
      <c r="A128" s="29"/>
      <c r="B128" s="29"/>
      <c r="C128" s="29"/>
      <c r="D128" s="29"/>
      <c r="E128" s="29"/>
      <c r="F128" s="29"/>
      <c r="G128" s="29"/>
      <c r="H128" s="29"/>
      <c r="I128" s="29"/>
    </row>
    <row r="129" spans="1:9" x14ac:dyDescent="0.25">
      <c r="A129" s="29"/>
      <c r="B129" s="29"/>
      <c r="C129" s="29"/>
      <c r="D129" s="29"/>
      <c r="E129" s="29"/>
      <c r="F129" s="29"/>
      <c r="G129" s="29"/>
      <c r="H129" s="29"/>
      <c r="I129" s="29"/>
    </row>
    <row r="130" spans="1:9" x14ac:dyDescent="0.25">
      <c r="A130" s="29"/>
      <c r="B130" s="29"/>
      <c r="C130" s="29"/>
      <c r="D130" s="29"/>
      <c r="E130" s="29"/>
      <c r="F130" s="29"/>
      <c r="G130" s="29"/>
      <c r="H130" s="29"/>
      <c r="I130" s="29"/>
    </row>
    <row r="131" spans="1:9" x14ac:dyDescent="0.25">
      <c r="A131" s="29"/>
      <c r="B131" s="29"/>
      <c r="C131" s="29"/>
      <c r="D131" s="29"/>
      <c r="E131" s="29"/>
      <c r="F131" s="29"/>
      <c r="G131" s="29"/>
      <c r="H131" s="29"/>
      <c r="I131" s="29"/>
    </row>
    <row r="132" spans="1:9" x14ac:dyDescent="0.25">
      <c r="A132" s="29"/>
      <c r="B132" s="29"/>
      <c r="C132" s="29"/>
      <c r="D132" s="29"/>
      <c r="E132" s="29"/>
      <c r="F132" s="29"/>
      <c r="G132" s="29"/>
      <c r="H132" s="29"/>
      <c r="I132" s="29"/>
    </row>
    <row r="133" spans="1:9" x14ac:dyDescent="0.25">
      <c r="A133" s="29"/>
      <c r="B133" s="29"/>
      <c r="C133" s="29"/>
      <c r="D133" s="29"/>
      <c r="E133" s="29"/>
      <c r="F133" s="29"/>
      <c r="G133" s="29"/>
      <c r="H133" s="29"/>
      <c r="I133" s="29"/>
    </row>
    <row r="134" spans="1:9" x14ac:dyDescent="0.25">
      <c r="A134" s="29"/>
      <c r="B134" s="29"/>
      <c r="C134" s="29"/>
      <c r="D134" s="29"/>
      <c r="E134" s="29"/>
      <c r="F134" s="29"/>
      <c r="G134" s="29"/>
      <c r="H134" s="29"/>
      <c r="I134" s="29"/>
    </row>
    <row r="135" spans="1:9" x14ac:dyDescent="0.25">
      <c r="A135" s="29"/>
      <c r="B135" s="29"/>
      <c r="C135" s="29"/>
      <c r="D135" s="29"/>
      <c r="E135" s="29"/>
      <c r="F135" s="29"/>
      <c r="G135" s="29"/>
      <c r="H135" s="29"/>
      <c r="I135" s="29"/>
    </row>
    <row r="136" spans="1:9" x14ac:dyDescent="0.25">
      <c r="A136" s="29"/>
      <c r="B136" s="29"/>
      <c r="C136" s="29"/>
      <c r="D136" s="29"/>
      <c r="E136" s="29"/>
      <c r="F136" s="29"/>
      <c r="G136" s="29"/>
      <c r="H136" s="29"/>
      <c r="I136" s="29"/>
    </row>
    <row r="137" spans="1:9" x14ac:dyDescent="0.25">
      <c r="A137" s="29"/>
      <c r="B137" s="29"/>
      <c r="C137" s="29"/>
      <c r="D137" s="29"/>
      <c r="E137" s="29"/>
      <c r="F137" s="29"/>
      <c r="G137" s="29"/>
      <c r="H137" s="29"/>
      <c r="I137" s="29"/>
    </row>
    <row r="138" spans="1:9" x14ac:dyDescent="0.25">
      <c r="A138" s="29"/>
      <c r="B138" s="29"/>
      <c r="C138" s="29"/>
      <c r="D138" s="29"/>
      <c r="E138" s="29"/>
      <c r="F138" s="29"/>
      <c r="G138" s="29"/>
      <c r="H138" s="29"/>
      <c r="I138" s="29"/>
    </row>
    <row r="139" spans="1:9" x14ac:dyDescent="0.25">
      <c r="A139" s="29"/>
      <c r="B139" s="29"/>
      <c r="C139" s="29"/>
      <c r="D139" s="29"/>
      <c r="E139" s="29"/>
      <c r="F139" s="29"/>
      <c r="G139" s="29"/>
      <c r="H139" s="29"/>
      <c r="I139" s="29"/>
    </row>
    <row r="140" spans="1:9" x14ac:dyDescent="0.25">
      <c r="A140" s="29"/>
      <c r="B140" s="29"/>
      <c r="C140" s="29"/>
      <c r="D140" s="29"/>
      <c r="E140" s="29"/>
      <c r="F140" s="29"/>
      <c r="G140" s="29"/>
      <c r="H140" s="29"/>
      <c r="I140" s="29"/>
    </row>
    <row r="141" spans="1:9" x14ac:dyDescent="0.25">
      <c r="A141" s="29"/>
      <c r="B141" s="29"/>
      <c r="C141" s="29"/>
      <c r="D141" s="29"/>
      <c r="E141" s="29"/>
      <c r="F141" s="29"/>
      <c r="G141" s="29"/>
      <c r="H141" s="29"/>
      <c r="I141" s="29"/>
    </row>
    <row r="142" spans="1:9" x14ac:dyDescent="0.25">
      <c r="A142" s="29"/>
      <c r="B142" s="29"/>
      <c r="C142" s="29"/>
      <c r="D142" s="29"/>
      <c r="E142" s="29"/>
      <c r="F142" s="29"/>
      <c r="G142" s="29"/>
      <c r="H142" s="29"/>
      <c r="I142" s="29"/>
    </row>
    <row r="143" spans="1:9" x14ac:dyDescent="0.25">
      <c r="A143" s="29"/>
      <c r="B143" s="29"/>
      <c r="C143" s="29"/>
      <c r="D143" s="29"/>
      <c r="E143" s="29"/>
      <c r="F143" s="29"/>
      <c r="G143" s="29"/>
      <c r="H143" s="29"/>
      <c r="I143" s="29"/>
    </row>
    <row r="144" spans="1:9" x14ac:dyDescent="0.25">
      <c r="A144" s="29"/>
      <c r="B144" s="29"/>
      <c r="C144" s="29"/>
      <c r="D144" s="29"/>
      <c r="E144" s="29"/>
      <c r="F144" s="29"/>
      <c r="G144" s="29"/>
      <c r="H144" s="29"/>
      <c r="I144" s="29"/>
    </row>
    <row r="145" spans="1:9" x14ac:dyDescent="0.25">
      <c r="A145" s="29"/>
      <c r="B145" s="29"/>
      <c r="C145" s="29"/>
      <c r="D145" s="29"/>
      <c r="E145" s="29"/>
      <c r="F145" s="29"/>
      <c r="G145" s="29"/>
      <c r="H145" s="29"/>
      <c r="I145" s="29"/>
    </row>
    <row r="146" spans="1:9" x14ac:dyDescent="0.25">
      <c r="A146" s="29"/>
      <c r="B146" s="29"/>
      <c r="C146" s="29"/>
      <c r="D146" s="29"/>
      <c r="E146" s="29"/>
      <c r="F146" s="29"/>
      <c r="G146" s="29"/>
      <c r="H146" s="29"/>
      <c r="I146" s="29"/>
    </row>
    <row r="147" spans="1:9" x14ac:dyDescent="0.25">
      <c r="A147" s="29"/>
      <c r="B147" s="29"/>
      <c r="C147" s="29"/>
      <c r="D147" s="29"/>
      <c r="E147" s="29"/>
      <c r="F147" s="29"/>
      <c r="G147" s="29"/>
      <c r="H147" s="29"/>
      <c r="I147" s="29"/>
    </row>
    <row r="148" spans="1:9" x14ac:dyDescent="0.25">
      <c r="A148" s="29"/>
      <c r="B148" s="29"/>
      <c r="C148" s="29"/>
      <c r="D148" s="29"/>
      <c r="E148" s="29"/>
      <c r="F148" s="29"/>
      <c r="G148" s="29"/>
      <c r="H148" s="29"/>
      <c r="I148" s="29"/>
    </row>
    <row r="149" spans="1:9" x14ac:dyDescent="0.25">
      <c r="A149" s="29"/>
      <c r="B149" s="29"/>
      <c r="C149" s="29"/>
      <c r="D149" s="29"/>
      <c r="E149" s="29"/>
      <c r="F149" s="29"/>
      <c r="G149" s="29"/>
      <c r="H149" s="29"/>
      <c r="I149" s="29"/>
    </row>
    <row r="150" spans="1:9" x14ac:dyDescent="0.25">
      <c r="A150" s="29"/>
      <c r="B150" s="29"/>
      <c r="C150" s="29"/>
      <c r="D150" s="29"/>
      <c r="E150" s="29"/>
      <c r="F150" s="29"/>
      <c r="G150" s="29"/>
      <c r="H150" s="29"/>
      <c r="I150" s="29"/>
    </row>
    <row r="151" spans="1:9" x14ac:dyDescent="0.25">
      <c r="A151" s="29"/>
      <c r="B151" s="29"/>
      <c r="C151" s="29"/>
      <c r="D151" s="29"/>
      <c r="E151" s="29"/>
      <c r="F151" s="29"/>
      <c r="G151" s="29"/>
      <c r="H151" s="29"/>
      <c r="I151" s="29"/>
    </row>
    <row r="152" spans="1:9" x14ac:dyDescent="0.25">
      <c r="A152" s="29"/>
      <c r="B152" s="29"/>
      <c r="C152" s="29"/>
      <c r="D152" s="29"/>
      <c r="E152" s="29"/>
      <c r="F152" s="29"/>
      <c r="G152" s="29"/>
      <c r="H152" s="29"/>
      <c r="I152" s="29"/>
    </row>
    <row r="155" spans="1:9" x14ac:dyDescent="0.25">
      <c r="A155" s="301" t="s">
        <v>78</v>
      </c>
      <c r="B155" s="302"/>
      <c r="C155" s="302"/>
      <c r="D155" s="302"/>
    </row>
    <row r="156" spans="1:9" x14ac:dyDescent="0.25">
      <c r="A156" s="71" t="s">
        <v>179</v>
      </c>
      <c r="B156" s="71" t="s">
        <v>180</v>
      </c>
      <c r="C156" s="71" t="s">
        <v>57</v>
      </c>
      <c r="D156" s="71" t="s">
        <v>181</v>
      </c>
    </row>
    <row r="157" spans="1:9" x14ac:dyDescent="0.25">
      <c r="A157" t="str">
        <f>'Encodage ventilation'!D18</f>
        <v>0-3000 m³/h</v>
      </c>
      <c r="B157" t="e" cm="1">
        <f t="array" ref="B157">_xlfn.IFS('Encodage ventilation'!$E$14=DonnéesAutres!$A$108,"Pas de modification",'Encodage ventilation'!$E$14=DonnéesAutres!$A$109,"Système C",'Encodage ventilation'!$E$14=DonnéesAutres!$A$110,"Système D")</f>
        <v>#N/A</v>
      </c>
      <c r="C157">
        <f>'Encodage ventilation'!E18</f>
        <v>0</v>
      </c>
      <c r="D157" t="e">
        <f>IF(Tableau3[[#This Row],[Système]]="Pas de modification",0,IF(Tableau3[[#This Row],[Système]]="Système C",_xlfn.XLOOKUP(Tableau3[[#This Row],[débit]],'Données Giant'!$A$44:$A$50,'Données Giant'!$C$44:$C$50,0),_xlfn.XLOOKUP(Tableau3[[#This Row],[débit]],'Données Giant'!$A$55:$A$61,'Données Giant'!$C$55:$C$61,0)))</f>
        <v>#N/A</v>
      </c>
    </row>
    <row r="158" spans="1:9" x14ac:dyDescent="0.25">
      <c r="A158" t="str">
        <f>'Encodage ventilation'!D19</f>
        <v>3000-5000 m³/h</v>
      </c>
      <c r="B158" t="e" cm="1">
        <f t="array" ref="B158">_xlfn.IFS('Encodage ventilation'!$E$14=DonnéesAutres!$A$108,"Pas de modification",'Encodage ventilation'!$E$14=DonnéesAutres!$A$109,"Système C",'Encodage ventilation'!$E$14=DonnéesAutres!$A$110,"Système D")</f>
        <v>#N/A</v>
      </c>
      <c r="C158">
        <f>'Encodage ventilation'!E19</f>
        <v>0</v>
      </c>
      <c r="D158" t="e">
        <f>IF(Tableau3[[#This Row],[Système]]="Pas de modification",0,IF(Tableau3[[#This Row],[Système]]="Système C",_xlfn.XLOOKUP(Tableau3[[#This Row],[débit]],'Données Giant'!$A$44:$A$50,'Données Giant'!$C$44:$C$50,0),_xlfn.XLOOKUP(Tableau3[[#This Row],[débit]],'Données Giant'!$A$55:$A$61,'Données Giant'!$C$55:$C$61,0)))</f>
        <v>#N/A</v>
      </c>
    </row>
    <row r="159" spans="1:9" x14ac:dyDescent="0.25">
      <c r="A159" t="str">
        <f>'Encodage ventilation'!D20</f>
        <v>5000-10000 m³/h</v>
      </c>
      <c r="B159" t="e" cm="1">
        <f t="array" ref="B159">_xlfn.IFS('Encodage ventilation'!$E$14=DonnéesAutres!$A$108,"Pas de modification",'Encodage ventilation'!$E$14=DonnéesAutres!$A$109,"Système C",'Encodage ventilation'!$E$14=DonnéesAutres!$A$110,"Système D")</f>
        <v>#N/A</v>
      </c>
      <c r="C159">
        <f>'Encodage ventilation'!E20</f>
        <v>0</v>
      </c>
      <c r="D159" t="e">
        <f>IF(Tableau3[[#This Row],[Système]]="Pas de modification",0,IF(Tableau3[[#This Row],[Système]]="Système C",_xlfn.XLOOKUP(Tableau3[[#This Row],[débit]],'Données Giant'!$A$44:$A$50,'Données Giant'!$C$44:$C$50,0),_xlfn.XLOOKUP(Tableau3[[#This Row],[débit]],'Données Giant'!$A$55:$A$61,'Données Giant'!$C$55:$C$61,0)))</f>
        <v>#N/A</v>
      </c>
    </row>
    <row r="160" spans="1:9" x14ac:dyDescent="0.25">
      <c r="A160" t="str">
        <f>'Encodage ventilation'!D21</f>
        <v>10000-15000 m³/h</v>
      </c>
      <c r="B160" t="e" cm="1">
        <f t="array" ref="B160">_xlfn.IFS('Encodage ventilation'!$E$14=DonnéesAutres!$A$108,"Pas de modification",'Encodage ventilation'!$E$14=DonnéesAutres!$A$109,"Système C",'Encodage ventilation'!$E$14=DonnéesAutres!$A$110,"Système D")</f>
        <v>#N/A</v>
      </c>
      <c r="C160">
        <f>'Encodage ventilation'!E21</f>
        <v>0</v>
      </c>
      <c r="D160" t="e">
        <f>IF(Tableau3[[#This Row],[Système]]="Pas de modification",0,IF(Tableau3[[#This Row],[Système]]="Système C",_xlfn.XLOOKUP(Tableau3[[#This Row],[débit]],'Données Giant'!$A$44:$A$50,'Données Giant'!$C$44:$C$50,0),_xlfn.XLOOKUP(Tableau3[[#This Row],[débit]],'Données Giant'!$A$55:$A$61,'Données Giant'!$C$55:$C$61,0)))</f>
        <v>#N/A</v>
      </c>
    </row>
    <row r="161" spans="1:4" x14ac:dyDescent="0.25">
      <c r="A161" t="str">
        <f>'Encodage ventilation'!D22</f>
        <v>15000-20000 m³/h</v>
      </c>
      <c r="B161" t="e" cm="1">
        <f t="array" ref="B161">_xlfn.IFS('Encodage ventilation'!$E$14=DonnéesAutres!$A$108,"Pas de modification",'Encodage ventilation'!$E$14=DonnéesAutres!$A$109,"Système C",'Encodage ventilation'!$E$14=DonnéesAutres!$A$110,"Système D")</f>
        <v>#N/A</v>
      </c>
      <c r="C161">
        <f>'Encodage ventilation'!E22</f>
        <v>0</v>
      </c>
      <c r="D161" t="e">
        <f>IF(Tableau3[[#This Row],[Système]]="Pas de modification",0,IF(Tableau3[[#This Row],[Système]]="Système C",_xlfn.XLOOKUP(Tableau3[[#This Row],[débit]],'Données Giant'!$A$44:$A$50,'Données Giant'!$C$44:$C$50,0),_xlfn.XLOOKUP(Tableau3[[#This Row],[débit]],'Données Giant'!$A$55:$A$61,'Données Giant'!$C$55:$C$61,0)))</f>
        <v>#N/A</v>
      </c>
    </row>
    <row r="162" spans="1:4" x14ac:dyDescent="0.25">
      <c r="A162" t="str">
        <f>'Encodage ventilation'!D23</f>
        <v>20000-25000 m³/h</v>
      </c>
      <c r="B162" t="e" cm="1">
        <f t="array" ref="B162">_xlfn.IFS('Encodage ventilation'!$E$14=DonnéesAutres!$A$108,"Pas de modification",'Encodage ventilation'!$E$14=DonnéesAutres!$A$109,"Système C",'Encodage ventilation'!$E$14=DonnéesAutres!$A$110,"Système D")</f>
        <v>#N/A</v>
      </c>
      <c r="C162">
        <f>'Encodage ventilation'!E23</f>
        <v>0</v>
      </c>
      <c r="D162" t="e">
        <f>IF(Tableau3[[#This Row],[Système]]="Pas de modification",0,IF(Tableau3[[#This Row],[Système]]="Système C",_xlfn.XLOOKUP(Tableau3[[#This Row],[débit]],'Données Giant'!$A$44:$A$50,'Données Giant'!$C$44:$C$50,0),_xlfn.XLOOKUP(Tableau3[[#This Row],[débit]],'Données Giant'!$A$55:$A$61,'Données Giant'!$C$55:$C$61,0)))</f>
        <v>#N/A</v>
      </c>
    </row>
    <row r="163" spans="1:4" x14ac:dyDescent="0.25">
      <c r="A163" t="str">
        <f>'Encodage ventilation'!D24</f>
        <v>25000-30000 m³/h</v>
      </c>
      <c r="B163" t="e" cm="1">
        <f t="array" ref="B163">_xlfn.IFS('Encodage ventilation'!$E$14=DonnéesAutres!$A$108,"Pas de modification",'Encodage ventilation'!$E$14=DonnéesAutres!$A$109,"Système C",'Encodage ventilation'!$E$14=DonnéesAutres!$A$110,"Système D")</f>
        <v>#N/A</v>
      </c>
      <c r="C163">
        <f>'Encodage ventilation'!E24</f>
        <v>0</v>
      </c>
      <c r="D163" t="e">
        <f>IF(Tableau3[[#This Row],[Système]]="Pas de modification",0,IF(Tableau3[[#This Row],[Système]]="Système C",_xlfn.XLOOKUP(Tableau3[[#This Row],[débit]],'Données Giant'!$A$44:$A$50,'Données Giant'!$C$44:$C$50,0),_xlfn.XLOOKUP(Tableau3[[#This Row],[débit]],'Données Giant'!$A$55:$A$61,'Données Giant'!$C$55:$C$61,0)))</f>
        <v>#N/A</v>
      </c>
    </row>
    <row r="164" spans="1:4" x14ac:dyDescent="0.25">
      <c r="A164">
        <f>'Encodage ventilation'!D25</f>
        <v>0</v>
      </c>
      <c r="B164" t="e" cm="1">
        <f t="array" ref="B164">_xlfn.IFS('Encodage ventilation'!$E$14=DonnéesAutres!$A$108,"Pas de modification",'Encodage ventilation'!$E$14=DonnéesAutres!$A$109,"Système C",'Encodage ventilation'!$E$14=DonnéesAutres!$A$110,"Système D")</f>
        <v>#N/A</v>
      </c>
      <c r="C164">
        <f>'Encodage ventilation'!E25</f>
        <v>0</v>
      </c>
      <c r="D164" t="e">
        <f>IF(Tableau3[[#This Row],[Système]]="Pas de modification",0,IF(Tableau3[[#This Row],[Système]]="Système C",_xlfn.XLOOKUP(Tableau3[[#This Row],[débit]],'Données Giant'!$A$44:$A$50,'Données Giant'!$C$44:$C$50,0),_xlfn.XLOOKUP(Tableau3[[#This Row],[débit]],'Données Giant'!$A$55:$A$61,'Données Giant'!$C$55:$C$61,0)))</f>
        <v>#N/A</v>
      </c>
    </row>
    <row r="165" spans="1:4" x14ac:dyDescent="0.25">
      <c r="A165">
        <f>'Encodage ventilation'!D26</f>
        <v>0</v>
      </c>
      <c r="B165" t="e" cm="1">
        <f t="array" ref="B165">_xlfn.IFS('Encodage ventilation'!$E$14=DonnéesAutres!$A$108,"Pas de modification",'Encodage ventilation'!$E$14=DonnéesAutres!$A$109,"Système C",'Encodage ventilation'!$E$14=DonnéesAutres!$A$110,"Système D")</f>
        <v>#N/A</v>
      </c>
      <c r="C165">
        <f>'Encodage ventilation'!E26</f>
        <v>0</v>
      </c>
      <c r="D165" t="e">
        <f>IF(Tableau3[[#This Row],[Système]]="Pas de modification",0,IF(Tableau3[[#This Row],[Système]]="Système C",_xlfn.XLOOKUP(Tableau3[[#This Row],[débit]],'Données Giant'!$A$44:$A$50,'Données Giant'!$C$44:$C$50,0),_xlfn.XLOOKUP(Tableau3[[#This Row],[débit]],'Données Giant'!$A$55:$A$61,'Données Giant'!$C$55:$C$61,0)))</f>
        <v>#N/A</v>
      </c>
    </row>
    <row r="166" spans="1:4" x14ac:dyDescent="0.25">
      <c r="A166">
        <f>'Encodage ventilation'!D27</f>
        <v>0</v>
      </c>
      <c r="B166" t="e" cm="1">
        <f t="array" ref="B166">_xlfn.IFS('Encodage ventilation'!$E$14=DonnéesAutres!$A$108,"Pas de modification",'Encodage ventilation'!$E$14=DonnéesAutres!$A$109,"Système C",'Encodage ventilation'!$E$14=DonnéesAutres!$A$110,"Système D")</f>
        <v>#N/A</v>
      </c>
      <c r="C166">
        <f>'Encodage ventilation'!E27</f>
        <v>0</v>
      </c>
      <c r="D166" t="e">
        <f>IF(Tableau3[[#This Row],[Système]]="Pas de modification",0,IF(Tableau3[[#This Row],[Système]]="Système C",_xlfn.XLOOKUP(Tableau3[[#This Row],[débit]],'Données Giant'!$A$44:$A$50,'Données Giant'!$C$44:$C$50,0),_xlfn.XLOOKUP(Tableau3[[#This Row],[débit]],'Données Giant'!$A$55:$A$61,'Données Giant'!$C$55:$C$61,0)))</f>
        <v>#N/A</v>
      </c>
    </row>
    <row r="167" spans="1:4" x14ac:dyDescent="0.25">
      <c r="A167">
        <f>'Encodage ventilation'!D28</f>
        <v>0</v>
      </c>
      <c r="B167" t="e" cm="1">
        <f t="array" ref="B167">_xlfn.IFS('Encodage ventilation'!$E$14=DonnéesAutres!$A$108,"Pas de modification",'Encodage ventilation'!$E$14=DonnéesAutres!$A$109,"Système C",'Encodage ventilation'!$E$14=DonnéesAutres!$A$110,"Système D")</f>
        <v>#N/A</v>
      </c>
      <c r="C167">
        <f>'Encodage ventilation'!E28</f>
        <v>0</v>
      </c>
      <c r="D167" t="e">
        <f>IF(Tableau3[[#This Row],[Système]]="Pas de modification",0,IF(Tableau3[[#This Row],[Système]]="Système C",_xlfn.XLOOKUP(Tableau3[[#This Row],[débit]],'Données Giant'!$A$44:$A$50,'Données Giant'!$C$44:$C$50,0),_xlfn.XLOOKUP(Tableau3[[#This Row],[débit]],'Données Giant'!$A$55:$A$61,'Données Giant'!$C$55:$C$61,0)))</f>
        <v>#N/A</v>
      </c>
    </row>
    <row r="168" spans="1:4" x14ac:dyDescent="0.25">
      <c r="A168">
        <f>'Encodage ventilation'!D29</f>
        <v>0</v>
      </c>
      <c r="B168" t="e" cm="1">
        <f t="array" ref="B168">_xlfn.IFS('Encodage ventilation'!$E$14=DonnéesAutres!$A$108,"Pas de modification",'Encodage ventilation'!$E$14=DonnéesAutres!$A$109,"Système C",'Encodage ventilation'!$E$14=DonnéesAutres!$A$110,"Système D")</f>
        <v>#N/A</v>
      </c>
      <c r="C168">
        <f>'Encodage ventilation'!E29</f>
        <v>0</v>
      </c>
      <c r="D168" t="e">
        <f>IF(Tableau3[[#This Row],[Système]]="Pas de modification",0,IF(Tableau3[[#This Row],[Système]]="Système C",_xlfn.XLOOKUP(Tableau3[[#This Row],[débit]],'Données Giant'!$A$44:$A$50,'Données Giant'!$C$44:$C$50,0),_xlfn.XLOOKUP(Tableau3[[#This Row],[débit]],'Données Giant'!$A$55:$A$61,'Données Giant'!$C$55:$C$61,0)))</f>
        <v>#N/A</v>
      </c>
    </row>
    <row r="169" spans="1:4" x14ac:dyDescent="0.25">
      <c r="A169">
        <f>'Encodage ventilation'!D30</f>
        <v>0</v>
      </c>
      <c r="B169" t="e" cm="1">
        <f t="array" ref="B169">_xlfn.IFS('Encodage ventilation'!$E$14=DonnéesAutres!$A$108,"Pas de modification",'Encodage ventilation'!$E$14=DonnéesAutres!$A$109,"Système C",'Encodage ventilation'!$E$14=DonnéesAutres!$A$110,"Système D")</f>
        <v>#N/A</v>
      </c>
      <c r="C169">
        <f>'Encodage ventilation'!E30</f>
        <v>0</v>
      </c>
      <c r="D169" t="e">
        <f>IF(Tableau3[[#This Row],[Système]]="Pas de modification",0,IF(Tableau3[[#This Row],[Système]]="Système C",_xlfn.XLOOKUP(Tableau3[[#This Row],[débit]],'Données Giant'!$A$44:$A$50,'Données Giant'!$C$44:$C$50,0),_xlfn.XLOOKUP(Tableau3[[#This Row],[débit]],'Données Giant'!$A$55:$A$61,'Données Giant'!$C$55:$C$61,0)))</f>
        <v>#N/A</v>
      </c>
    </row>
    <row r="170" spans="1:4" x14ac:dyDescent="0.25">
      <c r="A170">
        <f>'Encodage ventilation'!D31</f>
        <v>0</v>
      </c>
      <c r="B170" t="e" cm="1">
        <f t="array" ref="B170">_xlfn.IFS('Encodage ventilation'!$E$14=DonnéesAutres!$A$108,"Pas de modification",'Encodage ventilation'!$E$14=DonnéesAutres!$A$109,"Système C",'Encodage ventilation'!$E$14=DonnéesAutres!$A$110,"Système D")</f>
        <v>#N/A</v>
      </c>
      <c r="C170">
        <f>'Encodage ventilation'!E31</f>
        <v>0</v>
      </c>
      <c r="D170" t="e">
        <f>IF(Tableau3[[#This Row],[Système]]="Pas de modification",0,IF(Tableau3[[#This Row],[Système]]="Système C",_xlfn.XLOOKUP(Tableau3[[#This Row],[débit]],'Données Giant'!$A$44:$A$50,'Données Giant'!$C$44:$C$50,0),_xlfn.XLOOKUP(Tableau3[[#This Row],[débit]],'Données Giant'!$A$55:$A$61,'Données Giant'!$C$55:$C$61,0)))</f>
        <v>#N/A</v>
      </c>
    </row>
    <row r="171" spans="1:4" x14ac:dyDescent="0.25">
      <c r="A171">
        <f>'Encodage ventilation'!D32</f>
        <v>0</v>
      </c>
      <c r="B171" t="e" cm="1">
        <f t="array" ref="B171">_xlfn.IFS('Encodage ventilation'!$E$14=DonnéesAutres!$A$108,"Pas de modification",'Encodage ventilation'!$E$14=DonnéesAutres!$A$109,"Système C",'Encodage ventilation'!$E$14=DonnéesAutres!$A$110,"Système D")</f>
        <v>#N/A</v>
      </c>
      <c r="C171">
        <f>'Encodage ventilation'!E32</f>
        <v>0</v>
      </c>
      <c r="D171" t="e">
        <f>IF(Tableau3[[#This Row],[Système]]="Pas de modification",0,IF(Tableau3[[#This Row],[Système]]="Système C",_xlfn.XLOOKUP(Tableau3[[#This Row],[débit]],'Données Giant'!$A$44:$A$50,'Données Giant'!$C$44:$C$50,0),_xlfn.XLOOKUP(Tableau3[[#This Row],[débit]],'Données Giant'!$A$55:$A$61,'Données Giant'!$C$55:$C$61,0)))</f>
        <v>#N/A</v>
      </c>
    </row>
    <row r="172" spans="1:4" x14ac:dyDescent="0.25">
      <c r="A172">
        <f>'Encodage ventilation'!D33</f>
        <v>0</v>
      </c>
      <c r="B172" t="e" cm="1">
        <f t="array" ref="B172">_xlfn.IFS('Encodage ventilation'!$E$14=DonnéesAutres!$A$108,"Pas de modification",'Encodage ventilation'!$E$14=DonnéesAutres!$A$109,"Système C",'Encodage ventilation'!$E$14=DonnéesAutres!$A$110,"Système D")</f>
        <v>#N/A</v>
      </c>
      <c r="C172">
        <f>'Encodage ventilation'!E33</f>
        <v>0</v>
      </c>
      <c r="D172" t="e">
        <f>IF(Tableau3[[#This Row],[Système]]="Pas de modification",0,IF(Tableau3[[#This Row],[Système]]="Système C",_xlfn.XLOOKUP(Tableau3[[#This Row],[débit]],'Données Giant'!$A$44:$A$50,'Données Giant'!$C$44:$C$50,0),_xlfn.XLOOKUP(Tableau3[[#This Row],[débit]],'Données Giant'!$A$55:$A$61,'Données Giant'!$C$55:$C$61,0)))</f>
        <v>#N/A</v>
      </c>
    </row>
    <row r="173" spans="1:4" x14ac:dyDescent="0.25">
      <c r="A173">
        <f>'Encodage ventilation'!D34</f>
        <v>0</v>
      </c>
      <c r="B173" t="e" cm="1">
        <f t="array" ref="B173">_xlfn.IFS('Encodage ventilation'!$E$14=DonnéesAutres!$A$108,"Pas de modification",'Encodage ventilation'!$E$14=DonnéesAutres!$A$109,"Système C",'Encodage ventilation'!$E$14=DonnéesAutres!$A$110,"Système D")</f>
        <v>#N/A</v>
      </c>
      <c r="C173">
        <f>'Encodage ventilation'!E34</f>
        <v>0</v>
      </c>
      <c r="D173" t="e">
        <f>IF(Tableau3[[#This Row],[Système]]="Pas de modification",0,IF(Tableau3[[#This Row],[Système]]="Système C",_xlfn.XLOOKUP(Tableau3[[#This Row],[débit]],'Données Giant'!$A$44:$A$50,'Données Giant'!$C$44:$C$50,0),_xlfn.XLOOKUP(Tableau3[[#This Row],[débit]],'Données Giant'!$A$55:$A$61,'Données Giant'!$C$55:$C$61,0)))</f>
        <v>#N/A</v>
      </c>
    </row>
    <row r="174" spans="1:4" x14ac:dyDescent="0.25">
      <c r="A174">
        <f>'Encodage ventilation'!D35</f>
        <v>0</v>
      </c>
      <c r="B174" t="e" cm="1">
        <f t="array" ref="B174">_xlfn.IFS('Encodage ventilation'!$E$14=DonnéesAutres!$A$108,"Pas de modification",'Encodage ventilation'!$E$14=DonnéesAutres!$A$109,"Système C",'Encodage ventilation'!$E$14=DonnéesAutres!$A$110,"Système D")</f>
        <v>#N/A</v>
      </c>
      <c r="C174">
        <f>'Encodage ventilation'!E35</f>
        <v>0</v>
      </c>
      <c r="D174" t="e">
        <f>IF(Tableau3[[#This Row],[Système]]="Pas de modification",0,IF(Tableau3[[#This Row],[Système]]="Système C",_xlfn.XLOOKUP(Tableau3[[#This Row],[débit]],'Données Giant'!$A$44:$A$50,'Données Giant'!$C$44:$C$50,0),_xlfn.XLOOKUP(Tableau3[[#This Row],[débit]],'Données Giant'!$A$55:$A$61,'Données Giant'!$C$55:$C$61,0)))</f>
        <v>#N/A</v>
      </c>
    </row>
    <row r="175" spans="1:4" x14ac:dyDescent="0.25">
      <c r="A175">
        <f>'Encodage ventilation'!D36</f>
        <v>0</v>
      </c>
      <c r="B175" t="e" cm="1">
        <f t="array" ref="B175">_xlfn.IFS('Encodage ventilation'!$E$14=DonnéesAutres!$A$108,"Pas de modification",'Encodage ventilation'!$E$14=DonnéesAutres!$A$109,"Système C",'Encodage ventilation'!$E$14=DonnéesAutres!$A$110,"Système D")</f>
        <v>#N/A</v>
      </c>
      <c r="C175">
        <f>'Encodage ventilation'!E36</f>
        <v>0</v>
      </c>
      <c r="D175" t="e">
        <f>IF(Tableau3[[#This Row],[Système]]="Pas de modification",0,IF(Tableau3[[#This Row],[Système]]="Système C",_xlfn.XLOOKUP(Tableau3[[#This Row],[débit]],'Données Giant'!$A$44:$A$50,'Données Giant'!$C$44:$C$50,0),_xlfn.XLOOKUP(Tableau3[[#This Row],[débit]],'Données Giant'!$A$55:$A$61,'Données Giant'!$C$55:$C$61,0)))</f>
        <v>#N/A</v>
      </c>
    </row>
    <row r="176" spans="1:4" x14ac:dyDescent="0.25">
      <c r="A176">
        <f>'Encodage ventilation'!D37</f>
        <v>0</v>
      </c>
      <c r="B176" t="e" cm="1">
        <f t="array" ref="B176">_xlfn.IFS('Encodage ventilation'!$E$14=DonnéesAutres!$A$108,"Pas de modification",'Encodage ventilation'!$E$14=DonnéesAutres!$A$109,"Système C",'Encodage ventilation'!$E$14=DonnéesAutres!$A$110,"Système D")</f>
        <v>#N/A</v>
      </c>
      <c r="C176">
        <f>'Encodage ventilation'!E37</f>
        <v>0</v>
      </c>
      <c r="D176" t="e">
        <f>IF(Tableau3[[#This Row],[Système]]="Pas de modification",0,IF(Tableau3[[#This Row],[Système]]="Système C",_xlfn.XLOOKUP(Tableau3[[#This Row],[débit]],'Données Giant'!$A$44:$A$50,'Données Giant'!$C$44:$C$50,0),_xlfn.XLOOKUP(Tableau3[[#This Row],[débit]],'Données Giant'!$A$55:$A$61,'Données Giant'!$C$55:$C$61,0)))</f>
        <v>#N/A</v>
      </c>
    </row>
    <row r="177" spans="1:4" x14ac:dyDescent="0.25">
      <c r="A177">
        <f>'Encodage ventilation'!D38</f>
        <v>0</v>
      </c>
      <c r="B177" t="e" cm="1">
        <f t="array" ref="B177">_xlfn.IFS('Encodage ventilation'!$E$14=DonnéesAutres!$A$108,"Pas de modification",'Encodage ventilation'!$E$14=DonnéesAutres!$A$109,"Système C",'Encodage ventilation'!$E$14=DonnéesAutres!$A$110,"Système D")</f>
        <v>#N/A</v>
      </c>
      <c r="C177">
        <f>'Encodage ventilation'!E38</f>
        <v>0</v>
      </c>
      <c r="D177" t="e">
        <f>IF(Tableau3[[#This Row],[Système]]="Pas de modification",0,IF(Tableau3[[#This Row],[Système]]="Système C",_xlfn.XLOOKUP(Tableau3[[#This Row],[débit]],'Données Giant'!$A$44:$A$50,'Données Giant'!$C$44:$C$50,0),_xlfn.XLOOKUP(Tableau3[[#This Row],[débit]],'Données Giant'!$A$55:$A$61,'Données Giant'!$C$55:$C$61,0)))</f>
        <v>#N/A</v>
      </c>
    </row>
    <row r="178" spans="1:4" x14ac:dyDescent="0.25">
      <c r="A178">
        <f>'Encodage ventilation'!D39</f>
        <v>0</v>
      </c>
      <c r="B178" t="e" cm="1">
        <f t="array" ref="B178">_xlfn.IFS('Encodage ventilation'!$E$14=DonnéesAutres!$A$108,"Pas de modification",'Encodage ventilation'!$E$14=DonnéesAutres!$A$109,"Système C",'Encodage ventilation'!$E$14=DonnéesAutres!$A$110,"Système D")</f>
        <v>#N/A</v>
      </c>
      <c r="C178">
        <f>'Encodage ventilation'!E39</f>
        <v>0</v>
      </c>
      <c r="D178" t="e">
        <f>IF(Tableau3[[#This Row],[Système]]="Pas de modification",0,IF(Tableau3[[#This Row],[Système]]="Système C",_xlfn.XLOOKUP(Tableau3[[#This Row],[débit]],'Données Giant'!$A$44:$A$50,'Données Giant'!$C$44:$C$50,0),_xlfn.XLOOKUP(Tableau3[[#This Row],[débit]],'Données Giant'!$A$55:$A$61,'Données Giant'!$C$55:$C$61,0)))</f>
        <v>#N/A</v>
      </c>
    </row>
    <row r="179" spans="1:4" x14ac:dyDescent="0.25">
      <c r="A179">
        <f>'Encodage ventilation'!D40</f>
        <v>0</v>
      </c>
      <c r="B179" t="e" cm="1">
        <f t="array" ref="B179">_xlfn.IFS('Encodage ventilation'!$E$14=DonnéesAutres!$A$108,"Pas de modification",'Encodage ventilation'!$E$14=DonnéesAutres!$A$109,"Système C",'Encodage ventilation'!$E$14=DonnéesAutres!$A$110,"Système D")</f>
        <v>#N/A</v>
      </c>
      <c r="C179">
        <f>'Encodage ventilation'!E40</f>
        <v>0</v>
      </c>
      <c r="D179" t="e">
        <f>IF(Tableau3[[#This Row],[Système]]="Pas de modification",0,IF(Tableau3[[#This Row],[Système]]="Système C",_xlfn.XLOOKUP(Tableau3[[#This Row],[débit]],'Données Giant'!$A$44:$A$50,'Données Giant'!$C$44:$C$50,0),_xlfn.XLOOKUP(Tableau3[[#This Row],[débit]],'Données Giant'!$A$55:$A$61,'Données Giant'!$C$55:$C$61,0)))</f>
        <v>#N/A</v>
      </c>
    </row>
    <row r="180" spans="1:4" x14ac:dyDescent="0.25">
      <c r="A180">
        <f>'Encodage ventilation'!D41</f>
        <v>0</v>
      </c>
      <c r="B180" t="e" cm="1">
        <f t="array" ref="B180">_xlfn.IFS('Encodage ventilation'!$E$14=DonnéesAutres!$A$108,"Pas de modification",'Encodage ventilation'!$E$14=DonnéesAutres!$A$109,"Système C",'Encodage ventilation'!$E$14=DonnéesAutres!$A$110,"Système D")</f>
        <v>#N/A</v>
      </c>
      <c r="C180">
        <f>'Encodage ventilation'!E41</f>
        <v>0</v>
      </c>
      <c r="D180" t="e">
        <f>IF(Tableau3[[#This Row],[Système]]="Pas de modification",0,IF(Tableau3[[#This Row],[Système]]="Système C",_xlfn.XLOOKUP(Tableau3[[#This Row],[débit]],'Données Giant'!$A$44:$A$50,'Données Giant'!$C$44:$C$50,0),_xlfn.XLOOKUP(Tableau3[[#This Row],[débit]],'Données Giant'!$A$55:$A$61,'Données Giant'!$C$55:$C$61,0)))</f>
        <v>#N/A</v>
      </c>
    </row>
    <row r="181" spans="1:4" x14ac:dyDescent="0.25">
      <c r="A181">
        <f>'Encodage ventilation'!D42</f>
        <v>0</v>
      </c>
      <c r="B181" t="e" cm="1">
        <f t="array" ref="B181">_xlfn.IFS('Encodage ventilation'!$E$14=DonnéesAutres!$A$108,"Pas de modification",'Encodage ventilation'!$E$14=DonnéesAutres!$A$109,"Système C",'Encodage ventilation'!$E$14=DonnéesAutres!$A$110,"Système D")</f>
        <v>#N/A</v>
      </c>
      <c r="C181">
        <f>'Encodage ventilation'!E42</f>
        <v>0</v>
      </c>
      <c r="D181" t="e">
        <f>IF(Tableau3[[#This Row],[Système]]="Pas de modification",0,IF(Tableau3[[#This Row],[Système]]="Système C",_xlfn.XLOOKUP(Tableau3[[#This Row],[débit]],'Données Giant'!$A$44:$A$50,'Données Giant'!$C$44:$C$50,0),_xlfn.XLOOKUP(Tableau3[[#This Row],[débit]],'Données Giant'!$A$55:$A$61,'Données Giant'!$C$55:$C$61,0)))</f>
        <v>#N/A</v>
      </c>
    </row>
    <row r="182" spans="1:4" x14ac:dyDescent="0.25">
      <c r="A182">
        <f>'Encodage ventilation'!D43</f>
        <v>0</v>
      </c>
      <c r="B182" t="e" cm="1">
        <f t="array" ref="B182">_xlfn.IFS('Encodage ventilation'!$E$14=DonnéesAutres!$A$108,"Pas de modification",'Encodage ventilation'!$E$14=DonnéesAutres!$A$109,"Système C",'Encodage ventilation'!$E$14=DonnéesAutres!$A$110,"Système D")</f>
        <v>#N/A</v>
      </c>
      <c r="C182">
        <f>'Encodage ventilation'!E43</f>
        <v>0</v>
      </c>
      <c r="D182" t="e">
        <f>IF(Tableau3[[#This Row],[Système]]="Pas de modification",0,IF(Tableau3[[#This Row],[Système]]="Système C",_xlfn.XLOOKUP(Tableau3[[#This Row],[débit]],'Données Giant'!$A$44:$A$50,'Données Giant'!$C$44:$C$50,0),_xlfn.XLOOKUP(Tableau3[[#This Row],[débit]],'Données Giant'!$A$55:$A$61,'Données Giant'!$C$55:$C$61,0)))</f>
        <v>#N/A</v>
      </c>
    </row>
    <row r="183" spans="1:4" x14ac:dyDescent="0.25">
      <c r="A183">
        <f>'Encodage ventilation'!D44</f>
        <v>0</v>
      </c>
      <c r="B183" t="e" cm="1">
        <f t="array" ref="B183">_xlfn.IFS('Encodage ventilation'!$E$14=DonnéesAutres!$A$108,"Pas de modification",'Encodage ventilation'!$E$14=DonnéesAutres!$A$109,"Système C",'Encodage ventilation'!$E$14=DonnéesAutres!$A$110,"Système D")</f>
        <v>#N/A</v>
      </c>
      <c r="C183">
        <f>'Encodage ventilation'!E44</f>
        <v>0</v>
      </c>
      <c r="D183" t="e">
        <f>IF(Tableau3[[#This Row],[Système]]="Pas de modification",0,IF(Tableau3[[#This Row],[Système]]="Système C",_xlfn.XLOOKUP(Tableau3[[#This Row],[débit]],'Données Giant'!$A$44:$A$50,'Données Giant'!$C$44:$C$50,0),_xlfn.XLOOKUP(Tableau3[[#This Row],[débit]],'Données Giant'!$A$55:$A$61,'Données Giant'!$C$55:$C$61,0)))</f>
        <v>#N/A</v>
      </c>
    </row>
    <row r="184" spans="1:4" x14ac:dyDescent="0.25">
      <c r="A184">
        <f>'Encodage ventilation'!D45</f>
        <v>0</v>
      </c>
      <c r="B184" t="e" cm="1">
        <f t="array" ref="B184">_xlfn.IFS('Encodage ventilation'!$E$14=DonnéesAutres!$A$108,"Pas de modification",'Encodage ventilation'!$E$14=DonnéesAutres!$A$109,"Système C",'Encodage ventilation'!$E$14=DonnéesAutres!$A$110,"Système D")</f>
        <v>#N/A</v>
      </c>
      <c r="C184">
        <f>'Encodage ventilation'!E45</f>
        <v>0</v>
      </c>
      <c r="D184" t="e">
        <f>IF(Tableau3[[#This Row],[Système]]="Pas de modification",0,IF(Tableau3[[#This Row],[Système]]="Système C",_xlfn.XLOOKUP(Tableau3[[#This Row],[débit]],'Données Giant'!$A$44:$A$50,'Données Giant'!$C$44:$C$50,0),_xlfn.XLOOKUP(Tableau3[[#This Row],[débit]],'Données Giant'!$A$55:$A$61,'Données Giant'!$C$55:$C$61,0)))</f>
        <v>#N/A</v>
      </c>
    </row>
    <row r="185" spans="1:4" x14ac:dyDescent="0.25">
      <c r="A185">
        <f>'Encodage ventilation'!D46</f>
        <v>0</v>
      </c>
      <c r="B185" t="e" cm="1">
        <f t="array" ref="B185">_xlfn.IFS('Encodage ventilation'!$E$14=DonnéesAutres!$A$108,"Pas de modification",'Encodage ventilation'!$E$14=DonnéesAutres!$A$109,"Système C",'Encodage ventilation'!$E$14=DonnéesAutres!$A$110,"Système D")</f>
        <v>#N/A</v>
      </c>
      <c r="C185">
        <f>'Encodage ventilation'!E46</f>
        <v>0</v>
      </c>
      <c r="D185" t="e">
        <f>IF(Tableau3[[#This Row],[Système]]="Pas de modification",0,IF(Tableau3[[#This Row],[Système]]="Système C",_xlfn.XLOOKUP(Tableau3[[#This Row],[débit]],'Données Giant'!$A$44:$A$50,'Données Giant'!$C$44:$C$50,0),_xlfn.XLOOKUP(Tableau3[[#This Row],[débit]],'Données Giant'!$A$55:$A$61,'Données Giant'!$C$55:$C$61,0)))</f>
        <v>#N/A</v>
      </c>
    </row>
    <row r="186" spans="1:4" x14ac:dyDescent="0.25">
      <c r="A186">
        <f>'Encodage ventilation'!D47</f>
        <v>0</v>
      </c>
      <c r="B186" t="e" cm="1">
        <f t="array" ref="B186">_xlfn.IFS('Encodage ventilation'!$E$14=DonnéesAutres!$A$108,"Pas de modification",'Encodage ventilation'!$E$14=DonnéesAutres!$A$109,"Système C",'Encodage ventilation'!$E$14=DonnéesAutres!$A$110,"Système D")</f>
        <v>#N/A</v>
      </c>
      <c r="C186">
        <f>'Encodage ventilation'!E47</f>
        <v>0</v>
      </c>
      <c r="D186" t="e">
        <f>IF(Tableau3[[#This Row],[Système]]="Pas de modification",0,IF(Tableau3[[#This Row],[Système]]="Système C",_xlfn.XLOOKUP(Tableau3[[#This Row],[débit]],'Données Giant'!$A$44:$A$50,'Données Giant'!$C$44:$C$50,0),_xlfn.XLOOKUP(Tableau3[[#This Row],[débit]],'Données Giant'!$A$55:$A$61,'Données Giant'!$C$55:$C$61,0)))</f>
        <v>#N/A</v>
      </c>
    </row>
    <row r="187" spans="1:4" x14ac:dyDescent="0.25">
      <c r="A187">
        <f>'Encodage ventilation'!D48</f>
        <v>0</v>
      </c>
      <c r="B187" t="e" cm="1">
        <f t="array" ref="B187">_xlfn.IFS('Encodage ventilation'!$E$14=DonnéesAutres!$A$108,"Pas de modification",'Encodage ventilation'!$E$14=DonnéesAutres!$A$109,"Système C",'Encodage ventilation'!$E$14=DonnéesAutres!$A$110,"Système D")</f>
        <v>#N/A</v>
      </c>
      <c r="C187">
        <f>'Encodage ventilation'!E48</f>
        <v>0</v>
      </c>
      <c r="D187" t="e">
        <f>IF(Tableau3[[#This Row],[Système]]="Pas de modification",0,IF(Tableau3[[#This Row],[Système]]="Système C",_xlfn.XLOOKUP(Tableau3[[#This Row],[débit]],'Données Giant'!$A$44:$A$50,'Données Giant'!$C$44:$C$50,0),_xlfn.XLOOKUP(Tableau3[[#This Row],[débit]],'Données Giant'!$A$55:$A$61,'Données Giant'!$C$55:$C$61,0)))</f>
        <v>#N/A</v>
      </c>
    </row>
    <row r="188" spans="1:4" x14ac:dyDescent="0.25">
      <c r="A188">
        <f>'Encodage ventilation'!D49</f>
        <v>0</v>
      </c>
      <c r="B188" t="e" cm="1">
        <f t="array" ref="B188">_xlfn.IFS('Encodage ventilation'!$E$14=DonnéesAutres!$A$108,"Pas de modification",'Encodage ventilation'!$E$14=DonnéesAutres!$A$109,"Système C",'Encodage ventilation'!$E$14=DonnéesAutres!$A$110,"Système D")</f>
        <v>#N/A</v>
      </c>
      <c r="C188">
        <f>'Encodage ventilation'!E49</f>
        <v>0</v>
      </c>
      <c r="D188" t="e">
        <f>IF(Tableau3[[#This Row],[Système]]="Pas de modification",0,IF(Tableau3[[#This Row],[Système]]="Système C",_xlfn.XLOOKUP(Tableau3[[#This Row],[débit]],'Données Giant'!$A$44:$A$50,'Données Giant'!$C$44:$C$50,0),_xlfn.XLOOKUP(Tableau3[[#This Row],[débit]],'Données Giant'!$A$55:$A$61,'Données Giant'!$C$55:$C$61,0)))</f>
        <v>#N/A</v>
      </c>
    </row>
    <row r="189" spans="1:4" x14ac:dyDescent="0.25">
      <c r="A189">
        <f>'Encodage ventilation'!D50</f>
        <v>0</v>
      </c>
      <c r="B189" t="e" cm="1">
        <f t="array" ref="B189">_xlfn.IFS('Encodage ventilation'!$E$14=DonnéesAutres!$A$108,"Pas de modification",'Encodage ventilation'!$E$14=DonnéesAutres!$A$109,"Système C",'Encodage ventilation'!$E$14=DonnéesAutres!$A$110,"Système D")</f>
        <v>#N/A</v>
      </c>
      <c r="C189">
        <f>'Encodage ventilation'!E50</f>
        <v>0</v>
      </c>
      <c r="D189" t="e">
        <f>IF(Tableau3[[#This Row],[Système]]="Pas de modification",0,IF(Tableau3[[#This Row],[Système]]="Système C",_xlfn.XLOOKUP(Tableau3[[#This Row],[débit]],'Données Giant'!$A$44:$A$50,'Données Giant'!$C$44:$C$50,0),_xlfn.XLOOKUP(Tableau3[[#This Row],[débit]],'Données Giant'!$A$55:$A$61,'Données Giant'!$C$55:$C$61,0)))</f>
        <v>#N/A</v>
      </c>
    </row>
    <row r="190" spans="1:4" x14ac:dyDescent="0.25">
      <c r="A190">
        <f>'Encodage ventilation'!D51</f>
        <v>0</v>
      </c>
      <c r="B190" t="e" cm="1">
        <f t="array" ref="B190">_xlfn.IFS('Encodage ventilation'!$E$14=DonnéesAutres!$A$108,"Pas de modification",'Encodage ventilation'!$E$14=DonnéesAutres!$A$109,"Système C",'Encodage ventilation'!$E$14=DonnéesAutres!$A$110,"Système D")</f>
        <v>#N/A</v>
      </c>
      <c r="C190">
        <f>'Encodage ventilation'!E51</f>
        <v>0</v>
      </c>
      <c r="D190" t="e">
        <f>IF(Tableau3[[#This Row],[Système]]="Pas de modification",0,IF(Tableau3[[#This Row],[Système]]="Système C",_xlfn.XLOOKUP(Tableau3[[#This Row],[débit]],'Données Giant'!$A$44:$A$50,'Données Giant'!$C$44:$C$50,0),_xlfn.XLOOKUP(Tableau3[[#This Row],[débit]],'Données Giant'!$A$55:$A$61,'Données Giant'!$C$55:$C$61,0)))</f>
        <v>#N/A</v>
      </c>
    </row>
    <row r="191" spans="1:4" x14ac:dyDescent="0.25">
      <c r="A191">
        <f>'Encodage ventilation'!D52</f>
        <v>0</v>
      </c>
      <c r="B191" t="e" cm="1">
        <f t="array" ref="B191">_xlfn.IFS('Encodage ventilation'!$E$14=DonnéesAutres!$A$108,"Pas de modification",'Encodage ventilation'!$E$14=DonnéesAutres!$A$109,"Système C",'Encodage ventilation'!$E$14=DonnéesAutres!$A$110,"Système D")</f>
        <v>#N/A</v>
      </c>
      <c r="C191">
        <f>'Encodage ventilation'!E52</f>
        <v>0</v>
      </c>
      <c r="D191" t="e">
        <f>IF(Tableau3[[#This Row],[Système]]="Pas de modification",0,IF(Tableau3[[#This Row],[Système]]="Système C",_xlfn.XLOOKUP(Tableau3[[#This Row],[débit]],'Données Giant'!$A$44:$A$50,'Données Giant'!$C$44:$C$50,0),_xlfn.XLOOKUP(Tableau3[[#This Row],[débit]],'Données Giant'!$A$55:$A$61,'Données Giant'!$C$55:$C$61,0)))</f>
        <v>#N/A</v>
      </c>
    </row>
    <row r="192" spans="1:4" x14ac:dyDescent="0.25">
      <c r="A192">
        <f>'Encodage ventilation'!D53</f>
        <v>0</v>
      </c>
      <c r="B192" t="e" cm="1">
        <f t="array" ref="B192">_xlfn.IFS('Encodage ventilation'!$E$14=DonnéesAutres!$A$108,"Pas de modification",'Encodage ventilation'!$E$14=DonnéesAutres!$A$109,"Système C",'Encodage ventilation'!$E$14=DonnéesAutres!$A$110,"Système D")</f>
        <v>#N/A</v>
      </c>
      <c r="C192">
        <f>'Encodage ventilation'!E53</f>
        <v>0</v>
      </c>
      <c r="D192" t="e">
        <f>IF(Tableau3[[#This Row],[Système]]="Pas de modification",0,IF(Tableau3[[#This Row],[Système]]="Système C",_xlfn.XLOOKUP(Tableau3[[#This Row],[débit]],'Données Giant'!$A$44:$A$50,'Données Giant'!$C$44:$C$50,0),_xlfn.XLOOKUP(Tableau3[[#This Row],[débit]],'Données Giant'!$A$55:$A$61,'Données Giant'!$C$55:$C$61,0)))</f>
        <v>#N/A</v>
      </c>
    </row>
    <row r="193" spans="1:4" x14ac:dyDescent="0.25">
      <c r="A193">
        <f>'Encodage ventilation'!D54</f>
        <v>0</v>
      </c>
      <c r="B193" t="e" cm="1">
        <f t="array" ref="B193">_xlfn.IFS('Encodage ventilation'!$E$14=DonnéesAutres!$A$108,"Pas de modification",'Encodage ventilation'!$E$14=DonnéesAutres!$A$109,"Système C",'Encodage ventilation'!$E$14=DonnéesAutres!$A$110,"Système D")</f>
        <v>#N/A</v>
      </c>
      <c r="C193">
        <f>'Encodage ventilation'!E54</f>
        <v>0</v>
      </c>
      <c r="D193" t="e">
        <f>IF(Tableau3[[#This Row],[Système]]="Pas de modification",0,IF(Tableau3[[#This Row],[Système]]="Système C",_xlfn.XLOOKUP(Tableau3[[#This Row],[débit]],'Données Giant'!$A$44:$A$50,'Données Giant'!$C$44:$C$50,0),_xlfn.XLOOKUP(Tableau3[[#This Row],[débit]],'Données Giant'!$A$55:$A$61,'Données Giant'!$C$55:$C$61,0)))</f>
        <v>#N/A</v>
      </c>
    </row>
    <row r="194" spans="1:4" x14ac:dyDescent="0.25">
      <c r="A194">
        <f>'Encodage ventilation'!D55</f>
        <v>0</v>
      </c>
      <c r="B194" t="e" cm="1">
        <f t="array" ref="B194">_xlfn.IFS('Encodage ventilation'!$E$14=DonnéesAutres!$A$108,"Pas de modification",'Encodage ventilation'!$E$14=DonnéesAutres!$A$109,"Système C",'Encodage ventilation'!$E$14=DonnéesAutres!$A$110,"Système D")</f>
        <v>#N/A</v>
      </c>
      <c r="C194">
        <f>'Encodage ventilation'!E55</f>
        <v>0</v>
      </c>
      <c r="D194" t="e">
        <f>IF(Tableau3[[#This Row],[Système]]="Pas de modification",0,IF(Tableau3[[#This Row],[Système]]="Système C",_xlfn.XLOOKUP(Tableau3[[#This Row],[débit]],'Données Giant'!$A$44:$A$50,'Données Giant'!$C$44:$C$50,0),_xlfn.XLOOKUP(Tableau3[[#This Row],[débit]],'Données Giant'!$A$55:$A$61,'Données Giant'!$C$55:$C$61,0)))</f>
        <v>#N/A</v>
      </c>
    </row>
    <row r="195" spans="1:4" x14ac:dyDescent="0.25">
      <c r="A195">
        <f>'Encodage ventilation'!D56</f>
        <v>0</v>
      </c>
      <c r="B195" t="e" cm="1">
        <f t="array" ref="B195">_xlfn.IFS('Encodage ventilation'!$E$14=DonnéesAutres!$A$108,"Pas de modification",'Encodage ventilation'!$E$14=DonnéesAutres!$A$109,"Système C",'Encodage ventilation'!$E$14=DonnéesAutres!$A$110,"Système D")</f>
        <v>#N/A</v>
      </c>
      <c r="C195">
        <f>'Encodage ventilation'!E56</f>
        <v>0</v>
      </c>
      <c r="D195" t="e">
        <f>IF(Tableau3[[#This Row],[Système]]="Pas de modification",0,IF(Tableau3[[#This Row],[Système]]="Système C",_xlfn.XLOOKUP(Tableau3[[#This Row],[débit]],'Données Giant'!$A$44:$A$50,'Données Giant'!$C$44:$C$50,0),_xlfn.XLOOKUP(Tableau3[[#This Row],[débit]],'Données Giant'!$A$55:$A$61,'Données Giant'!$C$55:$C$61,0)))</f>
        <v>#N/A</v>
      </c>
    </row>
    <row r="196" spans="1:4" x14ac:dyDescent="0.25">
      <c r="A196">
        <f>'Encodage ventilation'!D57</f>
        <v>0</v>
      </c>
      <c r="B196" t="e" cm="1">
        <f t="array" ref="B196">_xlfn.IFS('Encodage ventilation'!$E$14=DonnéesAutres!$A$108,"Pas de modification",'Encodage ventilation'!$E$14=DonnéesAutres!$A$109,"Système C",'Encodage ventilation'!$E$14=DonnéesAutres!$A$110,"Système D")</f>
        <v>#N/A</v>
      </c>
      <c r="C196">
        <f>'Encodage ventilation'!E57</f>
        <v>0</v>
      </c>
      <c r="D196" t="e">
        <f>IF(Tableau3[[#This Row],[Système]]="Pas de modification",0,IF(Tableau3[[#This Row],[Système]]="Système C",_xlfn.XLOOKUP(Tableau3[[#This Row],[débit]],'Données Giant'!$A$44:$A$50,'Données Giant'!$C$44:$C$50,0),_xlfn.XLOOKUP(Tableau3[[#This Row],[débit]],'Données Giant'!$A$55:$A$61,'Données Giant'!$C$55:$C$61,0)))</f>
        <v>#N/A</v>
      </c>
    </row>
    <row r="197" spans="1:4" x14ac:dyDescent="0.25">
      <c r="A197">
        <f>'Encodage ventilation'!D58</f>
        <v>0</v>
      </c>
      <c r="B197" t="e" cm="1">
        <f t="array" ref="B197">_xlfn.IFS('Encodage ventilation'!$E$14=DonnéesAutres!$A$108,"Pas de modification",'Encodage ventilation'!$E$14=DonnéesAutres!$A$109,"Système C",'Encodage ventilation'!$E$14=DonnéesAutres!$A$110,"Système D")</f>
        <v>#N/A</v>
      </c>
      <c r="C197">
        <f>'Encodage ventilation'!E58</f>
        <v>0</v>
      </c>
      <c r="D197" t="e">
        <f>IF(Tableau3[[#This Row],[Système]]="Pas de modification",0,IF(Tableau3[[#This Row],[Système]]="Système C",_xlfn.XLOOKUP(Tableau3[[#This Row],[débit]],'Données Giant'!$A$44:$A$50,'Données Giant'!$C$44:$C$50,0),_xlfn.XLOOKUP(Tableau3[[#This Row],[débit]],'Données Giant'!$A$55:$A$61,'Données Giant'!$C$55:$C$61,0)))</f>
        <v>#N/A</v>
      </c>
    </row>
    <row r="198" spans="1:4" x14ac:dyDescent="0.25">
      <c r="A198">
        <f>'Encodage ventilation'!D59</f>
        <v>0</v>
      </c>
      <c r="B198" t="e" cm="1">
        <f t="array" ref="B198">_xlfn.IFS('Encodage ventilation'!$E$14=DonnéesAutres!$A$108,"Pas de modification",'Encodage ventilation'!$E$14=DonnéesAutres!$A$109,"Système C",'Encodage ventilation'!$E$14=DonnéesAutres!$A$110,"Système D")</f>
        <v>#N/A</v>
      </c>
      <c r="C198">
        <f>'Encodage ventilation'!E59</f>
        <v>0</v>
      </c>
      <c r="D198" t="e">
        <f>IF(Tableau3[[#This Row],[Système]]="Pas de modification",0,IF(Tableau3[[#This Row],[Système]]="Système C",_xlfn.XLOOKUP(Tableau3[[#This Row],[débit]],'Données Giant'!$A$44:$A$50,'Données Giant'!$C$44:$C$50,0),_xlfn.XLOOKUP(Tableau3[[#This Row],[débit]],'Données Giant'!$A$55:$A$61,'Données Giant'!$C$55:$C$61,0)))</f>
        <v>#N/A</v>
      </c>
    </row>
    <row r="199" spans="1:4" x14ac:dyDescent="0.25">
      <c r="A199">
        <f>'Encodage ventilation'!D60</f>
        <v>0</v>
      </c>
      <c r="B199" t="e" cm="1">
        <f t="array" ref="B199">_xlfn.IFS('Encodage ventilation'!$E$14=DonnéesAutres!$A$108,"Pas de modification",'Encodage ventilation'!$E$14=DonnéesAutres!$A$109,"Système C",'Encodage ventilation'!$E$14=DonnéesAutres!$A$110,"Système D")</f>
        <v>#N/A</v>
      </c>
      <c r="C199">
        <f>'Encodage ventilation'!E60</f>
        <v>0</v>
      </c>
      <c r="D199" t="e">
        <f>IF(Tableau3[[#This Row],[Système]]="Pas de modification",0,IF(Tableau3[[#This Row],[Système]]="Système C",_xlfn.XLOOKUP(Tableau3[[#This Row],[débit]],'Données Giant'!$A$44:$A$50,'Données Giant'!$C$44:$C$50,0),_xlfn.XLOOKUP(Tableau3[[#This Row],[débit]],'Données Giant'!$A$55:$A$61,'Données Giant'!$C$55:$C$61,0)))</f>
        <v>#N/A</v>
      </c>
    </row>
    <row r="200" spans="1:4" x14ac:dyDescent="0.25">
      <c r="A200">
        <f>'Encodage ventilation'!D61</f>
        <v>0</v>
      </c>
      <c r="B200" t="e" cm="1">
        <f t="array" ref="B200">_xlfn.IFS('Encodage ventilation'!$E$14=DonnéesAutres!$A$108,"Pas de modification",'Encodage ventilation'!$E$14=DonnéesAutres!$A$109,"Système C",'Encodage ventilation'!$E$14=DonnéesAutres!$A$110,"Système D")</f>
        <v>#N/A</v>
      </c>
      <c r="C200">
        <f>'Encodage ventilation'!E61</f>
        <v>0</v>
      </c>
      <c r="D200" t="e">
        <f>IF(Tableau3[[#This Row],[Système]]="Pas de modification",0,IF(Tableau3[[#This Row],[Système]]="Système C",_xlfn.XLOOKUP(Tableau3[[#This Row],[débit]],'Données Giant'!$A$44:$A$50,'Données Giant'!$C$44:$C$50,0),_xlfn.XLOOKUP(Tableau3[[#This Row],[débit]],'Données Giant'!$A$55:$A$61,'Données Giant'!$C$55:$C$61,0)))</f>
        <v>#N/A</v>
      </c>
    </row>
    <row r="201" spans="1:4" x14ac:dyDescent="0.25">
      <c r="A201">
        <f>'Encodage ventilation'!D62</f>
        <v>0</v>
      </c>
      <c r="B201" t="e" cm="1">
        <f t="array" ref="B201">_xlfn.IFS('Encodage ventilation'!$E$14=DonnéesAutres!$A$108,"Pas de modification",'Encodage ventilation'!$E$14=DonnéesAutres!$A$109,"Système C",'Encodage ventilation'!$E$14=DonnéesAutres!$A$110,"Système D")</f>
        <v>#N/A</v>
      </c>
      <c r="C201">
        <f>'Encodage ventilation'!E62</f>
        <v>0</v>
      </c>
      <c r="D201" t="e">
        <f>IF(Tableau3[[#This Row],[Système]]="Pas de modification",0,IF(Tableau3[[#This Row],[Système]]="Système C",_xlfn.XLOOKUP(Tableau3[[#This Row],[débit]],'Données Giant'!$A$44:$A$50,'Données Giant'!$C$44:$C$50,0),_xlfn.XLOOKUP(Tableau3[[#This Row],[débit]],'Données Giant'!$A$55:$A$61,'Données Giant'!$C$55:$C$61,0)))</f>
        <v>#N/A</v>
      </c>
    </row>
    <row r="202" spans="1:4" x14ac:dyDescent="0.25">
      <c r="A202">
        <f>'Encodage ventilation'!D63</f>
        <v>0</v>
      </c>
      <c r="B202" t="e" cm="1">
        <f t="array" ref="B202">_xlfn.IFS('Encodage ventilation'!$E$14=DonnéesAutres!$A$108,"Pas de modification",'Encodage ventilation'!$E$14=DonnéesAutres!$A$109,"Système C",'Encodage ventilation'!$E$14=DonnéesAutres!$A$110,"Système D")</f>
        <v>#N/A</v>
      </c>
      <c r="C202">
        <f>'Encodage ventilation'!E63</f>
        <v>0</v>
      </c>
      <c r="D202" t="e">
        <f>IF(Tableau3[[#This Row],[Système]]="Pas de modification",0,IF(Tableau3[[#This Row],[Système]]="Système C",_xlfn.XLOOKUP(Tableau3[[#This Row],[débit]],'Données Giant'!$A$44:$A$50,'Données Giant'!$C$44:$C$50,0),_xlfn.XLOOKUP(Tableau3[[#This Row],[débit]],'Données Giant'!$A$55:$A$61,'Données Giant'!$C$55:$C$61,0)))</f>
        <v>#N/A</v>
      </c>
    </row>
    <row r="203" spans="1:4" x14ac:dyDescent="0.25">
      <c r="A203">
        <f>'Encodage ventilation'!D64</f>
        <v>0</v>
      </c>
      <c r="B203" t="e" cm="1">
        <f t="array" ref="B203">_xlfn.IFS('Encodage ventilation'!$E$14=DonnéesAutres!$A$108,"Pas de modification",'Encodage ventilation'!$E$14=DonnéesAutres!$A$109,"Système C",'Encodage ventilation'!$E$14=DonnéesAutres!$A$110,"Système D")</f>
        <v>#N/A</v>
      </c>
      <c r="C203">
        <f>'Encodage ventilation'!E64</f>
        <v>0</v>
      </c>
      <c r="D203" t="e">
        <f>IF(Tableau3[[#This Row],[Système]]="Pas de modification",0,IF(Tableau3[[#This Row],[Système]]="Système C",_xlfn.XLOOKUP(Tableau3[[#This Row],[débit]],'Données Giant'!$A$44:$A$50,'Données Giant'!$C$44:$C$50,0),_xlfn.XLOOKUP(Tableau3[[#This Row],[débit]],'Données Giant'!$A$55:$A$61,'Données Giant'!$C$55:$C$61,0)))</f>
        <v>#N/A</v>
      </c>
    </row>
    <row r="204" spans="1:4" x14ac:dyDescent="0.25">
      <c r="A204">
        <f>'Encodage ventilation'!D65</f>
        <v>0</v>
      </c>
      <c r="B204" t="e" cm="1">
        <f t="array" ref="B204">_xlfn.IFS('Encodage ventilation'!$E$14=DonnéesAutres!$A$108,"Pas de modification",'Encodage ventilation'!$E$14=DonnéesAutres!$A$109,"Système C",'Encodage ventilation'!$E$14=DonnéesAutres!$A$110,"Système D")</f>
        <v>#N/A</v>
      </c>
      <c r="C204">
        <f>'Encodage ventilation'!E65</f>
        <v>0</v>
      </c>
      <c r="D204" t="e">
        <f>IF(Tableau3[[#This Row],[Système]]="Pas de modification",0,IF(Tableau3[[#This Row],[Système]]="Système C",_xlfn.XLOOKUP(Tableau3[[#This Row],[débit]],'Données Giant'!$A$44:$A$50,'Données Giant'!$C$44:$C$50,0),_xlfn.XLOOKUP(Tableau3[[#This Row],[débit]],'Données Giant'!$A$55:$A$61,'Données Giant'!$C$55:$C$61,0)))</f>
        <v>#N/A</v>
      </c>
    </row>
    <row r="205" spans="1:4" x14ac:dyDescent="0.25">
      <c r="A205">
        <f>'Encodage ventilation'!D66</f>
        <v>0</v>
      </c>
      <c r="B205" t="e" cm="1">
        <f t="array" ref="B205">_xlfn.IFS('Encodage ventilation'!$E$14=DonnéesAutres!$A$108,"Pas de modification",'Encodage ventilation'!$E$14=DonnéesAutres!$A$109,"Système C",'Encodage ventilation'!$E$14=DonnéesAutres!$A$110,"Système D")</f>
        <v>#N/A</v>
      </c>
      <c r="C205">
        <f>'Encodage ventilation'!E66</f>
        <v>0</v>
      </c>
      <c r="D205" t="e">
        <f>IF(Tableau3[[#This Row],[Système]]="Pas de modification",0,IF(Tableau3[[#This Row],[Système]]="Système C",_xlfn.XLOOKUP(Tableau3[[#This Row],[débit]],'Données Giant'!$A$44:$A$50,'Données Giant'!$C$44:$C$50,0),_xlfn.XLOOKUP(Tableau3[[#This Row],[débit]],'Données Giant'!$A$55:$A$61,'Données Giant'!$C$55:$C$61,0)))</f>
        <v>#N/A</v>
      </c>
    </row>
    <row r="206" spans="1:4" x14ac:dyDescent="0.25">
      <c r="A206">
        <f>'Encodage ventilation'!D67</f>
        <v>0</v>
      </c>
      <c r="B206" t="e" cm="1">
        <f t="array" ref="B206">_xlfn.IFS('Encodage ventilation'!$E$14=DonnéesAutres!$A$108,"Pas de modification",'Encodage ventilation'!$E$14=DonnéesAutres!$A$109,"Système C",'Encodage ventilation'!$E$14=DonnéesAutres!$A$110,"Système D")</f>
        <v>#N/A</v>
      </c>
      <c r="C206">
        <f>'Encodage ventilation'!E67</f>
        <v>0</v>
      </c>
      <c r="D206" t="e">
        <f>IF(Tableau3[[#This Row],[Système]]="Pas de modification",0,IF(Tableau3[[#This Row],[Système]]="Système C",_xlfn.XLOOKUP(Tableau3[[#This Row],[débit]],'Données Giant'!$A$44:$A$50,'Données Giant'!$C$44:$C$50,0),_xlfn.XLOOKUP(Tableau3[[#This Row],[débit]],'Données Giant'!$A$55:$A$61,'Données Giant'!$C$55:$C$61,0)))</f>
        <v>#N/A</v>
      </c>
    </row>
  </sheetData>
  <sheetProtection algorithmName="SHA-512" hashValue="MHg0zxuQrI5jMrj4+lJv2dgO5KW88flOp3fzG7RS9mULa5ZDYdxxBjk59aEAzagOqsY+iPn5afNforcZQb0dyw==" saltValue="ApvcQbxIWALTkjkOYTdyOg==" spinCount="100000" sheet="1" selectLockedCells="1" selectUnlockedCells="1"/>
  <mergeCells count="4">
    <mergeCell ref="A155:D155"/>
    <mergeCell ref="M1:P1"/>
    <mergeCell ref="J1:L1"/>
    <mergeCell ref="Q1:V1"/>
  </mergeCells>
  <phoneticPr fontId="22" type="noConversion"/>
  <pageMargins left="0.7" right="0.7" top="0.75" bottom="0.75" header="0.3" footer="0.3"/>
  <pageSetup paperSize="9" orientation="portrait" r:id="rId1"/>
  <legacy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BBDA7-8F93-425D-BBA4-EDE85131F70F}">
  <sheetPr>
    <tabColor rgb="FF66FF33"/>
  </sheetPr>
  <dimension ref="A2:L162"/>
  <sheetViews>
    <sheetView workbookViewId="0">
      <selection activeCell="C12" sqref="C12"/>
    </sheetView>
  </sheetViews>
  <sheetFormatPr baseColWidth="10" defaultColWidth="11.44140625" defaultRowHeight="13.2" x14ac:dyDescent="0.25"/>
  <cols>
    <col min="1" max="1" width="6.109375" customWidth="1"/>
    <col min="2" max="2" width="51.6640625" customWidth="1"/>
    <col min="3" max="3" width="26.88671875" customWidth="1"/>
    <col min="4" max="4" width="25.5546875" customWidth="1"/>
    <col min="5" max="5" width="14.33203125" customWidth="1"/>
    <col min="6" max="6" width="11.33203125" customWidth="1"/>
  </cols>
  <sheetData>
    <row r="2" spans="2:5" x14ac:dyDescent="0.25">
      <c r="B2" s="109" t="s">
        <v>182</v>
      </c>
    </row>
    <row r="3" spans="2:5" x14ac:dyDescent="0.25">
      <c r="B3" s="71"/>
    </row>
    <row r="4" spans="2:5" x14ac:dyDescent="0.25">
      <c r="B4" s="1" t="s">
        <v>183</v>
      </c>
    </row>
    <row r="5" spans="2:5" x14ac:dyDescent="0.25">
      <c r="B5" s="71"/>
    </row>
    <row r="6" spans="2:5" x14ac:dyDescent="0.25">
      <c r="B6" s="71" t="s">
        <v>184</v>
      </c>
      <c r="C6">
        <v>9</v>
      </c>
    </row>
    <row r="7" spans="2:5" x14ac:dyDescent="0.25">
      <c r="B7" s="71" t="s">
        <v>3169</v>
      </c>
      <c r="C7">
        <f>IF(COUNTIF('Encodage données'!F7:F18,"&gt;&lt;")=0,1,0)</f>
        <v>0</v>
      </c>
    </row>
    <row r="8" spans="2:5" x14ac:dyDescent="0.25">
      <c r="C8" t="s">
        <v>18</v>
      </c>
      <c r="D8" t="s">
        <v>60</v>
      </c>
    </row>
    <row r="9" spans="2:5" x14ac:dyDescent="0.25">
      <c r="B9" s="40" t="s">
        <v>4</v>
      </c>
      <c r="C9">
        <f>IF(ISBLANK('Encodage données'!D7)=TRUE,0,1)</f>
        <v>0</v>
      </c>
      <c r="E9" t="str">
        <f>IF(C9&lt;&gt;1,"Sélectionnez : Commune","")</f>
        <v>Sélectionnez : Commune</v>
      </c>
    </row>
    <row r="10" spans="2:5" x14ac:dyDescent="0.25">
      <c r="B10" s="41" t="s">
        <v>5</v>
      </c>
      <c r="C10">
        <f>IF(ISBLANK('Encodage données'!D8)=TRUE,0,1)</f>
        <v>0</v>
      </c>
      <c r="E10" t="str">
        <f>IF(C10&lt;&gt;1,"Sélectionnez : Affectation Principale","")</f>
        <v>Sélectionnez : Affectation Principale</v>
      </c>
    </row>
    <row r="11" spans="2:5" x14ac:dyDescent="0.25">
      <c r="B11" s="41" t="s">
        <v>6</v>
      </c>
      <c r="C11">
        <f>IF(ISBLANK('Encodage données'!D9)=TRUE,0,1)</f>
        <v>0</v>
      </c>
      <c r="E11" t="str">
        <f>IF(C11&lt;&gt;1,"Encodez : Nombre maximum de personnes présentes","")</f>
        <v>Encodez : Nombre maximum de personnes présentes</v>
      </c>
    </row>
    <row r="12" spans="2:5" x14ac:dyDescent="0.25">
      <c r="B12" s="41" t="s">
        <v>8</v>
      </c>
      <c r="C12">
        <f>IF(ISBLANK('Encodage données'!D10)=TRUE,0,IF(AND('Encodage données'!D10&gt;'Encodage données'!D9,'Encodage données'!D9&lt;&gt;""),2,1))</f>
        <v>0</v>
      </c>
      <c r="E12" t="str">
        <f>IF(C12=0,"Encodez : Nombre moyen de personnes dans le bâtiment",IF(C12=2,"Le nombre moyen de personnes dans le bâtiment doit être plus faible  que  le nombre maximum de personnes présentes",""))</f>
        <v>Encodez : Nombre moyen de personnes dans le bâtiment</v>
      </c>
    </row>
    <row r="13" spans="2:5" x14ac:dyDescent="0.25">
      <c r="B13" s="41" t="s">
        <v>9</v>
      </c>
      <c r="C13">
        <f>IF(AND('Encodage données'!D11=DonnéesAutres!$A$22,'Encodage données'!E11=""),0,IF(ISBLANK('Encodage données'!D11)=TRUE,0,1))</f>
        <v>0</v>
      </c>
      <c r="E13" t="str">
        <f>IF(C13&lt;&gt;1,"Sélectionnez : Horaires d'occupation","")</f>
        <v>Sélectionnez : Horaires d'occupation</v>
      </c>
    </row>
    <row r="14" spans="2:5" x14ac:dyDescent="0.25">
      <c r="B14" s="41" t="s">
        <v>10</v>
      </c>
      <c r="C14">
        <f>IF(ISBLANK('Encodage données'!D12)=TRUE,0,1)</f>
        <v>0</v>
      </c>
      <c r="E14" t="str">
        <f>IF(C14&lt;&gt;1,"Encodez : Température moyenne: en occupation","")</f>
        <v>Encodez : Température moyenne: en occupation</v>
      </c>
    </row>
    <row r="15" spans="2:5" x14ac:dyDescent="0.25">
      <c r="B15" s="41" t="s">
        <v>12</v>
      </c>
      <c r="C15">
        <f>IF(ISBLANK('Encodage données'!D13)=TRUE,0,1)</f>
        <v>0</v>
      </c>
      <c r="E15" t="str">
        <f>IF(C15&lt;&gt;1,"Sélectionnez : Diminution ou coupure du chauffage en inoccupation ?","")</f>
        <v>Sélectionnez : Diminution ou coupure du chauffage en inoccupation ?</v>
      </c>
    </row>
    <row r="16" spans="2:5" x14ac:dyDescent="0.25">
      <c r="B16" s="41" t="s">
        <v>13</v>
      </c>
      <c r="C16">
        <f>IF(ISBLANK('Encodage données'!D14)=TRUE,0,1)</f>
        <v>0</v>
      </c>
      <c r="E16" t="str">
        <f>IF(C16&lt;&gt;1,"Encodez : Surface de plancher chauffé","")</f>
        <v>Encodez : Surface de plancher chauffé</v>
      </c>
    </row>
    <row r="17" spans="2:5" x14ac:dyDescent="0.25">
      <c r="B17" s="41"/>
    </row>
    <row r="18" spans="2:5" x14ac:dyDescent="0.25">
      <c r="B18" s="41" t="s">
        <v>15</v>
      </c>
      <c r="C18">
        <f>IF(ISBLANK('Encodage données'!D16)=TRUE,0,1)</f>
        <v>0</v>
      </c>
      <c r="E18" t="str">
        <f>IF(C18&lt;&gt;1,"Encodez : Volume du bâtiment","")</f>
        <v>Encodez : Volume du bâtiment</v>
      </c>
    </row>
    <row r="19" spans="2:5" x14ac:dyDescent="0.25">
      <c r="B19" s="41"/>
    </row>
    <row r="20" spans="2:5" x14ac:dyDescent="0.25">
      <c r="B20" s="41" t="s">
        <v>3167</v>
      </c>
      <c r="C20">
        <f>IF(ISBLANK('Encodage données'!D18)=TRUE,0,1)</f>
        <v>0</v>
      </c>
      <c r="E20" t="str">
        <f>IF(C20&lt;&gt;1,"Précisez si le bâtiment est classé ou pas","")</f>
        <v>Précisez si le bâtiment est classé ou pas</v>
      </c>
    </row>
    <row r="21" spans="2:5" x14ac:dyDescent="0.25">
      <c r="B21" s="41"/>
    </row>
    <row r="23" spans="2:5" x14ac:dyDescent="0.25">
      <c r="B23" s="41" t="s">
        <v>185</v>
      </c>
      <c r="C23">
        <f>IF('Encodage données'!D32="Oui",8,7)</f>
        <v>7</v>
      </c>
      <c r="D23">
        <f>IF('Encodage données'!E32="Oui",8,7)</f>
        <v>7</v>
      </c>
    </row>
    <row r="24" spans="2:5" x14ac:dyDescent="0.25">
      <c r="B24" s="41" t="s">
        <v>3169</v>
      </c>
      <c r="C24">
        <f>IF(COUNTIF('Encodage données'!F25:F37,"&gt;&lt;")=0,1,0)</f>
        <v>0</v>
      </c>
    </row>
    <row r="25" spans="2:5" x14ac:dyDescent="0.25">
      <c r="B25" s="41" t="s">
        <v>3157</v>
      </c>
      <c r="C25">
        <f>IF(ISBLANK('Encodage données'!D25)=TRUE,0,1)</f>
        <v>0</v>
      </c>
      <c r="E25" t="str">
        <f>IF(C25&lt;&gt;1,"Précisez s'il y aura ou non une amélioration de l'installation de chauffage ","")</f>
        <v xml:space="preserve">Précisez s'il y aura ou non une amélioration de l'installation de chauffage </v>
      </c>
    </row>
    <row r="26" spans="2:5" x14ac:dyDescent="0.25">
      <c r="C26" t="s">
        <v>18</v>
      </c>
      <c r="D26" t="s">
        <v>19</v>
      </c>
    </row>
    <row r="27" spans="2:5" x14ac:dyDescent="0.25">
      <c r="B27" t="s">
        <v>20</v>
      </c>
      <c r="C27">
        <f>IF(ISBLANK('Encodage données'!D29)=TRUE,0,1)</f>
        <v>0</v>
      </c>
      <c r="D27">
        <f>IF('Encodage données'!$D$25="Non",1,IF(ISBLANK('Encodage données'!E29)=TRUE,0,1))</f>
        <v>0</v>
      </c>
      <c r="E27" t="str">
        <f>IF(D27+C27&lt;&gt;2,"Sélectionnez : Type d'installation","")</f>
        <v>Sélectionnez : Type d'installation</v>
      </c>
    </row>
    <row r="28" spans="2:5" x14ac:dyDescent="0.25">
      <c r="B28" s="71" t="s">
        <v>21</v>
      </c>
      <c r="C28">
        <f>IF(ISBLANK('Encodage données'!D30)=TRUE,0,1)</f>
        <v>0</v>
      </c>
      <c r="D28">
        <f>IF('Encodage données'!$D$25="Non",1,IF(ISBLANK('Encodage données'!E30)=TRUE,0,1))</f>
        <v>0</v>
      </c>
      <c r="E28" t="str">
        <f>IF(D28+C28&lt;&gt;2,"Encodez : Vecteur énergétique","")</f>
        <v>Encodez : Vecteur énergétique</v>
      </c>
    </row>
    <row r="29" spans="2:5" x14ac:dyDescent="0.25">
      <c r="B29" t="s">
        <v>22</v>
      </c>
      <c r="C29">
        <f>IF(ISBLANK('Encodage données'!D31)=TRUE,0,1)</f>
        <v>0</v>
      </c>
      <c r="D29">
        <f>IF('Encodage données'!$D$25="Non",1,IF(ISBLANK('Encodage données'!E31)=TRUE,0,1))</f>
        <v>0</v>
      </c>
      <c r="E29" t="str">
        <f>IF(D29+C29&lt;&gt;2,"Encodez : Date de fabrication de la chaudière","")</f>
        <v>Encodez : Date de fabrication de la chaudière</v>
      </c>
    </row>
    <row r="30" spans="2:5" x14ac:dyDescent="0.25">
      <c r="B30" s="71" t="s">
        <v>23</v>
      </c>
      <c r="C30">
        <f>IF(ISBLANK('Encodage données'!D32)=TRUE,0,1)</f>
        <v>0</v>
      </c>
      <c r="D30">
        <f>IF('Encodage données'!$D$25="Non",1,IF(ISBLANK('Encodage données'!E32)=TRUE,0,1))</f>
        <v>0</v>
      </c>
      <c r="E30" t="str">
        <f>IF(D30+C30&lt;&gt;2,"Sélectionnez : Rendement de combustion connu ?","")</f>
        <v>Sélectionnez : Rendement de combustion connu ?</v>
      </c>
    </row>
    <row r="31" spans="2:5" x14ac:dyDescent="0.25">
      <c r="B31" s="71" t="str">
        <f>IF(OR(C30="Oui",D30="Oui"),"Rendement de combustion","")</f>
        <v/>
      </c>
      <c r="C31">
        <f>IF(ISBLANK('Encodage données'!D33)=TRUE,0,1)</f>
        <v>0</v>
      </c>
      <c r="D31">
        <f>IF('Encodage données'!$D$25="Non",1,IF(ISBLANK('Encodage données'!E33)=TRUE,0,1))</f>
        <v>0</v>
      </c>
      <c r="E31" t="str">
        <f>IF(OR(AND(C31=0,'Encodage données'!D32="Oui"),AND(D31=0,'Encodage données'!E32="Oui")),"Encodez : Rendement de combustion","")</f>
        <v/>
      </c>
    </row>
    <row r="32" spans="2:5" x14ac:dyDescent="0.25">
      <c r="B32" s="71" t="s">
        <v>24</v>
      </c>
      <c r="C32">
        <f>IF(ISBLANK('Encodage données'!D34)=TRUE,0,1)</f>
        <v>0</v>
      </c>
      <c r="D32">
        <f>IF('Encodage données'!$D$25="Non",1,IF(ISBLANK('Encodage données'!E34)=TRUE,0,1))</f>
        <v>0</v>
      </c>
      <c r="E32" t="str">
        <f>IF(D32+C32&lt;&gt;2,"Encodez : Isolation des tuyaux","")</f>
        <v>Encodez : Isolation des tuyaux</v>
      </c>
    </row>
    <row r="33" spans="1:12" x14ac:dyDescent="0.25">
      <c r="B33" t="s">
        <v>25</v>
      </c>
      <c r="C33">
        <f>IF(ISBLANK('Encodage données'!D35)=TRUE,0,1)</f>
        <v>0</v>
      </c>
      <c r="D33">
        <f>IF('Encodage données'!$D$25="Non",1,IF(ISBLANK('Encodage données'!E35)=TRUE,0,1))</f>
        <v>0</v>
      </c>
      <c r="E33" t="str">
        <f>IF(D33+C33&lt;&gt;2,"Encodez : Vannes thermostatiques","")</f>
        <v>Encodez : Vannes thermostatiques</v>
      </c>
    </row>
    <row r="34" spans="1:12" x14ac:dyDescent="0.25">
      <c r="B34" s="71" t="s">
        <v>26</v>
      </c>
      <c r="C34">
        <f>IF(ISBLANK('Encodage données'!D36)=TRUE,0,1)</f>
        <v>0</v>
      </c>
      <c r="D34">
        <f>IF('Encodage données'!$D$25="Non",1,IF(ISBLANK('Encodage données'!E36)=TRUE,0,1))</f>
        <v>0</v>
      </c>
      <c r="E34" t="str">
        <f>IF(D34+C34&lt;&gt;2,"Encodez : Régulation","")</f>
        <v>Encodez : Régulation</v>
      </c>
    </row>
    <row r="35" spans="1:12" x14ac:dyDescent="0.25">
      <c r="B35" s="71" t="s">
        <v>27</v>
      </c>
      <c r="C35">
        <f>IF(ISBLANK('Encodage données'!D37)=TRUE,0,1)</f>
        <v>0</v>
      </c>
      <c r="D35">
        <f>IF('Encodage données'!$D$25="Non",1,IF(ISBLANK('Encodage données'!E37)=TRUE,0,1))</f>
        <v>0</v>
      </c>
      <c r="E35" t="str">
        <f>IF(D35+C35&lt;&gt;2,"Encodez : Positionnement des radiateurs","")</f>
        <v>Encodez : Positionnement des radiateurs</v>
      </c>
    </row>
    <row r="37" spans="1:12" x14ac:dyDescent="0.25">
      <c r="B37" t="s">
        <v>3170</v>
      </c>
    </row>
    <row r="38" spans="1:12" x14ac:dyDescent="0.25">
      <c r="B38" s="71" t="s">
        <v>3169</v>
      </c>
      <c r="C38">
        <f>IF(COUNTIF('Encodage ventilation'!F15,"&gt;&lt;")=0,1,0)</f>
        <v>1</v>
      </c>
    </row>
    <row r="39" spans="1:12" x14ac:dyDescent="0.25">
      <c r="B39" s="71"/>
    </row>
    <row r="40" spans="1:12" x14ac:dyDescent="0.25">
      <c r="B40" s="71" t="s">
        <v>3171</v>
      </c>
    </row>
    <row r="41" spans="1:12" ht="13.8" thickBot="1" x14ac:dyDescent="0.3">
      <c r="B41" t="s">
        <v>3169</v>
      </c>
      <c r="C41">
        <f>IF(COUNTIF('Encodage données'!H52:H61,"&gt;&lt;")=0,1,0)</f>
        <v>1</v>
      </c>
    </row>
    <row r="42" spans="1:12" ht="13.8" thickBot="1" x14ac:dyDescent="0.3">
      <c r="B42" s="128">
        <f>F43</f>
        <v>0</v>
      </c>
      <c r="C42" t="str" cm="1">
        <f t="array" ref="C42">IF(C43&lt;&gt;B42,_xlfn._xlws.FILTER(B45:B54,C45:C54=0),"")</f>
        <v/>
      </c>
    </row>
    <row r="43" spans="1:12" x14ac:dyDescent="0.25">
      <c r="B43" t="s">
        <v>186</v>
      </c>
      <c r="C43">
        <f>SUM(C45:C162)</f>
        <v>0</v>
      </c>
      <c r="D43">
        <f t="shared" ref="D43:H43" si="0">SUM(D45:D162)</f>
        <v>0</v>
      </c>
      <c r="E43">
        <f t="shared" si="0"/>
        <v>0</v>
      </c>
      <c r="F43">
        <f t="shared" si="0"/>
        <v>0</v>
      </c>
      <c r="G43">
        <f t="shared" si="0"/>
        <v>0</v>
      </c>
      <c r="H43">
        <f t="shared" si="0"/>
        <v>0</v>
      </c>
      <c r="I43">
        <f>SUM(I45:I162)</f>
        <v>0</v>
      </c>
      <c r="J43">
        <f>SUM(J45:J162)</f>
        <v>0</v>
      </c>
    </row>
    <row r="44" spans="1:12" x14ac:dyDescent="0.25">
      <c r="B44" s="71" t="s">
        <v>187</v>
      </c>
      <c r="C44" s="71" t="s">
        <v>188</v>
      </c>
      <c r="D44" s="71" t="s">
        <v>189</v>
      </c>
      <c r="E44" s="71" t="s">
        <v>190</v>
      </c>
      <c r="F44" s="71" t="s">
        <v>191</v>
      </c>
      <c r="G44" s="71" t="s">
        <v>192</v>
      </c>
      <c r="H44" s="71" t="s">
        <v>193</v>
      </c>
      <c r="I44" s="71" t="s">
        <v>194</v>
      </c>
      <c r="J44" s="71" t="s">
        <v>195</v>
      </c>
      <c r="K44" s="71" t="s">
        <v>196</v>
      </c>
      <c r="L44" s="71" t="s">
        <v>197</v>
      </c>
    </row>
    <row r="45" spans="1:12" x14ac:dyDescent="0.25">
      <c r="A45" s="42">
        <v>1</v>
      </c>
      <c r="B45" s="29">
        <f>'Encodage données'!C65</f>
        <v>0</v>
      </c>
      <c r="C45">
        <f>IF(OR(ISBLANK('Encodage données'!C65)=TRUE,AND(OR('Encodage données'!F65='Parois types'!$B$18,'Encodage données'!F65='Parois types'!$B$36),ISBLANK('Encodage données'!G65)=TRUE)),0,1)</f>
        <v>0</v>
      </c>
      <c r="D45">
        <f>IF(ISBLANK('Encodage données'!E65)=TRUE,0,1)</f>
        <v>0</v>
      </c>
      <c r="E45">
        <f>IF(ISBLANK('Encodage données'!F65)=FALSE,1,0)</f>
        <v>0</v>
      </c>
      <c r="F45">
        <f>IF(ISBLANK('Encodage données'!C65)=FALSE,1,0)</f>
        <v>0</v>
      </c>
      <c r="G45">
        <f>IF(ISBLANK('Encodage données'!H65)=FALSE,1,0)</f>
        <v>0</v>
      </c>
      <c r="H45">
        <f>IF(OR('Encodage données'!H65="Pas de modification",ISBLANK('Encodage données'!I65)=FALSE),1,0)</f>
        <v>0</v>
      </c>
      <c r="I45">
        <f>IF(OR('Encodage données'!H65="Pas de modification",'Encodage données'!H65='Données Giant'!$A$22,'Encodage données'!H65='Données Giant'!$A$9,'Encodage données'!H65='Données Giant'!$A$11,'Encodage données'!H65='Données Giant'!$A$12,ISBLANK('Encodage données'!J65)=FALSE,'Encodage données'!H65='Données Giant'!$A$9,'Encodage données'!H65='Données Giant'!$A$11,'Encodage données'!H65='Données Giant'!$A$12),1,0)</f>
        <v>0</v>
      </c>
      <c r="J45">
        <f>IF('Encodage données'!I65&lt;=_xlfn.XLOOKUP('Encodage données'!H65,'Données Giant'!$A$8:$A$21,'Données Giant'!$C$8:$C$21,-1),1,0)</f>
        <v>0</v>
      </c>
    </row>
    <row r="46" spans="1:12" x14ac:dyDescent="0.25">
      <c r="A46" s="42">
        <v>2</v>
      </c>
      <c r="B46" s="29">
        <f>'Encodage données'!C66</f>
        <v>0</v>
      </c>
      <c r="C46">
        <f>IF(OR(ISBLANK('Encodage données'!C66)=TRUE,AND(OR('Encodage données'!F66='Parois types'!$B$18,'Encodage données'!F66='Parois types'!$B$36),ISBLANK('Encodage données'!G66)=TRUE)),0,1)</f>
        <v>0</v>
      </c>
      <c r="D46">
        <f>IF(ISBLANK('Encodage données'!E66)=TRUE,0,1)</f>
        <v>0</v>
      </c>
      <c r="E46">
        <f>IF(ISBLANK('Encodage données'!F66)=FALSE,1,0)</f>
        <v>0</v>
      </c>
      <c r="F46">
        <f>IF(ISBLANK('Encodage données'!C66)=FALSE,1,0)</f>
        <v>0</v>
      </c>
      <c r="G46">
        <f>IF(ISBLANK('Encodage données'!H66)=FALSE,1,0)</f>
        <v>0</v>
      </c>
      <c r="H46">
        <f>IF(OR('Encodage données'!H66="Pas de modification",ISBLANK('Encodage données'!I66)=FALSE),1,0)</f>
        <v>0</v>
      </c>
      <c r="I46">
        <f>IF(OR('Encodage données'!H66="Pas de modification",'Encodage données'!H66='Données Giant'!$A$22,'Encodage données'!H66='Données Giant'!$A$9,'Encodage données'!H66='Données Giant'!$A$11,'Encodage données'!H66='Données Giant'!$A$12,ISBLANK('Encodage données'!J66)=FALSE,'Encodage données'!H66='Données Giant'!$A$9,'Encodage données'!H66='Données Giant'!$A$11,'Encodage données'!H66='Données Giant'!$A$12),1,0)</f>
        <v>0</v>
      </c>
      <c r="J46">
        <f>IF('Encodage données'!I66&lt;=_xlfn.XLOOKUP('Encodage données'!H66,'Données Giant'!$A$8:$A$21,'Données Giant'!$C$8:$C$21,-1),1,0)</f>
        <v>0</v>
      </c>
    </row>
    <row r="47" spans="1:12" x14ac:dyDescent="0.25">
      <c r="A47" s="42">
        <v>3</v>
      </c>
      <c r="B47" s="29">
        <f>'Encodage données'!C67</f>
        <v>0</v>
      </c>
      <c r="C47">
        <f>IF(OR(ISBLANK('Encodage données'!C67)=TRUE,AND(OR('Encodage données'!F67='Parois types'!$B$18,'Encodage données'!F67='Parois types'!$B$36),ISBLANK('Encodage données'!G67)=TRUE)),0,1)</f>
        <v>0</v>
      </c>
      <c r="D47">
        <f>IF(ISBLANK('Encodage données'!E67)=TRUE,0,1)</f>
        <v>0</v>
      </c>
      <c r="E47">
        <f>IF(ISBLANK('Encodage données'!F67)=FALSE,1,0)</f>
        <v>0</v>
      </c>
      <c r="F47">
        <f>IF(ISBLANK('Encodage données'!C67)=FALSE,1,0)</f>
        <v>0</v>
      </c>
      <c r="G47">
        <f>IF(ISBLANK('Encodage données'!H67)=FALSE,1,0)</f>
        <v>0</v>
      </c>
      <c r="H47">
        <f>IF(OR('Encodage données'!H67="Pas de modification",ISBLANK('Encodage données'!I67)=FALSE),1,0)</f>
        <v>0</v>
      </c>
      <c r="I47">
        <f>IF(OR('Encodage données'!H67="Pas de modification",'Encodage données'!H67='Données Giant'!$A$22,'Encodage données'!H67='Données Giant'!$A$9,'Encodage données'!H67='Données Giant'!$A$11,'Encodage données'!H67='Données Giant'!$A$12,ISBLANK('Encodage données'!J67)=FALSE,'Encodage données'!H67='Données Giant'!$A$9,'Encodage données'!H67='Données Giant'!$A$11,'Encodage données'!H67='Données Giant'!$A$12),1,0)</f>
        <v>0</v>
      </c>
      <c r="J47">
        <f>IF('Encodage données'!I67&lt;=_xlfn.XLOOKUP('Encodage données'!H67,'Données Giant'!$A$8:$A$21,'Données Giant'!$C$8:$C$21,-1),1,0)</f>
        <v>0</v>
      </c>
    </row>
    <row r="48" spans="1:12" x14ac:dyDescent="0.25">
      <c r="A48" s="42">
        <v>4</v>
      </c>
      <c r="B48" s="29">
        <f>'Encodage données'!C68</f>
        <v>0</v>
      </c>
      <c r="C48">
        <f>IF(OR(ISBLANK('Encodage données'!C68)=TRUE,AND(OR('Encodage données'!F68='Parois types'!$B$18,'Encodage données'!F68='Parois types'!$B$36),ISBLANK('Encodage données'!G68)=TRUE)),0,1)</f>
        <v>0</v>
      </c>
      <c r="D48">
        <f>IF(ISBLANK('Encodage données'!E68)=TRUE,0,1)</f>
        <v>0</v>
      </c>
      <c r="E48">
        <f>IF(ISBLANK('Encodage données'!F68)=FALSE,1,0)</f>
        <v>0</v>
      </c>
      <c r="F48">
        <f>IF(ISBLANK('Encodage données'!C68)=FALSE,1,0)</f>
        <v>0</v>
      </c>
      <c r="G48">
        <f>IF(ISBLANK('Encodage données'!H68)=FALSE,1,0)</f>
        <v>0</v>
      </c>
      <c r="H48">
        <f>IF(OR('Encodage données'!H68="Pas de modification",ISBLANK('Encodage données'!I68)=FALSE),1,0)</f>
        <v>0</v>
      </c>
      <c r="I48">
        <f>IF(OR('Encodage données'!H68="Pas de modification",'Encodage données'!H68='Données Giant'!$A$22,'Encodage données'!H68='Données Giant'!$A$9,'Encodage données'!H68='Données Giant'!$A$11,'Encodage données'!H68='Données Giant'!$A$12,ISBLANK('Encodage données'!J68)=FALSE,'Encodage données'!H68='Données Giant'!$A$9,'Encodage données'!H68='Données Giant'!$A$11,'Encodage données'!H68='Données Giant'!$A$12),1,0)</f>
        <v>0</v>
      </c>
      <c r="J48">
        <f>IF('Encodage données'!I68&lt;=_xlfn.XLOOKUP('Encodage données'!H68,'Données Giant'!$A$8:$A$21,'Données Giant'!$C$8:$C$21,-1),1,0)</f>
        <v>0</v>
      </c>
    </row>
    <row r="49" spans="1:10" x14ac:dyDescent="0.25">
      <c r="A49" s="42">
        <v>5</v>
      </c>
      <c r="B49" s="29">
        <f>'Encodage données'!C69</f>
        <v>0</v>
      </c>
      <c r="C49">
        <f>IF(OR(ISBLANK('Encodage données'!C69)=TRUE,AND(OR('Encodage données'!F69='Parois types'!$B$18,'Encodage données'!F69='Parois types'!$B$36),ISBLANK('Encodage données'!G69)=TRUE)),0,1)</f>
        <v>0</v>
      </c>
      <c r="D49">
        <f>IF(ISBLANK('Encodage données'!E69)=TRUE,0,1)</f>
        <v>0</v>
      </c>
      <c r="E49">
        <f>IF(ISBLANK('Encodage données'!F69)=FALSE,1,0)</f>
        <v>0</v>
      </c>
      <c r="F49">
        <f>IF(ISBLANK('Encodage données'!C69)=FALSE,1,0)</f>
        <v>0</v>
      </c>
      <c r="G49">
        <f>IF(ISBLANK('Encodage données'!H69)=FALSE,1,0)</f>
        <v>0</v>
      </c>
      <c r="H49">
        <f>IF(OR('Encodage données'!H69="Pas de modification",ISBLANK('Encodage données'!I69)=FALSE),1,0)</f>
        <v>0</v>
      </c>
      <c r="I49">
        <f>IF(OR('Encodage données'!H69="Pas de modification",'Encodage données'!H69='Données Giant'!$A$22,'Encodage données'!H69='Données Giant'!$A$9,'Encodage données'!H69='Données Giant'!$A$11,'Encodage données'!H69='Données Giant'!$A$12,ISBLANK('Encodage données'!J69)=FALSE,'Encodage données'!H69='Données Giant'!$A$9,'Encodage données'!H69='Données Giant'!$A$11,'Encodage données'!H69='Données Giant'!$A$12),1,0)</f>
        <v>0</v>
      </c>
      <c r="J49">
        <f>IF('Encodage données'!I69&lt;=_xlfn.XLOOKUP('Encodage données'!H69,'Données Giant'!$A$8:$A$21,'Données Giant'!$C$8:$C$21,-1),1,0)</f>
        <v>0</v>
      </c>
    </row>
    <row r="50" spans="1:10" x14ac:dyDescent="0.25">
      <c r="A50" s="42">
        <v>6</v>
      </c>
      <c r="B50" s="29">
        <f>'Encodage données'!C70</f>
        <v>0</v>
      </c>
      <c r="C50">
        <f>IF(OR(ISBLANK('Encodage données'!C70)=TRUE,AND(OR('Encodage données'!F70='Parois types'!$B$18,'Encodage données'!F70='Parois types'!$B$36),ISBLANK('Encodage données'!G70)=TRUE)),0,1)</f>
        <v>0</v>
      </c>
      <c r="D50">
        <f>IF(ISBLANK('Encodage données'!E70)=TRUE,0,1)</f>
        <v>0</v>
      </c>
      <c r="E50">
        <f>IF(ISBLANK('Encodage données'!F70)=FALSE,1,0)</f>
        <v>0</v>
      </c>
      <c r="F50">
        <f>IF(ISBLANK('Encodage données'!C70)=FALSE,1,0)</f>
        <v>0</v>
      </c>
      <c r="G50">
        <f>IF(ISBLANK('Encodage données'!H70)=FALSE,1,0)</f>
        <v>0</v>
      </c>
      <c r="H50">
        <f>IF(OR('Encodage données'!H70="Pas de modification",ISBLANK('Encodage données'!I70)=FALSE),1,0)</f>
        <v>0</v>
      </c>
      <c r="I50">
        <f>IF(OR('Encodage données'!H70="Pas de modification",'Encodage données'!H70='Données Giant'!$A$22,'Encodage données'!H70='Données Giant'!$A$9,'Encodage données'!H70='Données Giant'!$A$11,'Encodage données'!H70='Données Giant'!$A$12,ISBLANK('Encodage données'!J70)=FALSE,'Encodage données'!H70='Données Giant'!$A$9,'Encodage données'!H70='Données Giant'!$A$11,'Encodage données'!H70='Données Giant'!$A$12),1,0)</f>
        <v>0</v>
      </c>
      <c r="J50">
        <f>IF('Encodage données'!I70&lt;=_xlfn.XLOOKUP('Encodage données'!H70,'Données Giant'!$A$8:$A$21,'Données Giant'!$C$8:$C$21,-1),1,0)</f>
        <v>0</v>
      </c>
    </row>
    <row r="51" spans="1:10" x14ac:dyDescent="0.25">
      <c r="A51" s="42">
        <v>7</v>
      </c>
      <c r="B51" s="29">
        <f>'Encodage données'!C71</f>
        <v>0</v>
      </c>
      <c r="C51">
        <f>IF(OR(ISBLANK('Encodage données'!C71)=TRUE,AND(OR('Encodage données'!F71='Parois types'!$B$18,'Encodage données'!F71='Parois types'!$B$36),ISBLANK('Encodage données'!G71)=TRUE)),0,1)</f>
        <v>0</v>
      </c>
      <c r="D51">
        <f>IF(ISBLANK('Encodage données'!E71)=TRUE,0,1)</f>
        <v>0</v>
      </c>
      <c r="E51">
        <f>IF(ISBLANK('Encodage données'!F71)=FALSE,1,0)</f>
        <v>0</v>
      </c>
      <c r="F51">
        <f>IF(ISBLANK('Encodage données'!C71)=FALSE,1,0)</f>
        <v>0</v>
      </c>
      <c r="G51">
        <f>IF(ISBLANK('Encodage données'!H71)=FALSE,1,0)</f>
        <v>0</v>
      </c>
      <c r="H51">
        <f>IF(OR('Encodage données'!H71="Pas de modification",ISBLANK('Encodage données'!I71)=FALSE),1,0)</f>
        <v>0</v>
      </c>
      <c r="I51">
        <f>IF(OR('Encodage données'!H71="Pas de modification",'Encodage données'!H71='Données Giant'!$A$22,'Encodage données'!H71='Données Giant'!$A$9,'Encodage données'!H71='Données Giant'!$A$11,'Encodage données'!H71='Données Giant'!$A$12,ISBLANK('Encodage données'!J71)=FALSE,'Encodage données'!H71='Données Giant'!$A$9,'Encodage données'!H71='Données Giant'!$A$11,'Encodage données'!H71='Données Giant'!$A$12),1,0)</f>
        <v>0</v>
      </c>
      <c r="J51">
        <f>IF('Encodage données'!I71&lt;=_xlfn.XLOOKUP('Encodage données'!H71,'Données Giant'!$A$8:$A$21,'Données Giant'!$C$8:$C$21,-1),1,0)</f>
        <v>0</v>
      </c>
    </row>
    <row r="52" spans="1:10" x14ac:dyDescent="0.25">
      <c r="A52" s="42">
        <v>8</v>
      </c>
      <c r="B52" s="29">
        <f>'Encodage données'!C72</f>
        <v>0</v>
      </c>
      <c r="C52">
        <f>IF(OR(ISBLANK('Encodage données'!C72)=TRUE,AND(OR('Encodage données'!F72='Parois types'!$B$18,'Encodage données'!F72='Parois types'!$B$36),ISBLANK('Encodage données'!G72)=TRUE)),0,1)</f>
        <v>0</v>
      </c>
      <c r="D52">
        <f>IF(ISBLANK('Encodage données'!E72)=TRUE,0,1)</f>
        <v>0</v>
      </c>
      <c r="E52">
        <f>IF(ISBLANK('Encodage données'!F72)=FALSE,1,0)</f>
        <v>0</v>
      </c>
      <c r="F52">
        <f>IF(ISBLANK('Encodage données'!C72)=FALSE,1,0)</f>
        <v>0</v>
      </c>
      <c r="G52">
        <f>IF(ISBLANK('Encodage données'!H72)=FALSE,1,0)</f>
        <v>0</v>
      </c>
      <c r="H52">
        <f>IF(OR('Encodage données'!H72="Pas de modification",ISBLANK('Encodage données'!I72)=FALSE),1,0)</f>
        <v>0</v>
      </c>
      <c r="I52">
        <f>IF(OR('Encodage données'!H72="Pas de modification",'Encodage données'!H72='Données Giant'!$A$22,'Encodage données'!H72='Données Giant'!$A$9,'Encodage données'!H72='Données Giant'!$A$11,'Encodage données'!H72='Données Giant'!$A$12,ISBLANK('Encodage données'!J72)=FALSE,'Encodage données'!H72='Données Giant'!$A$9,'Encodage données'!H72='Données Giant'!$A$11,'Encodage données'!H72='Données Giant'!$A$12),1,0)</f>
        <v>0</v>
      </c>
      <c r="J52">
        <f>IF('Encodage données'!I72&lt;=_xlfn.XLOOKUP('Encodage données'!H72,'Données Giant'!$A$8:$A$21,'Données Giant'!$C$8:$C$21,-1),1,0)</f>
        <v>0</v>
      </c>
    </row>
    <row r="53" spans="1:10" x14ac:dyDescent="0.25">
      <c r="A53" s="42">
        <v>9</v>
      </c>
      <c r="B53" s="29">
        <f>'Encodage données'!C73</f>
        <v>0</v>
      </c>
      <c r="C53">
        <f>IF(OR(ISBLANK('Encodage données'!C73)=TRUE,AND(OR('Encodage données'!F73='Parois types'!$B$18,'Encodage données'!F73='Parois types'!$B$36),ISBLANK('Encodage données'!G73)=TRUE)),0,1)</f>
        <v>0</v>
      </c>
      <c r="D53">
        <f>IF(ISBLANK('Encodage données'!E73)=TRUE,0,1)</f>
        <v>0</v>
      </c>
      <c r="E53">
        <f>IF(ISBLANK('Encodage données'!F73)=FALSE,1,0)</f>
        <v>0</v>
      </c>
      <c r="F53">
        <f>IF(ISBLANK('Encodage données'!C73)=FALSE,1,0)</f>
        <v>0</v>
      </c>
      <c r="G53">
        <f>IF(ISBLANK('Encodage données'!H73)=FALSE,1,0)</f>
        <v>0</v>
      </c>
      <c r="H53">
        <f>IF(OR('Encodage données'!H73="Pas de modification",ISBLANK('Encodage données'!I73)=FALSE),1,0)</f>
        <v>0</v>
      </c>
      <c r="I53">
        <f>IF(OR('Encodage données'!H73="Pas de modification",'Encodage données'!H73='Données Giant'!$A$22,'Encodage données'!H73='Données Giant'!$A$9,'Encodage données'!H73='Données Giant'!$A$11,'Encodage données'!H73='Données Giant'!$A$12,ISBLANK('Encodage données'!J73)=FALSE,'Encodage données'!H73='Données Giant'!$A$9,'Encodage données'!H73='Données Giant'!$A$11,'Encodage données'!H73='Données Giant'!$A$12),1,0)</f>
        <v>0</v>
      </c>
      <c r="J53">
        <f>IF('Encodage données'!I73&lt;=_xlfn.XLOOKUP('Encodage données'!H73,'Données Giant'!$A$8:$A$21,'Données Giant'!$C$8:$C$21,-1),1,0)</f>
        <v>0</v>
      </c>
    </row>
    <row r="54" spans="1:10" x14ac:dyDescent="0.25">
      <c r="A54" s="42">
        <v>10</v>
      </c>
      <c r="B54" s="29">
        <f>'Encodage données'!C74</f>
        <v>0</v>
      </c>
      <c r="C54">
        <f>IF(OR(ISBLANK('Encodage données'!C74)=TRUE,AND(OR('Encodage données'!F74='Parois types'!$B$18,'Encodage données'!F74='Parois types'!$B$36),ISBLANK('Encodage données'!G74)=TRUE)),0,1)</f>
        <v>0</v>
      </c>
      <c r="D54">
        <f>IF(ISBLANK('Encodage données'!E74)=TRUE,0,1)</f>
        <v>0</v>
      </c>
      <c r="E54">
        <f>IF(ISBLANK('Encodage données'!F74)=FALSE,1,0)</f>
        <v>0</v>
      </c>
      <c r="F54">
        <f>IF(ISBLANK('Encodage données'!C74)=FALSE,1,0)</f>
        <v>0</v>
      </c>
      <c r="G54">
        <f>IF(ISBLANK('Encodage données'!H74)=FALSE,1,0)</f>
        <v>0</v>
      </c>
      <c r="H54">
        <f>IF(OR('Encodage données'!H74="Pas de modification",ISBLANK('Encodage données'!I74)=FALSE),1,0)</f>
        <v>0</v>
      </c>
      <c r="I54">
        <f>IF(OR('Encodage données'!H74="Pas de modification",'Encodage données'!H74='Données Giant'!$A$22,'Encodage données'!H74='Données Giant'!$A$9,'Encodage données'!H74='Données Giant'!$A$11,'Encodage données'!H74='Données Giant'!$A$12,ISBLANK('Encodage données'!J74)=FALSE,'Encodage données'!H74='Données Giant'!$A$9,'Encodage données'!H74='Données Giant'!$A$11,'Encodage données'!H74='Données Giant'!$A$12),1,0)</f>
        <v>0</v>
      </c>
      <c r="J54">
        <f>IF('Encodage données'!I74&lt;=_xlfn.XLOOKUP('Encodage données'!H74,'Données Giant'!$A$8:$A$21,'Données Giant'!$C$8:$C$21,-1),1,0)</f>
        <v>0</v>
      </c>
    </row>
    <row r="55" spans="1:10" x14ac:dyDescent="0.25">
      <c r="A55" s="42">
        <v>11</v>
      </c>
      <c r="B55" s="29">
        <f>'Encodage données'!C75</f>
        <v>0</v>
      </c>
      <c r="C55">
        <f>IF(OR(ISBLANK('Encodage données'!C75)=TRUE,AND(OR('Encodage données'!F75='Parois types'!$B$18,'Encodage données'!F75='Parois types'!$B$36),ISBLANK('Encodage données'!G75)=TRUE)),0,1)</f>
        <v>0</v>
      </c>
      <c r="D55">
        <f>IF(ISBLANK('Encodage données'!E75)=TRUE,0,1)</f>
        <v>0</v>
      </c>
      <c r="E55">
        <f>IF(ISBLANK('Encodage données'!F75)=FALSE,1,0)</f>
        <v>0</v>
      </c>
      <c r="F55">
        <f>IF(ISBLANK('Encodage données'!C75)=FALSE,1,0)</f>
        <v>0</v>
      </c>
      <c r="G55">
        <f>IF(ISBLANK('Encodage données'!H75)=FALSE,1,0)</f>
        <v>0</v>
      </c>
      <c r="H55">
        <f>IF(OR('Encodage données'!H75="Pas de modification",ISBLANK('Encodage données'!I75)=FALSE),1,0)</f>
        <v>0</v>
      </c>
      <c r="I55">
        <f>IF(OR('Encodage données'!H75="Pas de modification",'Encodage données'!H75='Données Giant'!$A$22,'Encodage données'!H75='Données Giant'!$A$9,'Encodage données'!H75='Données Giant'!$A$11,'Encodage données'!H75='Données Giant'!$A$12,ISBLANK('Encodage données'!J75)=FALSE,'Encodage données'!H75='Données Giant'!$A$9,'Encodage données'!H75='Données Giant'!$A$11,'Encodage données'!H75='Données Giant'!$A$12),1,0)</f>
        <v>0</v>
      </c>
      <c r="J55">
        <f>IF('Encodage données'!I75&lt;=_xlfn.XLOOKUP('Encodage données'!H75,'Données Giant'!$A$8:$A$21,'Données Giant'!$C$8:$C$21,-1),1,0)</f>
        <v>0</v>
      </c>
    </row>
    <row r="56" spans="1:10" x14ac:dyDescent="0.25">
      <c r="A56" s="42">
        <v>12</v>
      </c>
      <c r="B56" s="29">
        <f>'Encodage données'!C76</f>
        <v>0</v>
      </c>
      <c r="C56">
        <f>IF(OR(ISBLANK('Encodage données'!C76)=TRUE,AND(OR('Encodage données'!F76='Parois types'!$B$18,'Encodage données'!F76='Parois types'!$B$36),ISBLANK('Encodage données'!G76)=TRUE)),0,1)</f>
        <v>0</v>
      </c>
      <c r="D56">
        <f>IF(ISBLANK('Encodage données'!E76)=TRUE,0,1)</f>
        <v>0</v>
      </c>
      <c r="E56">
        <f>IF(ISBLANK('Encodage données'!F76)=FALSE,1,0)</f>
        <v>0</v>
      </c>
      <c r="F56">
        <f>IF(ISBLANK('Encodage données'!C76)=FALSE,1,0)</f>
        <v>0</v>
      </c>
      <c r="G56">
        <f>IF(ISBLANK('Encodage données'!H76)=FALSE,1,0)</f>
        <v>0</v>
      </c>
      <c r="H56">
        <f>IF(OR('Encodage données'!H76="Pas de modification",ISBLANK('Encodage données'!I76)=FALSE),1,0)</f>
        <v>0</v>
      </c>
      <c r="I56">
        <f>IF(OR('Encodage données'!H76="Pas de modification",'Encodage données'!H76='Données Giant'!$A$22,'Encodage données'!H76='Données Giant'!$A$9,'Encodage données'!H76='Données Giant'!$A$11,'Encodage données'!H76='Données Giant'!$A$12,ISBLANK('Encodage données'!J76)=FALSE,'Encodage données'!H76='Données Giant'!$A$9,'Encodage données'!H76='Données Giant'!$A$11,'Encodage données'!H76='Données Giant'!$A$12),1,0)</f>
        <v>0</v>
      </c>
      <c r="J56">
        <f>IF('Encodage données'!I76&lt;=_xlfn.XLOOKUP('Encodage données'!H76,'Données Giant'!$A$8:$A$21,'Données Giant'!$C$8:$C$21,-1),1,0)</f>
        <v>0</v>
      </c>
    </row>
    <row r="57" spans="1:10" x14ac:dyDescent="0.25">
      <c r="A57" s="42">
        <v>13</v>
      </c>
      <c r="B57" s="29">
        <f>'Encodage données'!C77</f>
        <v>0</v>
      </c>
      <c r="C57">
        <f>IF(OR(ISBLANK('Encodage données'!C77)=TRUE,AND(OR('Encodage données'!F77='Parois types'!$B$18,'Encodage données'!F77='Parois types'!$B$36),ISBLANK('Encodage données'!G77)=TRUE)),0,1)</f>
        <v>0</v>
      </c>
      <c r="D57">
        <f>IF(ISBLANK('Encodage données'!E77)=TRUE,0,1)</f>
        <v>0</v>
      </c>
      <c r="E57">
        <f>IF(ISBLANK('Encodage données'!F77)=FALSE,1,0)</f>
        <v>0</v>
      </c>
      <c r="F57">
        <f>IF(ISBLANK('Encodage données'!C77)=FALSE,1,0)</f>
        <v>0</v>
      </c>
      <c r="G57">
        <f>IF(ISBLANK('Encodage données'!H77)=FALSE,1,0)</f>
        <v>0</v>
      </c>
      <c r="H57">
        <f>IF(OR('Encodage données'!H77="Pas de modification",ISBLANK('Encodage données'!I77)=FALSE),1,0)</f>
        <v>0</v>
      </c>
      <c r="I57">
        <f>IF(OR('Encodage données'!H77="Pas de modification",'Encodage données'!H77='Données Giant'!$A$22,'Encodage données'!H77='Données Giant'!$A$9,'Encodage données'!H77='Données Giant'!$A$11,'Encodage données'!H77='Données Giant'!$A$12,ISBLANK('Encodage données'!J77)=FALSE,'Encodage données'!H77='Données Giant'!$A$9,'Encodage données'!H77='Données Giant'!$A$11,'Encodage données'!H77='Données Giant'!$A$12),1,0)</f>
        <v>0</v>
      </c>
      <c r="J57">
        <f>IF('Encodage données'!I77&lt;=_xlfn.XLOOKUP('Encodage données'!H77,'Données Giant'!$A$8:$A$21,'Données Giant'!$C$8:$C$21,-1),1,0)</f>
        <v>0</v>
      </c>
    </row>
    <row r="58" spans="1:10" x14ac:dyDescent="0.25">
      <c r="A58" s="42">
        <v>14</v>
      </c>
      <c r="B58" s="29">
        <f>'Encodage données'!C78</f>
        <v>0</v>
      </c>
      <c r="C58">
        <f>IF(OR(ISBLANK('Encodage données'!C78)=TRUE,AND(OR('Encodage données'!F78='Parois types'!$B$18,'Encodage données'!F78='Parois types'!$B$36),ISBLANK('Encodage données'!G78)=TRUE)),0,1)</f>
        <v>0</v>
      </c>
      <c r="D58">
        <f>IF(ISBLANK('Encodage données'!E78)=TRUE,0,1)</f>
        <v>0</v>
      </c>
      <c r="E58">
        <f>IF(ISBLANK('Encodage données'!F78)=FALSE,1,0)</f>
        <v>0</v>
      </c>
      <c r="F58">
        <f>IF(ISBLANK('Encodage données'!C78)=FALSE,1,0)</f>
        <v>0</v>
      </c>
      <c r="G58">
        <f>IF(ISBLANK('Encodage données'!H78)=FALSE,1,0)</f>
        <v>0</v>
      </c>
      <c r="H58">
        <f>IF(OR('Encodage données'!H78="Pas de modification",ISBLANK('Encodage données'!I78)=FALSE),1,0)</f>
        <v>0</v>
      </c>
      <c r="I58">
        <f>IF(OR('Encodage données'!H78="Pas de modification",'Encodage données'!H78='Données Giant'!$A$22,'Encodage données'!H78='Données Giant'!$A$9,'Encodage données'!H78='Données Giant'!$A$11,'Encodage données'!H78='Données Giant'!$A$12,ISBLANK('Encodage données'!J78)=FALSE,'Encodage données'!H78='Données Giant'!$A$9,'Encodage données'!H78='Données Giant'!$A$11,'Encodage données'!H78='Données Giant'!$A$12),1,0)</f>
        <v>0</v>
      </c>
      <c r="J58">
        <f>IF('Encodage données'!I78&lt;=_xlfn.XLOOKUP('Encodage données'!H78,'Données Giant'!$A$8:$A$21,'Données Giant'!$C$8:$C$21,-1),1,0)</f>
        <v>0</v>
      </c>
    </row>
    <row r="59" spans="1:10" x14ac:dyDescent="0.25">
      <c r="A59" s="42">
        <v>15</v>
      </c>
      <c r="B59" s="29">
        <f>'Encodage données'!C79</f>
        <v>0</v>
      </c>
      <c r="C59">
        <f>IF(OR(ISBLANK('Encodage données'!C79)=TRUE,AND(OR('Encodage données'!F79='Parois types'!$B$18,'Encodage données'!F79='Parois types'!$B$36),ISBLANK('Encodage données'!G79)=TRUE)),0,1)</f>
        <v>0</v>
      </c>
      <c r="D59">
        <f>IF(ISBLANK('Encodage données'!E79)=TRUE,0,1)</f>
        <v>0</v>
      </c>
      <c r="E59">
        <f>IF(ISBLANK('Encodage données'!F79)=FALSE,1,0)</f>
        <v>0</v>
      </c>
      <c r="F59">
        <f>IF(ISBLANK('Encodage données'!C79)=FALSE,1,0)</f>
        <v>0</v>
      </c>
      <c r="G59">
        <f>IF(ISBLANK('Encodage données'!H79)=FALSE,1,0)</f>
        <v>0</v>
      </c>
      <c r="H59">
        <f>IF(OR('Encodage données'!H79="Pas de modification",ISBLANK('Encodage données'!I79)=FALSE),1,0)</f>
        <v>0</v>
      </c>
      <c r="I59">
        <f>IF(OR('Encodage données'!H79="Pas de modification",'Encodage données'!H79='Données Giant'!$A$22,'Encodage données'!H79='Données Giant'!$A$9,'Encodage données'!H79='Données Giant'!$A$11,'Encodage données'!H79='Données Giant'!$A$12,ISBLANK('Encodage données'!J79)=FALSE,'Encodage données'!H79='Données Giant'!$A$9,'Encodage données'!H79='Données Giant'!$A$11,'Encodage données'!H79='Données Giant'!$A$12),1,0)</f>
        <v>0</v>
      </c>
      <c r="J59">
        <f>IF('Encodage données'!I79&lt;=_xlfn.XLOOKUP('Encodage données'!H79,'Données Giant'!$A$8:$A$21,'Données Giant'!$C$8:$C$21,-1),1,0)</f>
        <v>0</v>
      </c>
    </row>
    <row r="60" spans="1:10" x14ac:dyDescent="0.25">
      <c r="A60" s="42">
        <v>16</v>
      </c>
      <c r="B60" s="29">
        <f>'Encodage données'!C80</f>
        <v>0</v>
      </c>
      <c r="C60">
        <f>IF(OR(ISBLANK('Encodage données'!C80)=TRUE,AND(OR('Encodage données'!F80='Parois types'!$B$18,'Encodage données'!F80='Parois types'!$B$36),ISBLANK('Encodage données'!G80)=TRUE)),0,1)</f>
        <v>0</v>
      </c>
      <c r="D60">
        <f>IF(ISBLANK('Encodage données'!E80)=TRUE,0,1)</f>
        <v>0</v>
      </c>
      <c r="E60">
        <f>IF(ISBLANK('Encodage données'!F80)=FALSE,1,0)</f>
        <v>0</v>
      </c>
      <c r="F60">
        <f>IF(ISBLANK('Encodage données'!C80)=FALSE,1,0)</f>
        <v>0</v>
      </c>
      <c r="G60">
        <f>IF(ISBLANK('Encodage données'!H80)=FALSE,1,0)</f>
        <v>0</v>
      </c>
      <c r="H60">
        <f>IF(OR('Encodage données'!H80="Pas de modification",ISBLANK('Encodage données'!I80)=FALSE),1,0)</f>
        <v>0</v>
      </c>
      <c r="I60">
        <f>IF(OR('Encodage données'!H80="Pas de modification",'Encodage données'!H80='Données Giant'!$A$22,'Encodage données'!H80='Données Giant'!$A$9,'Encodage données'!H80='Données Giant'!$A$11,'Encodage données'!H80='Données Giant'!$A$12,ISBLANK('Encodage données'!J80)=FALSE,'Encodage données'!H80='Données Giant'!$A$9,'Encodage données'!H80='Données Giant'!$A$11,'Encodage données'!H80='Données Giant'!$A$12),1,0)</f>
        <v>0</v>
      </c>
      <c r="J60">
        <f>IF('Encodage données'!I80&lt;=_xlfn.XLOOKUP('Encodage données'!H80,'Données Giant'!$A$8:$A$21,'Données Giant'!$C$8:$C$21,-1),1,0)</f>
        <v>0</v>
      </c>
    </row>
    <row r="61" spans="1:10" x14ac:dyDescent="0.25">
      <c r="A61" s="42">
        <v>17</v>
      </c>
      <c r="B61" s="29">
        <f>'Encodage données'!C81</f>
        <v>0</v>
      </c>
      <c r="C61">
        <f>IF(OR(ISBLANK('Encodage données'!C81)=TRUE,AND(OR('Encodage données'!F81='Parois types'!$B$18,'Encodage données'!F81='Parois types'!$B$36),ISBLANK('Encodage données'!G81)=TRUE)),0,1)</f>
        <v>0</v>
      </c>
      <c r="D61">
        <f>IF(ISBLANK('Encodage données'!E81)=TRUE,0,1)</f>
        <v>0</v>
      </c>
      <c r="E61">
        <f>IF(ISBLANK('Encodage données'!F81)=FALSE,1,0)</f>
        <v>0</v>
      </c>
      <c r="F61">
        <f>IF(ISBLANK('Encodage données'!C81)=FALSE,1,0)</f>
        <v>0</v>
      </c>
      <c r="G61">
        <f>IF(ISBLANK('Encodage données'!H81)=FALSE,1,0)</f>
        <v>0</v>
      </c>
      <c r="H61">
        <f>IF(OR('Encodage données'!H81="Pas de modification",ISBLANK('Encodage données'!I81)=FALSE),1,0)</f>
        <v>0</v>
      </c>
      <c r="I61">
        <f>IF(OR('Encodage données'!H81="Pas de modification",'Encodage données'!H81='Données Giant'!$A$22,'Encodage données'!H81='Données Giant'!$A$9,'Encodage données'!H81='Données Giant'!$A$11,'Encodage données'!H81='Données Giant'!$A$12,ISBLANK('Encodage données'!J81)=FALSE,'Encodage données'!H81='Données Giant'!$A$9,'Encodage données'!H81='Données Giant'!$A$11,'Encodage données'!H81='Données Giant'!$A$12),1,0)</f>
        <v>0</v>
      </c>
      <c r="J61">
        <f>IF('Encodage données'!I81&lt;=_xlfn.XLOOKUP('Encodage données'!H81,'Données Giant'!$A$8:$A$21,'Données Giant'!$C$8:$C$21,-1),1,0)</f>
        <v>0</v>
      </c>
    </row>
    <row r="62" spans="1:10" x14ac:dyDescent="0.25">
      <c r="A62" s="42">
        <v>18</v>
      </c>
      <c r="B62" s="29">
        <f>'Encodage données'!C82</f>
        <v>0</v>
      </c>
      <c r="C62">
        <f>IF(OR(ISBLANK('Encodage données'!C82)=TRUE,AND(OR('Encodage données'!F82='Parois types'!$B$18,'Encodage données'!F82='Parois types'!$B$36),ISBLANK('Encodage données'!G82)=TRUE)),0,1)</f>
        <v>0</v>
      </c>
      <c r="D62">
        <f>IF(ISBLANK('Encodage données'!E82)=TRUE,0,1)</f>
        <v>0</v>
      </c>
      <c r="E62">
        <f>IF(ISBLANK('Encodage données'!F82)=FALSE,1,0)</f>
        <v>0</v>
      </c>
      <c r="F62">
        <f>IF(ISBLANK('Encodage données'!C82)=FALSE,1,0)</f>
        <v>0</v>
      </c>
      <c r="G62">
        <f>IF(ISBLANK('Encodage données'!H82)=FALSE,1,0)</f>
        <v>0</v>
      </c>
      <c r="H62">
        <f>IF(OR('Encodage données'!H82="Pas de modification",ISBLANK('Encodage données'!I82)=FALSE),1,0)</f>
        <v>0</v>
      </c>
      <c r="I62">
        <f>IF(OR('Encodage données'!H82="Pas de modification",'Encodage données'!H82='Données Giant'!$A$22,'Encodage données'!H82='Données Giant'!$A$9,'Encodage données'!H82='Données Giant'!$A$11,'Encodage données'!H82='Données Giant'!$A$12,ISBLANK('Encodage données'!J82)=FALSE,'Encodage données'!H82='Données Giant'!$A$9,'Encodage données'!H82='Données Giant'!$A$11,'Encodage données'!H82='Données Giant'!$A$12),1,0)</f>
        <v>0</v>
      </c>
      <c r="J62">
        <f>IF('Encodage données'!I82&lt;=_xlfn.XLOOKUP('Encodage données'!H82,'Données Giant'!$A$8:$A$21,'Données Giant'!$C$8:$C$21,-1),1,0)</f>
        <v>0</v>
      </c>
    </row>
    <row r="63" spans="1:10" x14ac:dyDescent="0.25">
      <c r="A63" s="42">
        <v>19</v>
      </c>
      <c r="B63" s="29">
        <f>'Encodage données'!C83</f>
        <v>0</v>
      </c>
      <c r="C63">
        <f>IF(OR(ISBLANK('Encodage données'!C83)=TRUE,AND(OR('Encodage données'!F83='Parois types'!$B$18,'Encodage données'!F83='Parois types'!$B$36),ISBLANK('Encodage données'!G83)=TRUE)),0,1)</f>
        <v>0</v>
      </c>
      <c r="D63">
        <f>IF(ISBLANK('Encodage données'!E83)=TRUE,0,1)</f>
        <v>0</v>
      </c>
      <c r="E63">
        <f>IF(ISBLANK('Encodage données'!F83)=FALSE,1,0)</f>
        <v>0</v>
      </c>
      <c r="F63">
        <f>IF(ISBLANK('Encodage données'!C83)=FALSE,1,0)</f>
        <v>0</v>
      </c>
      <c r="G63">
        <f>IF(ISBLANK('Encodage données'!H83)=FALSE,1,0)</f>
        <v>0</v>
      </c>
      <c r="H63">
        <f>IF(OR('Encodage données'!H83="Pas de modification",ISBLANK('Encodage données'!I83)=FALSE),1,0)</f>
        <v>0</v>
      </c>
      <c r="I63">
        <f>IF(OR('Encodage données'!H83="Pas de modification",'Encodage données'!H83='Données Giant'!$A$22,'Encodage données'!H83='Données Giant'!$A$9,'Encodage données'!H83='Données Giant'!$A$11,'Encodage données'!H83='Données Giant'!$A$12,ISBLANK('Encodage données'!J83)=FALSE,'Encodage données'!H83='Données Giant'!$A$9,'Encodage données'!H83='Données Giant'!$A$11,'Encodage données'!H83='Données Giant'!$A$12),1,0)</f>
        <v>0</v>
      </c>
      <c r="J63">
        <f>IF('Encodage données'!I83&lt;=_xlfn.XLOOKUP('Encodage données'!H83,'Données Giant'!$A$8:$A$21,'Données Giant'!$C$8:$C$21,-1),1,0)</f>
        <v>0</v>
      </c>
    </row>
    <row r="64" spans="1:10" x14ac:dyDescent="0.25">
      <c r="A64" s="42">
        <v>20</v>
      </c>
      <c r="B64" s="29">
        <f>'Encodage données'!C84</f>
        <v>0</v>
      </c>
      <c r="C64">
        <f>IF(OR(ISBLANK('Encodage données'!C84)=TRUE,AND(OR('Encodage données'!F84='Parois types'!$B$18,'Encodage données'!F84='Parois types'!$B$36),ISBLANK('Encodage données'!G84)=TRUE)),0,1)</f>
        <v>0</v>
      </c>
      <c r="D64">
        <f>IF(ISBLANK('Encodage données'!E84)=TRUE,0,1)</f>
        <v>0</v>
      </c>
      <c r="E64">
        <f>IF(ISBLANK('Encodage données'!F84)=FALSE,1,0)</f>
        <v>0</v>
      </c>
      <c r="F64">
        <f>IF(ISBLANK('Encodage données'!C84)=FALSE,1,0)</f>
        <v>0</v>
      </c>
      <c r="G64">
        <f>IF(ISBLANK('Encodage données'!H84)=FALSE,1,0)</f>
        <v>0</v>
      </c>
      <c r="H64">
        <f>IF(OR('Encodage données'!H84="Pas de modification",ISBLANK('Encodage données'!I84)=FALSE),1,0)</f>
        <v>0</v>
      </c>
      <c r="I64">
        <f>IF(OR('Encodage données'!H84="Pas de modification",'Encodage données'!H84='Données Giant'!$A$22,'Encodage données'!H84='Données Giant'!$A$9,'Encodage données'!H84='Données Giant'!$A$11,'Encodage données'!H84='Données Giant'!$A$12,ISBLANK('Encodage données'!J84)=FALSE,'Encodage données'!H84='Données Giant'!$A$9,'Encodage données'!H84='Données Giant'!$A$11,'Encodage données'!H84='Données Giant'!$A$12),1,0)</f>
        <v>0</v>
      </c>
      <c r="J64">
        <f>IF('Encodage données'!I84&lt;=_xlfn.XLOOKUP('Encodage données'!H84,'Données Giant'!$A$8:$A$21,'Données Giant'!$C$8:$C$21,-1),1,0)</f>
        <v>0</v>
      </c>
    </row>
    <row r="65" spans="1:10" x14ac:dyDescent="0.25">
      <c r="A65" s="42">
        <v>21</v>
      </c>
      <c r="B65" s="29">
        <f>'Encodage données'!C85</f>
        <v>0</v>
      </c>
      <c r="C65">
        <f>IF(OR(ISBLANK('Encodage données'!C85)=TRUE,AND(OR('Encodage données'!F85='Parois types'!$B$18,'Encodage données'!F85='Parois types'!$B$36),ISBLANK('Encodage données'!G85)=TRUE)),0,1)</f>
        <v>0</v>
      </c>
      <c r="D65">
        <f>IF(ISBLANK('Encodage données'!E85)=TRUE,0,1)</f>
        <v>0</v>
      </c>
      <c r="E65">
        <f>IF(ISBLANK('Encodage données'!F85)=FALSE,1,0)</f>
        <v>0</v>
      </c>
      <c r="F65">
        <f>IF(ISBLANK('Encodage données'!C85)=FALSE,1,0)</f>
        <v>0</v>
      </c>
      <c r="G65">
        <f>IF(ISBLANK('Encodage données'!H85)=FALSE,1,0)</f>
        <v>0</v>
      </c>
      <c r="H65">
        <f>IF(OR('Encodage données'!H85="Pas de modification",ISBLANK('Encodage données'!I85)=FALSE),1,0)</f>
        <v>0</v>
      </c>
      <c r="I65">
        <f>IF(OR('Encodage données'!H85="Pas de modification",'Encodage données'!H85='Données Giant'!$A$22,'Encodage données'!H85='Données Giant'!$A$9,'Encodage données'!H85='Données Giant'!$A$11,'Encodage données'!H85='Données Giant'!$A$12,ISBLANK('Encodage données'!J85)=FALSE,'Encodage données'!H85='Données Giant'!$A$9,'Encodage données'!H85='Données Giant'!$A$11,'Encodage données'!H85='Données Giant'!$A$12),1,0)</f>
        <v>0</v>
      </c>
      <c r="J65">
        <f>IF('Encodage données'!I85&lt;=_xlfn.XLOOKUP('Encodage données'!H85,'Données Giant'!$A$8:$A$21,'Données Giant'!$C$8:$C$21,-1),1,0)</f>
        <v>0</v>
      </c>
    </row>
    <row r="66" spans="1:10" x14ac:dyDescent="0.25">
      <c r="A66" s="42">
        <v>22</v>
      </c>
      <c r="B66" s="29">
        <f>'Encodage données'!C86</f>
        <v>0</v>
      </c>
      <c r="C66">
        <f>IF(OR(ISBLANK('Encodage données'!C86)=TRUE,AND(OR('Encodage données'!F86='Parois types'!$B$18,'Encodage données'!F86='Parois types'!$B$36),ISBLANK('Encodage données'!G86)=TRUE)),0,1)</f>
        <v>0</v>
      </c>
      <c r="D66">
        <f>IF(ISBLANK('Encodage données'!E86)=TRUE,0,1)</f>
        <v>0</v>
      </c>
      <c r="E66">
        <f>IF(ISBLANK('Encodage données'!F86)=FALSE,1,0)</f>
        <v>0</v>
      </c>
      <c r="F66">
        <f>IF(ISBLANK('Encodage données'!C86)=FALSE,1,0)</f>
        <v>0</v>
      </c>
      <c r="G66">
        <f>IF(ISBLANK('Encodage données'!H86)=FALSE,1,0)</f>
        <v>0</v>
      </c>
      <c r="H66">
        <f>IF(OR('Encodage données'!H86="Pas de modification",ISBLANK('Encodage données'!I86)=FALSE),1,0)</f>
        <v>0</v>
      </c>
      <c r="I66">
        <f>IF(OR('Encodage données'!H86="Pas de modification",'Encodage données'!H86='Données Giant'!$A$22,'Encodage données'!H86='Données Giant'!$A$9,'Encodage données'!H86='Données Giant'!$A$11,'Encodage données'!H86='Données Giant'!$A$12,ISBLANK('Encodage données'!J86)=FALSE,'Encodage données'!H86='Données Giant'!$A$9,'Encodage données'!H86='Données Giant'!$A$11,'Encodage données'!H86='Données Giant'!$A$12),1,0)</f>
        <v>0</v>
      </c>
      <c r="J66">
        <f>IF('Encodage données'!I86&lt;=_xlfn.XLOOKUP('Encodage données'!H86,'Données Giant'!$A$8:$A$21,'Données Giant'!$C$8:$C$21,-1),1,0)</f>
        <v>0</v>
      </c>
    </row>
    <row r="67" spans="1:10" x14ac:dyDescent="0.25">
      <c r="A67" s="42">
        <v>23</v>
      </c>
      <c r="B67" s="29">
        <f>'Encodage données'!C87</f>
        <v>0</v>
      </c>
      <c r="C67">
        <f>IF(OR(ISBLANK('Encodage données'!C87)=TRUE,AND(OR('Encodage données'!F87='Parois types'!$B$18,'Encodage données'!F87='Parois types'!$B$36),ISBLANK('Encodage données'!G87)=TRUE)),0,1)</f>
        <v>0</v>
      </c>
      <c r="D67">
        <f>IF(ISBLANK('Encodage données'!E87)=TRUE,0,1)</f>
        <v>0</v>
      </c>
      <c r="E67">
        <f>IF(ISBLANK('Encodage données'!F87)=FALSE,1,0)</f>
        <v>0</v>
      </c>
      <c r="F67">
        <f>IF(ISBLANK('Encodage données'!C87)=FALSE,1,0)</f>
        <v>0</v>
      </c>
      <c r="G67">
        <f>IF(ISBLANK('Encodage données'!H87)=FALSE,1,0)</f>
        <v>0</v>
      </c>
      <c r="H67">
        <f>IF(OR('Encodage données'!H87="Pas de modification",ISBLANK('Encodage données'!I87)=FALSE),1,0)</f>
        <v>0</v>
      </c>
      <c r="I67">
        <f>IF(OR('Encodage données'!H87="Pas de modification",'Encodage données'!H87='Données Giant'!$A$22,'Encodage données'!H87='Données Giant'!$A$9,'Encodage données'!H87='Données Giant'!$A$11,'Encodage données'!H87='Données Giant'!$A$12,ISBLANK('Encodage données'!J87)=FALSE,'Encodage données'!H87='Données Giant'!$A$9,'Encodage données'!H87='Données Giant'!$A$11,'Encodage données'!H87='Données Giant'!$A$12),1,0)</f>
        <v>0</v>
      </c>
      <c r="J67">
        <f>IF('Encodage données'!I87&lt;=_xlfn.XLOOKUP('Encodage données'!H87,'Données Giant'!$A$8:$A$21,'Données Giant'!$C$8:$C$21,-1),1,0)</f>
        <v>0</v>
      </c>
    </row>
    <row r="68" spans="1:10" x14ac:dyDescent="0.25">
      <c r="A68" s="42">
        <v>24</v>
      </c>
      <c r="B68" s="29">
        <f>'Encodage données'!C88</f>
        <v>0</v>
      </c>
      <c r="C68">
        <f>IF(OR(ISBLANK('Encodage données'!C88)=TRUE,AND(OR('Encodage données'!F88='Parois types'!$B$18,'Encodage données'!F88='Parois types'!$B$36),ISBLANK('Encodage données'!G88)=TRUE)),0,1)</f>
        <v>0</v>
      </c>
      <c r="D68">
        <f>IF(ISBLANK('Encodage données'!E88)=TRUE,0,1)</f>
        <v>0</v>
      </c>
      <c r="E68">
        <f>IF(ISBLANK('Encodage données'!F88)=FALSE,1,0)</f>
        <v>0</v>
      </c>
      <c r="F68">
        <f>IF(ISBLANK('Encodage données'!C88)=FALSE,1,0)</f>
        <v>0</v>
      </c>
      <c r="G68">
        <f>IF(ISBLANK('Encodage données'!H88)=FALSE,1,0)</f>
        <v>0</v>
      </c>
      <c r="H68">
        <f>IF(OR('Encodage données'!H88="Pas de modification",ISBLANK('Encodage données'!I88)=FALSE),1,0)</f>
        <v>0</v>
      </c>
      <c r="I68">
        <f>IF(OR('Encodage données'!H88="Pas de modification",'Encodage données'!H88='Données Giant'!$A$22,'Encodage données'!H88='Données Giant'!$A$9,'Encodage données'!H88='Données Giant'!$A$11,'Encodage données'!H88='Données Giant'!$A$12,ISBLANK('Encodage données'!J88)=FALSE,'Encodage données'!H88='Données Giant'!$A$9,'Encodage données'!H88='Données Giant'!$A$11,'Encodage données'!H88='Données Giant'!$A$12),1,0)</f>
        <v>0</v>
      </c>
      <c r="J68">
        <f>IF('Encodage données'!I88&lt;=_xlfn.XLOOKUP('Encodage données'!H88,'Données Giant'!$A$8:$A$21,'Données Giant'!$C$8:$C$21,-1),1,0)</f>
        <v>0</v>
      </c>
    </row>
    <row r="69" spans="1:10" x14ac:dyDescent="0.25">
      <c r="A69" s="42">
        <v>25</v>
      </c>
      <c r="B69" s="29">
        <f>'Encodage données'!C89</f>
        <v>0</v>
      </c>
      <c r="C69">
        <f>IF(OR(ISBLANK('Encodage données'!C89)=TRUE,AND(OR('Encodage données'!F89='Parois types'!$B$18,'Encodage données'!F89='Parois types'!$B$36),ISBLANK('Encodage données'!G89)=TRUE)),0,1)</f>
        <v>0</v>
      </c>
      <c r="D69">
        <f>IF(ISBLANK('Encodage données'!E89)=TRUE,0,1)</f>
        <v>0</v>
      </c>
      <c r="E69">
        <f>IF(ISBLANK('Encodage données'!F89)=FALSE,1,0)</f>
        <v>0</v>
      </c>
      <c r="F69">
        <f>IF(ISBLANK('Encodage données'!C89)=FALSE,1,0)</f>
        <v>0</v>
      </c>
      <c r="G69">
        <f>IF(ISBLANK('Encodage données'!H89)=FALSE,1,0)</f>
        <v>0</v>
      </c>
      <c r="H69">
        <f>IF(OR('Encodage données'!H89="Pas de modification",ISBLANK('Encodage données'!I89)=FALSE),1,0)</f>
        <v>0</v>
      </c>
      <c r="I69">
        <f>IF(OR('Encodage données'!H89="Pas de modification",'Encodage données'!H89='Données Giant'!$A$22,'Encodage données'!H89='Données Giant'!$A$9,'Encodage données'!H89='Données Giant'!$A$11,'Encodage données'!H89='Données Giant'!$A$12,ISBLANK('Encodage données'!J89)=FALSE,'Encodage données'!H89='Données Giant'!$A$9,'Encodage données'!H89='Données Giant'!$A$11,'Encodage données'!H89='Données Giant'!$A$12),1,0)</f>
        <v>0</v>
      </c>
      <c r="J69">
        <f>IF('Encodage données'!I89&lt;=_xlfn.XLOOKUP('Encodage données'!H89,'Données Giant'!$A$8:$A$21,'Données Giant'!$C$8:$C$21,-1),1,0)</f>
        <v>0</v>
      </c>
    </row>
    <row r="70" spans="1:10" x14ac:dyDescent="0.25">
      <c r="A70" s="42">
        <v>26</v>
      </c>
      <c r="B70" s="29">
        <f>'Encodage données'!C90</f>
        <v>0</v>
      </c>
      <c r="C70">
        <f>IF(OR(ISBLANK('Encodage données'!C90)=TRUE,AND(OR('Encodage données'!F90='Parois types'!$B$18,'Encodage données'!F90='Parois types'!$B$36),ISBLANK('Encodage données'!G90)=TRUE)),0,1)</f>
        <v>0</v>
      </c>
      <c r="D70">
        <f>IF(ISBLANK('Encodage données'!E90)=TRUE,0,1)</f>
        <v>0</v>
      </c>
      <c r="E70">
        <f>IF(ISBLANK('Encodage données'!F90)=FALSE,1,0)</f>
        <v>0</v>
      </c>
      <c r="F70">
        <f>IF(ISBLANK('Encodage données'!C90)=FALSE,1,0)</f>
        <v>0</v>
      </c>
      <c r="G70">
        <f>IF(ISBLANK('Encodage données'!H90)=FALSE,1,0)</f>
        <v>0</v>
      </c>
      <c r="H70">
        <f>IF(OR('Encodage données'!H90="Pas de modification",ISBLANK('Encodage données'!I90)=FALSE),1,0)</f>
        <v>0</v>
      </c>
      <c r="I70">
        <f>IF(OR('Encodage données'!H90="Pas de modification",'Encodage données'!H90='Données Giant'!$A$22,'Encodage données'!H90='Données Giant'!$A$9,'Encodage données'!H90='Données Giant'!$A$11,'Encodage données'!H90='Données Giant'!$A$12,ISBLANK('Encodage données'!J90)=FALSE,'Encodage données'!H90='Données Giant'!$A$9,'Encodage données'!H90='Données Giant'!$A$11,'Encodage données'!H90='Données Giant'!$A$12),1,0)</f>
        <v>0</v>
      </c>
      <c r="J70">
        <f>IF('Encodage données'!I90&lt;=_xlfn.XLOOKUP('Encodage données'!H90,'Données Giant'!$A$8:$A$21,'Données Giant'!$C$8:$C$21,-1),1,0)</f>
        <v>0</v>
      </c>
    </row>
    <row r="71" spans="1:10" x14ac:dyDescent="0.25">
      <c r="A71" s="42">
        <v>27</v>
      </c>
      <c r="B71" s="29">
        <f>'Encodage données'!C91</f>
        <v>0</v>
      </c>
      <c r="C71">
        <f>IF(OR(ISBLANK('Encodage données'!C91)=TRUE,AND(OR('Encodage données'!F91='Parois types'!$B$18,'Encodage données'!F91='Parois types'!$B$36),ISBLANK('Encodage données'!G91)=TRUE)),0,1)</f>
        <v>0</v>
      </c>
      <c r="D71">
        <f>IF(ISBLANK('Encodage données'!E91)=TRUE,0,1)</f>
        <v>0</v>
      </c>
      <c r="E71">
        <f>IF(ISBLANK('Encodage données'!F91)=FALSE,1,0)</f>
        <v>0</v>
      </c>
      <c r="F71">
        <f>IF(ISBLANK('Encodage données'!C91)=FALSE,1,0)</f>
        <v>0</v>
      </c>
      <c r="G71">
        <f>IF(ISBLANK('Encodage données'!H91)=FALSE,1,0)</f>
        <v>0</v>
      </c>
      <c r="H71">
        <f>IF(OR('Encodage données'!H91="Pas de modification",ISBLANK('Encodage données'!I91)=FALSE),1,0)</f>
        <v>0</v>
      </c>
      <c r="I71">
        <f>IF(OR('Encodage données'!H91="Pas de modification",'Encodage données'!H91='Données Giant'!$A$22,'Encodage données'!H91='Données Giant'!$A$9,'Encodage données'!H91='Données Giant'!$A$11,'Encodage données'!H91='Données Giant'!$A$12,ISBLANK('Encodage données'!J91)=FALSE,'Encodage données'!H91='Données Giant'!$A$9,'Encodage données'!H91='Données Giant'!$A$11,'Encodage données'!H91='Données Giant'!$A$12),1,0)</f>
        <v>0</v>
      </c>
      <c r="J71">
        <f>IF('Encodage données'!I91&lt;=_xlfn.XLOOKUP('Encodage données'!H91,'Données Giant'!$A$8:$A$21,'Données Giant'!$C$8:$C$21,-1),1,0)</f>
        <v>0</v>
      </c>
    </row>
    <row r="72" spans="1:10" x14ac:dyDescent="0.25">
      <c r="A72" s="42">
        <v>28</v>
      </c>
      <c r="B72" s="29">
        <f>'Encodage données'!C92</f>
        <v>0</v>
      </c>
      <c r="C72">
        <f>IF(OR(ISBLANK('Encodage données'!C92)=TRUE,AND(OR('Encodage données'!F92='Parois types'!$B$18,'Encodage données'!F92='Parois types'!$B$36),ISBLANK('Encodage données'!G92)=TRUE)),0,1)</f>
        <v>0</v>
      </c>
      <c r="D72">
        <f>IF(ISBLANK('Encodage données'!E92)=TRUE,0,1)</f>
        <v>0</v>
      </c>
      <c r="E72">
        <f>IF(ISBLANK('Encodage données'!F92)=FALSE,1,0)</f>
        <v>0</v>
      </c>
      <c r="F72">
        <f>IF(ISBLANK('Encodage données'!C92)=FALSE,1,0)</f>
        <v>0</v>
      </c>
      <c r="G72">
        <f>IF(ISBLANK('Encodage données'!H92)=FALSE,1,0)</f>
        <v>0</v>
      </c>
      <c r="H72">
        <f>IF(OR('Encodage données'!H92="Pas de modification",ISBLANK('Encodage données'!I92)=FALSE),1,0)</f>
        <v>0</v>
      </c>
      <c r="I72">
        <f>IF(OR('Encodage données'!H92="Pas de modification",'Encodage données'!H92='Données Giant'!$A$22,'Encodage données'!H92='Données Giant'!$A$9,'Encodage données'!H92='Données Giant'!$A$11,'Encodage données'!H92='Données Giant'!$A$12,ISBLANK('Encodage données'!J92)=FALSE,'Encodage données'!H92='Données Giant'!$A$9,'Encodage données'!H92='Données Giant'!$A$11,'Encodage données'!H92='Données Giant'!$A$12),1,0)</f>
        <v>0</v>
      </c>
      <c r="J72">
        <f>IF('Encodage données'!I92&lt;=_xlfn.XLOOKUP('Encodage données'!H92,'Données Giant'!$A$8:$A$21,'Données Giant'!$C$8:$C$21,-1),1,0)</f>
        <v>0</v>
      </c>
    </row>
    <row r="73" spans="1:10" x14ac:dyDescent="0.25">
      <c r="A73" s="42">
        <v>29</v>
      </c>
      <c r="B73" s="29">
        <f>'Encodage données'!C93</f>
        <v>0</v>
      </c>
      <c r="C73">
        <f>IF(OR(ISBLANK('Encodage données'!C93)=TRUE,AND(OR('Encodage données'!F93='Parois types'!$B$18,'Encodage données'!F93='Parois types'!$B$36),ISBLANK('Encodage données'!G93)=TRUE)),0,1)</f>
        <v>0</v>
      </c>
      <c r="D73">
        <f>IF(ISBLANK('Encodage données'!E93)=TRUE,0,1)</f>
        <v>0</v>
      </c>
      <c r="E73">
        <f>IF(ISBLANK('Encodage données'!F93)=FALSE,1,0)</f>
        <v>0</v>
      </c>
      <c r="F73">
        <f>IF(ISBLANK('Encodage données'!C93)=FALSE,1,0)</f>
        <v>0</v>
      </c>
      <c r="G73">
        <f>IF(ISBLANK('Encodage données'!H93)=FALSE,1,0)</f>
        <v>0</v>
      </c>
      <c r="H73">
        <f>IF(OR('Encodage données'!H93="Pas de modification",ISBLANK('Encodage données'!I93)=FALSE),1,0)</f>
        <v>0</v>
      </c>
      <c r="I73">
        <f>IF(OR('Encodage données'!H93="Pas de modification",'Encodage données'!H93='Données Giant'!$A$22,'Encodage données'!H93='Données Giant'!$A$9,'Encodage données'!H93='Données Giant'!$A$11,'Encodage données'!H93='Données Giant'!$A$12,ISBLANK('Encodage données'!J93)=FALSE,'Encodage données'!H93='Données Giant'!$A$9,'Encodage données'!H93='Données Giant'!$A$11,'Encodage données'!H93='Données Giant'!$A$12),1,0)</f>
        <v>0</v>
      </c>
      <c r="J73">
        <f>IF('Encodage données'!I93&lt;=_xlfn.XLOOKUP('Encodage données'!H93,'Données Giant'!$A$8:$A$21,'Données Giant'!$C$8:$C$21,-1),1,0)</f>
        <v>0</v>
      </c>
    </row>
    <row r="74" spans="1:10" x14ac:dyDescent="0.25">
      <c r="A74" s="42">
        <v>30</v>
      </c>
      <c r="B74" s="29">
        <f>'Encodage données'!C94</f>
        <v>0</v>
      </c>
      <c r="C74">
        <f>IF(OR(ISBLANK('Encodage données'!C94)=TRUE,AND(OR('Encodage données'!F94='Parois types'!$B$18,'Encodage données'!F94='Parois types'!$B$36),ISBLANK('Encodage données'!G94)=TRUE)),0,1)</f>
        <v>0</v>
      </c>
      <c r="D74">
        <f>IF(ISBLANK('Encodage données'!E94)=TRUE,0,1)</f>
        <v>0</v>
      </c>
      <c r="E74">
        <f>IF(ISBLANK('Encodage données'!F94)=FALSE,1,0)</f>
        <v>0</v>
      </c>
      <c r="F74">
        <f>IF(ISBLANK('Encodage données'!C94)=FALSE,1,0)</f>
        <v>0</v>
      </c>
      <c r="G74">
        <f>IF(ISBLANK('Encodage données'!H94)=FALSE,1,0)</f>
        <v>0</v>
      </c>
      <c r="H74">
        <f>IF(OR('Encodage données'!H94="Pas de modification",ISBLANK('Encodage données'!I94)=FALSE),1,0)</f>
        <v>0</v>
      </c>
      <c r="I74">
        <f>IF(OR('Encodage données'!H94="Pas de modification",'Encodage données'!H94='Données Giant'!$A$22,'Encodage données'!H94='Données Giant'!$A$9,'Encodage données'!H94='Données Giant'!$A$11,'Encodage données'!H94='Données Giant'!$A$12,ISBLANK('Encodage données'!J94)=FALSE,'Encodage données'!H94='Données Giant'!$A$9,'Encodage données'!H94='Données Giant'!$A$11,'Encodage données'!H94='Données Giant'!$A$12),1,0)</f>
        <v>0</v>
      </c>
      <c r="J74">
        <f>IF('Encodage données'!I94&lt;=_xlfn.XLOOKUP('Encodage données'!H94,'Données Giant'!$A$8:$A$21,'Données Giant'!$C$8:$C$21,-1),1,0)</f>
        <v>0</v>
      </c>
    </row>
    <row r="75" spans="1:10" x14ac:dyDescent="0.25">
      <c r="A75" s="42">
        <v>31</v>
      </c>
      <c r="B75" s="29">
        <f>'Encodage données'!C95</f>
        <v>0</v>
      </c>
      <c r="C75">
        <f>IF(OR(ISBLANK('Encodage données'!C95)=TRUE,AND(OR('Encodage données'!F95='Parois types'!$B$18,'Encodage données'!F95='Parois types'!$B$36),ISBLANK('Encodage données'!G95)=TRUE)),0,1)</f>
        <v>0</v>
      </c>
      <c r="D75">
        <f>IF(ISBLANK('Encodage données'!E95)=TRUE,0,1)</f>
        <v>0</v>
      </c>
      <c r="E75">
        <f>IF(ISBLANK('Encodage données'!F95)=FALSE,1,0)</f>
        <v>0</v>
      </c>
      <c r="F75">
        <f>IF(ISBLANK('Encodage données'!C95)=FALSE,1,0)</f>
        <v>0</v>
      </c>
      <c r="G75">
        <f>IF(ISBLANK('Encodage données'!H95)=FALSE,1,0)</f>
        <v>0</v>
      </c>
      <c r="H75">
        <f>IF(OR('Encodage données'!H95="Pas de modification",ISBLANK('Encodage données'!I95)=FALSE),1,0)</f>
        <v>0</v>
      </c>
      <c r="I75">
        <f>IF(OR('Encodage données'!H95="Pas de modification",'Encodage données'!H95='Données Giant'!$A$22,'Encodage données'!H95='Données Giant'!$A$9,'Encodage données'!H95='Données Giant'!$A$11,'Encodage données'!H95='Données Giant'!$A$12,ISBLANK('Encodage données'!J95)=FALSE,'Encodage données'!H95='Données Giant'!$A$9,'Encodage données'!H95='Données Giant'!$A$11,'Encodage données'!H95='Données Giant'!$A$12),1,0)</f>
        <v>0</v>
      </c>
      <c r="J75">
        <f>IF('Encodage données'!I95&lt;=_xlfn.XLOOKUP('Encodage données'!H95,'Données Giant'!$A$8:$A$21,'Données Giant'!$C$8:$C$21,-1),1,0)</f>
        <v>0</v>
      </c>
    </row>
    <row r="76" spans="1:10" x14ac:dyDescent="0.25">
      <c r="A76" s="42">
        <v>32</v>
      </c>
      <c r="B76" s="29">
        <f>'Encodage données'!C96</f>
        <v>0</v>
      </c>
      <c r="C76">
        <f>IF(OR(ISBLANK('Encodage données'!C96)=TRUE,AND(OR('Encodage données'!F96='Parois types'!$B$18,'Encodage données'!F96='Parois types'!$B$36),ISBLANK('Encodage données'!G96)=TRUE)),0,1)</f>
        <v>0</v>
      </c>
      <c r="D76">
        <f>IF(ISBLANK('Encodage données'!E96)=TRUE,0,1)</f>
        <v>0</v>
      </c>
      <c r="E76">
        <f>IF(ISBLANK('Encodage données'!F96)=FALSE,1,0)</f>
        <v>0</v>
      </c>
      <c r="F76">
        <f>IF(ISBLANK('Encodage données'!C96)=FALSE,1,0)</f>
        <v>0</v>
      </c>
      <c r="G76">
        <f>IF(ISBLANK('Encodage données'!H96)=FALSE,1,0)</f>
        <v>0</v>
      </c>
      <c r="H76">
        <f>IF(OR('Encodage données'!H96="Pas de modification",ISBLANK('Encodage données'!I96)=FALSE),1,0)</f>
        <v>0</v>
      </c>
      <c r="I76">
        <f>IF(OR('Encodage données'!H96="Pas de modification",'Encodage données'!H96='Données Giant'!$A$22,'Encodage données'!H96='Données Giant'!$A$9,'Encodage données'!H96='Données Giant'!$A$11,'Encodage données'!H96='Données Giant'!$A$12,ISBLANK('Encodage données'!J96)=FALSE,'Encodage données'!H96='Données Giant'!$A$9,'Encodage données'!H96='Données Giant'!$A$11,'Encodage données'!H96='Données Giant'!$A$12),1,0)</f>
        <v>0</v>
      </c>
      <c r="J76">
        <f>IF('Encodage données'!I96&lt;=_xlfn.XLOOKUP('Encodage données'!H96,'Données Giant'!$A$8:$A$21,'Données Giant'!$C$8:$C$21,-1),1,0)</f>
        <v>0</v>
      </c>
    </row>
    <row r="77" spans="1:10" x14ac:dyDescent="0.25">
      <c r="A77" s="42">
        <v>33</v>
      </c>
      <c r="B77" s="29">
        <f>'Encodage données'!C97</f>
        <v>0</v>
      </c>
      <c r="C77">
        <f>IF(OR(ISBLANK('Encodage données'!C97)=TRUE,AND(OR('Encodage données'!F97='Parois types'!$B$18,'Encodage données'!F97='Parois types'!$B$36),ISBLANK('Encodage données'!G97)=TRUE)),0,1)</f>
        <v>0</v>
      </c>
      <c r="D77">
        <f>IF(ISBLANK('Encodage données'!E97)=TRUE,0,1)</f>
        <v>0</v>
      </c>
      <c r="E77">
        <f>IF(ISBLANK('Encodage données'!F97)=FALSE,1,0)</f>
        <v>0</v>
      </c>
      <c r="F77">
        <f>IF(ISBLANK('Encodage données'!C97)=FALSE,1,0)</f>
        <v>0</v>
      </c>
      <c r="G77">
        <f>IF(ISBLANK('Encodage données'!H97)=FALSE,1,0)</f>
        <v>0</v>
      </c>
      <c r="H77">
        <f>IF(OR('Encodage données'!H97="Pas de modification",ISBLANK('Encodage données'!I97)=FALSE),1,0)</f>
        <v>0</v>
      </c>
      <c r="I77">
        <f>IF(OR('Encodage données'!H97="Pas de modification",'Encodage données'!H97='Données Giant'!$A$22,'Encodage données'!H97='Données Giant'!$A$9,'Encodage données'!H97='Données Giant'!$A$11,'Encodage données'!H97='Données Giant'!$A$12,ISBLANK('Encodage données'!J97)=FALSE,'Encodage données'!H97='Données Giant'!$A$9,'Encodage données'!H97='Données Giant'!$A$11,'Encodage données'!H97='Données Giant'!$A$12),1,0)</f>
        <v>0</v>
      </c>
      <c r="J77">
        <f>IF('Encodage données'!I97&lt;=_xlfn.XLOOKUP('Encodage données'!H97,'Données Giant'!$A$8:$A$21,'Données Giant'!$C$8:$C$21,-1),1,0)</f>
        <v>0</v>
      </c>
    </row>
    <row r="78" spans="1:10" x14ac:dyDescent="0.25">
      <c r="A78" s="42">
        <v>34</v>
      </c>
      <c r="B78" s="29">
        <f>'Encodage données'!C98</f>
        <v>0</v>
      </c>
      <c r="C78">
        <f>IF(OR(ISBLANK('Encodage données'!C98)=TRUE,AND(OR('Encodage données'!F98='Parois types'!$B$18,'Encodage données'!F98='Parois types'!$B$36),ISBLANK('Encodage données'!G98)=TRUE)),0,1)</f>
        <v>0</v>
      </c>
      <c r="D78">
        <f>IF(ISBLANK('Encodage données'!E98)=TRUE,0,1)</f>
        <v>0</v>
      </c>
      <c r="E78">
        <f>IF(ISBLANK('Encodage données'!F98)=FALSE,1,0)</f>
        <v>0</v>
      </c>
      <c r="F78">
        <f>IF(ISBLANK('Encodage données'!C98)=FALSE,1,0)</f>
        <v>0</v>
      </c>
      <c r="G78">
        <f>IF(ISBLANK('Encodage données'!H98)=FALSE,1,0)</f>
        <v>0</v>
      </c>
      <c r="H78">
        <f>IF(OR('Encodage données'!H98="Pas de modification",ISBLANK('Encodage données'!I98)=FALSE),1,0)</f>
        <v>0</v>
      </c>
      <c r="I78">
        <f>IF(OR('Encodage données'!H98="Pas de modification",'Encodage données'!H98='Données Giant'!$A$22,'Encodage données'!H98='Données Giant'!$A$9,'Encodage données'!H98='Données Giant'!$A$11,'Encodage données'!H98='Données Giant'!$A$12,ISBLANK('Encodage données'!J98)=FALSE,'Encodage données'!H98='Données Giant'!$A$9,'Encodage données'!H98='Données Giant'!$A$11,'Encodage données'!H98='Données Giant'!$A$12),1,0)</f>
        <v>0</v>
      </c>
      <c r="J78">
        <f>IF('Encodage données'!I98&lt;=_xlfn.XLOOKUP('Encodage données'!H98,'Données Giant'!$A$8:$A$21,'Données Giant'!$C$8:$C$21,-1),1,0)</f>
        <v>0</v>
      </c>
    </row>
    <row r="79" spans="1:10" x14ac:dyDescent="0.25">
      <c r="A79" s="42">
        <v>35</v>
      </c>
      <c r="B79" s="29">
        <f>'Encodage données'!C99</f>
        <v>0</v>
      </c>
      <c r="C79">
        <f>IF(OR(ISBLANK('Encodage données'!C99)=TRUE,AND(OR('Encodage données'!F99='Parois types'!$B$18,'Encodage données'!F99='Parois types'!$B$36),ISBLANK('Encodage données'!G99)=TRUE)),0,1)</f>
        <v>0</v>
      </c>
      <c r="D79">
        <f>IF(ISBLANK('Encodage données'!E99)=TRUE,0,1)</f>
        <v>0</v>
      </c>
      <c r="E79">
        <f>IF(ISBLANK('Encodage données'!F99)=FALSE,1,0)</f>
        <v>0</v>
      </c>
      <c r="F79">
        <f>IF(ISBLANK('Encodage données'!C99)=FALSE,1,0)</f>
        <v>0</v>
      </c>
      <c r="G79">
        <f>IF(ISBLANK('Encodage données'!H99)=FALSE,1,0)</f>
        <v>0</v>
      </c>
      <c r="H79">
        <f>IF(OR('Encodage données'!H99="Pas de modification",ISBLANK('Encodage données'!I99)=FALSE),1,0)</f>
        <v>0</v>
      </c>
      <c r="I79">
        <f>IF(OR('Encodage données'!H99="Pas de modification",'Encodage données'!H99='Données Giant'!$A$22,'Encodage données'!H99='Données Giant'!$A$9,'Encodage données'!H99='Données Giant'!$A$11,'Encodage données'!H99='Données Giant'!$A$12,ISBLANK('Encodage données'!J99)=FALSE,'Encodage données'!H99='Données Giant'!$A$9,'Encodage données'!H99='Données Giant'!$A$11,'Encodage données'!H99='Données Giant'!$A$12),1,0)</f>
        <v>0</v>
      </c>
      <c r="J79">
        <f>IF('Encodage données'!I99&lt;=_xlfn.XLOOKUP('Encodage données'!H99,'Données Giant'!$A$8:$A$21,'Données Giant'!$C$8:$C$21,-1),1,0)</f>
        <v>0</v>
      </c>
    </row>
    <row r="80" spans="1:10" x14ac:dyDescent="0.25">
      <c r="A80" s="42">
        <v>36</v>
      </c>
      <c r="B80" s="29">
        <f>'Encodage données'!C100</f>
        <v>0</v>
      </c>
      <c r="C80">
        <f>IF(OR(ISBLANK('Encodage données'!C100)=TRUE,AND(OR('Encodage données'!F100='Parois types'!$B$18,'Encodage données'!F100='Parois types'!$B$36),ISBLANK('Encodage données'!G100)=TRUE)),0,1)</f>
        <v>0</v>
      </c>
      <c r="D80">
        <f>IF(ISBLANK('Encodage données'!E100)=TRUE,0,1)</f>
        <v>0</v>
      </c>
      <c r="E80">
        <f>IF(ISBLANK('Encodage données'!F100)=FALSE,1,0)</f>
        <v>0</v>
      </c>
      <c r="F80">
        <f>IF(ISBLANK('Encodage données'!C100)=FALSE,1,0)</f>
        <v>0</v>
      </c>
      <c r="G80">
        <f>IF(ISBLANK('Encodage données'!H100)=FALSE,1,0)</f>
        <v>0</v>
      </c>
      <c r="H80">
        <f>IF(OR('Encodage données'!H100="Pas de modification",ISBLANK('Encodage données'!I100)=FALSE),1,0)</f>
        <v>0</v>
      </c>
      <c r="I80">
        <f>IF(OR('Encodage données'!H100="Pas de modification",'Encodage données'!H100='Données Giant'!$A$22,'Encodage données'!H100='Données Giant'!$A$9,'Encodage données'!H100='Données Giant'!$A$11,'Encodage données'!H100='Données Giant'!$A$12,ISBLANK('Encodage données'!J100)=FALSE,'Encodage données'!H100='Données Giant'!$A$9,'Encodage données'!H100='Données Giant'!$A$11,'Encodage données'!H100='Données Giant'!$A$12),1,0)</f>
        <v>0</v>
      </c>
      <c r="J80">
        <f>IF('Encodage données'!I100&lt;=_xlfn.XLOOKUP('Encodage données'!H100,'Données Giant'!$A$8:$A$21,'Données Giant'!$C$8:$C$21,-1),1,0)</f>
        <v>0</v>
      </c>
    </row>
    <row r="81" spans="1:10" x14ac:dyDescent="0.25">
      <c r="A81" s="42">
        <v>37</v>
      </c>
      <c r="B81" s="29">
        <f>'Encodage données'!C101</f>
        <v>0</v>
      </c>
      <c r="C81">
        <f>IF(OR(ISBLANK('Encodage données'!C101)=TRUE,AND(OR('Encodage données'!F101='Parois types'!$B$18,'Encodage données'!F101='Parois types'!$B$36),ISBLANK('Encodage données'!G101)=TRUE)),0,1)</f>
        <v>0</v>
      </c>
      <c r="D81">
        <f>IF(ISBLANK('Encodage données'!E101)=TRUE,0,1)</f>
        <v>0</v>
      </c>
      <c r="E81">
        <f>IF(ISBLANK('Encodage données'!F101)=FALSE,1,0)</f>
        <v>0</v>
      </c>
      <c r="F81">
        <f>IF(ISBLANK('Encodage données'!C101)=FALSE,1,0)</f>
        <v>0</v>
      </c>
      <c r="G81">
        <f>IF(ISBLANK('Encodage données'!H101)=FALSE,1,0)</f>
        <v>0</v>
      </c>
      <c r="H81">
        <f>IF(OR('Encodage données'!H101="Pas de modification",ISBLANK('Encodage données'!I101)=FALSE),1,0)</f>
        <v>0</v>
      </c>
      <c r="I81">
        <f>IF(OR('Encodage données'!H101="Pas de modification",'Encodage données'!H101='Données Giant'!$A$22,'Encodage données'!H101='Données Giant'!$A$9,'Encodage données'!H101='Données Giant'!$A$11,'Encodage données'!H101='Données Giant'!$A$12,ISBLANK('Encodage données'!J101)=FALSE,'Encodage données'!H101='Données Giant'!$A$9,'Encodage données'!H101='Données Giant'!$A$11,'Encodage données'!H101='Données Giant'!$A$12),1,0)</f>
        <v>0</v>
      </c>
      <c r="J81">
        <f>IF('Encodage données'!I101&lt;=_xlfn.XLOOKUP('Encodage données'!H101,'Données Giant'!$A$8:$A$21,'Données Giant'!$C$8:$C$21,-1),1,0)</f>
        <v>0</v>
      </c>
    </row>
    <row r="82" spans="1:10" x14ac:dyDescent="0.25">
      <c r="A82" s="42">
        <v>38</v>
      </c>
      <c r="B82" s="29">
        <f>'Encodage données'!C102</f>
        <v>0</v>
      </c>
      <c r="C82">
        <f>IF(OR(ISBLANK('Encodage données'!C102)=TRUE,AND(OR('Encodage données'!F102='Parois types'!$B$18,'Encodage données'!F102='Parois types'!$B$36),ISBLANK('Encodage données'!G102)=TRUE)),0,1)</f>
        <v>0</v>
      </c>
      <c r="D82">
        <f>IF(ISBLANK('Encodage données'!E102)=TRUE,0,1)</f>
        <v>0</v>
      </c>
      <c r="E82">
        <f>IF(ISBLANK('Encodage données'!F102)=FALSE,1,0)</f>
        <v>0</v>
      </c>
      <c r="F82">
        <f>IF(ISBLANK('Encodage données'!C102)=FALSE,1,0)</f>
        <v>0</v>
      </c>
      <c r="G82">
        <f>IF(ISBLANK('Encodage données'!H102)=FALSE,1,0)</f>
        <v>0</v>
      </c>
      <c r="H82">
        <f>IF(OR('Encodage données'!H102="Pas de modification",ISBLANK('Encodage données'!I102)=FALSE),1,0)</f>
        <v>0</v>
      </c>
      <c r="I82">
        <f>IF(OR('Encodage données'!H102="Pas de modification",'Encodage données'!H102='Données Giant'!$A$22,'Encodage données'!H102='Données Giant'!$A$9,'Encodage données'!H102='Données Giant'!$A$11,'Encodage données'!H102='Données Giant'!$A$12,ISBLANK('Encodage données'!J102)=FALSE,'Encodage données'!H102='Données Giant'!$A$9,'Encodage données'!H102='Données Giant'!$A$11,'Encodage données'!H102='Données Giant'!$A$12),1,0)</f>
        <v>0</v>
      </c>
      <c r="J82">
        <f>IF('Encodage données'!I102&lt;=_xlfn.XLOOKUP('Encodage données'!H102,'Données Giant'!$A$8:$A$21,'Données Giant'!$C$8:$C$21,-1),1,0)</f>
        <v>0</v>
      </c>
    </row>
    <row r="83" spans="1:10" x14ac:dyDescent="0.25">
      <c r="A83" s="42">
        <v>39</v>
      </c>
      <c r="B83" s="29">
        <f>'Encodage données'!C103</f>
        <v>0</v>
      </c>
      <c r="C83">
        <f>IF(OR(ISBLANK('Encodage données'!C103)=TRUE,AND(OR('Encodage données'!F103='Parois types'!$B$18,'Encodage données'!F103='Parois types'!$B$36),ISBLANK('Encodage données'!G103)=TRUE)),0,1)</f>
        <v>0</v>
      </c>
      <c r="D83">
        <f>IF(ISBLANK('Encodage données'!E103)=TRUE,0,1)</f>
        <v>0</v>
      </c>
      <c r="E83">
        <f>IF(ISBLANK('Encodage données'!F103)=FALSE,1,0)</f>
        <v>0</v>
      </c>
      <c r="F83">
        <f>IF(ISBLANK('Encodage données'!C103)=FALSE,1,0)</f>
        <v>0</v>
      </c>
      <c r="G83">
        <f>IF(ISBLANK('Encodage données'!H103)=FALSE,1,0)</f>
        <v>0</v>
      </c>
      <c r="H83">
        <f>IF(OR('Encodage données'!H103="Pas de modification",ISBLANK('Encodage données'!I103)=FALSE),1,0)</f>
        <v>0</v>
      </c>
      <c r="I83">
        <f>IF(OR('Encodage données'!H103="Pas de modification",'Encodage données'!H103='Données Giant'!$A$22,'Encodage données'!H103='Données Giant'!$A$9,'Encodage données'!H103='Données Giant'!$A$11,'Encodage données'!H103='Données Giant'!$A$12,ISBLANK('Encodage données'!J103)=FALSE,'Encodage données'!H103='Données Giant'!$A$9,'Encodage données'!H103='Données Giant'!$A$11,'Encodage données'!H103='Données Giant'!$A$12),1,0)</f>
        <v>0</v>
      </c>
      <c r="J83">
        <f>IF('Encodage données'!I103&lt;=_xlfn.XLOOKUP('Encodage données'!H103,'Données Giant'!$A$8:$A$21,'Données Giant'!$C$8:$C$21,-1),1,0)</f>
        <v>0</v>
      </c>
    </row>
    <row r="84" spans="1:10" x14ac:dyDescent="0.25">
      <c r="A84" s="42">
        <v>40</v>
      </c>
      <c r="B84" s="29">
        <f>'Encodage données'!C104</f>
        <v>0</v>
      </c>
      <c r="C84">
        <f>IF(OR(ISBLANK('Encodage données'!C104)=TRUE,AND(OR('Encodage données'!F104='Parois types'!$B$18,'Encodage données'!F104='Parois types'!$B$36),ISBLANK('Encodage données'!G104)=TRUE)),0,1)</f>
        <v>0</v>
      </c>
      <c r="D84">
        <f>IF(ISBLANK('Encodage données'!E104)=TRUE,0,1)</f>
        <v>0</v>
      </c>
      <c r="E84">
        <f>IF(ISBLANK('Encodage données'!F104)=FALSE,1,0)</f>
        <v>0</v>
      </c>
      <c r="F84">
        <f>IF(ISBLANK('Encodage données'!C104)=FALSE,1,0)</f>
        <v>0</v>
      </c>
      <c r="G84">
        <f>IF(ISBLANK('Encodage données'!H104)=FALSE,1,0)</f>
        <v>0</v>
      </c>
      <c r="H84">
        <f>IF(OR('Encodage données'!H104="Pas de modification",ISBLANK('Encodage données'!I104)=FALSE),1,0)</f>
        <v>0</v>
      </c>
      <c r="I84">
        <f>IF(OR('Encodage données'!H104="Pas de modification",'Encodage données'!H104='Données Giant'!$A$22,'Encodage données'!H104='Données Giant'!$A$9,'Encodage données'!H104='Données Giant'!$A$11,'Encodage données'!H104='Données Giant'!$A$12,ISBLANK('Encodage données'!J104)=FALSE,'Encodage données'!H104='Données Giant'!$A$9,'Encodage données'!H104='Données Giant'!$A$11,'Encodage données'!H104='Données Giant'!$A$12),1,0)</f>
        <v>0</v>
      </c>
      <c r="J84">
        <f>IF('Encodage données'!I104&lt;=_xlfn.XLOOKUP('Encodage données'!H104,'Données Giant'!$A$8:$A$21,'Données Giant'!$C$8:$C$21,-1),1,0)</f>
        <v>0</v>
      </c>
    </row>
    <row r="85" spans="1:10" x14ac:dyDescent="0.25">
      <c r="A85" s="42">
        <v>41</v>
      </c>
      <c r="B85" s="29">
        <f>'Encodage données'!C105</f>
        <v>0</v>
      </c>
      <c r="C85">
        <f>IF(OR(ISBLANK('Encodage données'!C105)=TRUE,AND(OR('Encodage données'!F105='Parois types'!$B$18,'Encodage données'!F105='Parois types'!$B$36),ISBLANK('Encodage données'!G105)=TRUE)),0,1)</f>
        <v>0</v>
      </c>
      <c r="D85">
        <f>IF(ISBLANK('Encodage données'!E105)=TRUE,0,1)</f>
        <v>0</v>
      </c>
      <c r="E85">
        <f>IF(ISBLANK('Encodage données'!F105)=FALSE,1,0)</f>
        <v>0</v>
      </c>
      <c r="F85">
        <f>IF(ISBLANK('Encodage données'!C105)=FALSE,1,0)</f>
        <v>0</v>
      </c>
      <c r="G85">
        <f>IF(ISBLANK('Encodage données'!H105)=FALSE,1,0)</f>
        <v>0</v>
      </c>
      <c r="H85">
        <f>IF(OR('Encodage données'!H105="Pas de modification",ISBLANK('Encodage données'!I105)=FALSE),1,0)</f>
        <v>0</v>
      </c>
      <c r="I85">
        <f>IF(OR('Encodage données'!H105="Pas de modification",'Encodage données'!H105='Données Giant'!$A$22,'Encodage données'!H105='Données Giant'!$A$9,'Encodage données'!H105='Données Giant'!$A$11,'Encodage données'!H105='Données Giant'!$A$12,ISBLANK('Encodage données'!J105)=FALSE,'Encodage données'!H105='Données Giant'!$A$9,'Encodage données'!H105='Données Giant'!$A$11,'Encodage données'!H105='Données Giant'!$A$12),1,0)</f>
        <v>0</v>
      </c>
      <c r="J85">
        <f>IF('Encodage données'!I105&lt;=_xlfn.XLOOKUP('Encodage données'!H105,'Données Giant'!$A$8:$A$21,'Données Giant'!$C$8:$C$21,-1),1,0)</f>
        <v>0</v>
      </c>
    </row>
    <row r="86" spans="1:10" x14ac:dyDescent="0.25">
      <c r="A86" s="42">
        <v>42</v>
      </c>
      <c r="B86" s="29">
        <f>'Encodage données'!C106</f>
        <v>0</v>
      </c>
      <c r="C86">
        <f>IF(OR(ISBLANK('Encodage données'!C106)=TRUE,AND(OR('Encodage données'!F106='Parois types'!$B$18,'Encodage données'!F106='Parois types'!$B$36),ISBLANK('Encodage données'!G106)=TRUE)),0,1)</f>
        <v>0</v>
      </c>
      <c r="D86">
        <f>IF(ISBLANK('Encodage données'!E106)=TRUE,0,1)</f>
        <v>0</v>
      </c>
      <c r="E86">
        <f>IF(ISBLANK('Encodage données'!F106)=FALSE,1,0)</f>
        <v>0</v>
      </c>
      <c r="F86">
        <f>IF(ISBLANK('Encodage données'!C106)=FALSE,1,0)</f>
        <v>0</v>
      </c>
      <c r="G86">
        <f>IF(ISBLANK('Encodage données'!H106)=FALSE,1,0)</f>
        <v>0</v>
      </c>
      <c r="H86">
        <f>IF(OR('Encodage données'!H106="Pas de modification",ISBLANK('Encodage données'!I106)=FALSE),1,0)</f>
        <v>0</v>
      </c>
      <c r="I86">
        <f>IF(OR('Encodage données'!H106="Pas de modification",'Encodage données'!H106='Données Giant'!$A$22,'Encodage données'!H106='Données Giant'!$A$9,'Encodage données'!H106='Données Giant'!$A$11,'Encodage données'!H106='Données Giant'!$A$12,ISBLANK('Encodage données'!J106)=FALSE,'Encodage données'!H106='Données Giant'!$A$9,'Encodage données'!H106='Données Giant'!$A$11,'Encodage données'!H106='Données Giant'!$A$12),1,0)</f>
        <v>0</v>
      </c>
      <c r="J86">
        <f>IF('Encodage données'!I106&lt;=_xlfn.XLOOKUP('Encodage données'!H106,'Données Giant'!$A$8:$A$21,'Données Giant'!$C$8:$C$21,-1),1,0)</f>
        <v>0</v>
      </c>
    </row>
    <row r="87" spans="1:10" x14ac:dyDescent="0.25">
      <c r="A87" s="42">
        <v>43</v>
      </c>
      <c r="B87" s="29">
        <f>'Encodage données'!C107</f>
        <v>0</v>
      </c>
      <c r="C87">
        <f>IF(OR(ISBLANK('Encodage données'!C107)=TRUE,AND(OR('Encodage données'!F107='Parois types'!$B$18,'Encodage données'!F107='Parois types'!$B$36),ISBLANK('Encodage données'!G107)=TRUE)),0,1)</f>
        <v>0</v>
      </c>
      <c r="D87">
        <f>IF(ISBLANK('Encodage données'!E107)=TRUE,0,1)</f>
        <v>0</v>
      </c>
      <c r="E87">
        <f>IF(ISBLANK('Encodage données'!F107)=FALSE,1,0)</f>
        <v>0</v>
      </c>
      <c r="F87">
        <f>IF(ISBLANK('Encodage données'!C107)=FALSE,1,0)</f>
        <v>0</v>
      </c>
      <c r="G87">
        <f>IF(ISBLANK('Encodage données'!H107)=FALSE,1,0)</f>
        <v>0</v>
      </c>
      <c r="H87">
        <f>IF(OR('Encodage données'!H107="Pas de modification",ISBLANK('Encodage données'!I107)=FALSE),1,0)</f>
        <v>0</v>
      </c>
      <c r="I87">
        <f>IF(OR('Encodage données'!H107="Pas de modification",'Encodage données'!H107='Données Giant'!$A$22,'Encodage données'!H107='Données Giant'!$A$9,'Encodage données'!H107='Données Giant'!$A$11,'Encodage données'!H107='Données Giant'!$A$12,ISBLANK('Encodage données'!J107)=FALSE,'Encodage données'!H107='Données Giant'!$A$9,'Encodage données'!H107='Données Giant'!$A$11,'Encodage données'!H107='Données Giant'!$A$12),1,0)</f>
        <v>0</v>
      </c>
      <c r="J87">
        <f>IF('Encodage données'!I107&lt;=_xlfn.XLOOKUP('Encodage données'!H107,'Données Giant'!$A$8:$A$21,'Données Giant'!$C$8:$C$21,-1),1,0)</f>
        <v>0</v>
      </c>
    </row>
    <row r="88" spans="1:10" x14ac:dyDescent="0.25">
      <c r="A88" s="42">
        <v>44</v>
      </c>
      <c r="B88" s="29">
        <f>'Encodage données'!C108</f>
        <v>0</v>
      </c>
      <c r="C88">
        <f>IF(OR(ISBLANK('Encodage données'!C108)=TRUE,AND(OR('Encodage données'!F108='Parois types'!$B$18,'Encodage données'!F108='Parois types'!$B$36),ISBLANK('Encodage données'!G108)=TRUE)),0,1)</f>
        <v>0</v>
      </c>
      <c r="D88">
        <f>IF(ISBLANK('Encodage données'!E108)=TRUE,0,1)</f>
        <v>0</v>
      </c>
      <c r="E88">
        <f>IF(ISBLANK('Encodage données'!F108)=FALSE,1,0)</f>
        <v>0</v>
      </c>
      <c r="F88">
        <f>IF(ISBLANK('Encodage données'!C108)=FALSE,1,0)</f>
        <v>0</v>
      </c>
      <c r="G88">
        <f>IF(ISBLANK('Encodage données'!H108)=FALSE,1,0)</f>
        <v>0</v>
      </c>
      <c r="H88">
        <f>IF(OR('Encodage données'!H108="Pas de modification",ISBLANK('Encodage données'!I108)=FALSE),1,0)</f>
        <v>0</v>
      </c>
      <c r="I88">
        <f>IF(OR('Encodage données'!H108="Pas de modification",'Encodage données'!H108='Données Giant'!$A$22,'Encodage données'!H108='Données Giant'!$A$9,'Encodage données'!H108='Données Giant'!$A$11,'Encodage données'!H108='Données Giant'!$A$12,ISBLANK('Encodage données'!J108)=FALSE,'Encodage données'!H108='Données Giant'!$A$9,'Encodage données'!H108='Données Giant'!$A$11,'Encodage données'!H108='Données Giant'!$A$12),1,0)</f>
        <v>0</v>
      </c>
      <c r="J88">
        <f>IF('Encodage données'!I108&lt;=_xlfn.XLOOKUP('Encodage données'!H108,'Données Giant'!$A$8:$A$21,'Données Giant'!$C$8:$C$21,-1),1,0)</f>
        <v>0</v>
      </c>
    </row>
    <row r="89" spans="1:10" x14ac:dyDescent="0.25">
      <c r="A89" s="42">
        <v>45</v>
      </c>
      <c r="B89" s="29">
        <f>'Encodage données'!C109</f>
        <v>0</v>
      </c>
      <c r="C89">
        <f>IF(OR(ISBLANK('Encodage données'!C109)=TRUE,AND(OR('Encodage données'!F109='Parois types'!$B$18,'Encodage données'!F109='Parois types'!$B$36),ISBLANK('Encodage données'!G109)=TRUE)),0,1)</f>
        <v>0</v>
      </c>
      <c r="D89">
        <f>IF(ISBLANK('Encodage données'!E109)=TRUE,0,1)</f>
        <v>0</v>
      </c>
      <c r="E89">
        <f>IF(ISBLANK('Encodage données'!F109)=FALSE,1,0)</f>
        <v>0</v>
      </c>
      <c r="F89">
        <f>IF(ISBLANK('Encodage données'!C109)=FALSE,1,0)</f>
        <v>0</v>
      </c>
      <c r="G89">
        <f>IF(ISBLANK('Encodage données'!H109)=FALSE,1,0)</f>
        <v>0</v>
      </c>
      <c r="H89">
        <f>IF(OR('Encodage données'!H109="Pas de modification",ISBLANK('Encodage données'!I109)=FALSE),1,0)</f>
        <v>0</v>
      </c>
      <c r="I89">
        <f>IF(OR('Encodage données'!H109="Pas de modification",'Encodage données'!H109='Données Giant'!$A$22,'Encodage données'!H109='Données Giant'!$A$9,'Encodage données'!H109='Données Giant'!$A$11,'Encodage données'!H109='Données Giant'!$A$12,ISBLANK('Encodage données'!J109)=FALSE,'Encodage données'!H109='Données Giant'!$A$9,'Encodage données'!H109='Données Giant'!$A$11,'Encodage données'!H109='Données Giant'!$A$12),1,0)</f>
        <v>0</v>
      </c>
      <c r="J89">
        <f>IF('Encodage données'!I109&lt;=_xlfn.XLOOKUP('Encodage données'!H109,'Données Giant'!$A$8:$A$21,'Données Giant'!$C$8:$C$21,-1),1,0)</f>
        <v>0</v>
      </c>
    </row>
    <row r="90" spans="1:10" x14ac:dyDescent="0.25">
      <c r="A90" s="42">
        <v>46</v>
      </c>
      <c r="B90" s="29">
        <f>'Encodage données'!C110</f>
        <v>0</v>
      </c>
      <c r="C90">
        <f>IF(OR(ISBLANK('Encodage données'!C110)=TRUE,AND(OR('Encodage données'!F110='Parois types'!$B$18,'Encodage données'!F110='Parois types'!$B$36),ISBLANK('Encodage données'!G110)=TRUE)),0,1)</f>
        <v>0</v>
      </c>
      <c r="D90">
        <f>IF(ISBLANK('Encodage données'!E110)=TRUE,0,1)</f>
        <v>0</v>
      </c>
      <c r="E90">
        <f>IF(ISBLANK('Encodage données'!F110)=FALSE,1,0)</f>
        <v>0</v>
      </c>
      <c r="F90">
        <f>IF(ISBLANK('Encodage données'!C110)=FALSE,1,0)</f>
        <v>0</v>
      </c>
      <c r="G90">
        <f>IF(ISBLANK('Encodage données'!H110)=FALSE,1,0)</f>
        <v>0</v>
      </c>
      <c r="H90">
        <f>IF(OR('Encodage données'!H110="Pas de modification",ISBLANK('Encodage données'!I110)=FALSE),1,0)</f>
        <v>0</v>
      </c>
      <c r="I90">
        <f>IF(OR('Encodage données'!H110="Pas de modification",'Encodage données'!H110='Données Giant'!$A$22,'Encodage données'!H110='Données Giant'!$A$9,'Encodage données'!H110='Données Giant'!$A$11,'Encodage données'!H110='Données Giant'!$A$12,ISBLANK('Encodage données'!J110)=FALSE,'Encodage données'!H110='Données Giant'!$A$9,'Encodage données'!H110='Données Giant'!$A$11,'Encodage données'!H110='Données Giant'!$A$12),1,0)</f>
        <v>0</v>
      </c>
      <c r="J90">
        <f>IF('Encodage données'!I110&lt;=_xlfn.XLOOKUP('Encodage données'!H110,'Données Giant'!$A$8:$A$21,'Données Giant'!$C$8:$C$21,-1),1,0)</f>
        <v>0</v>
      </c>
    </row>
    <row r="91" spans="1:10" x14ac:dyDescent="0.25">
      <c r="A91" s="42">
        <v>47</v>
      </c>
      <c r="B91" s="29">
        <f>'Encodage données'!C111</f>
        <v>0</v>
      </c>
      <c r="C91">
        <f>IF(OR(ISBLANK('Encodage données'!C111)=TRUE,AND(OR('Encodage données'!F111='Parois types'!$B$18,'Encodage données'!F111='Parois types'!$B$36),ISBLANK('Encodage données'!G111)=TRUE)),0,1)</f>
        <v>0</v>
      </c>
      <c r="D91">
        <f>IF(ISBLANK('Encodage données'!E111)=TRUE,0,1)</f>
        <v>0</v>
      </c>
      <c r="E91">
        <f>IF(ISBLANK('Encodage données'!F111)=FALSE,1,0)</f>
        <v>0</v>
      </c>
      <c r="F91">
        <f>IF(ISBLANK('Encodage données'!C111)=FALSE,1,0)</f>
        <v>0</v>
      </c>
      <c r="G91">
        <f>IF(ISBLANK('Encodage données'!H111)=FALSE,1,0)</f>
        <v>0</v>
      </c>
      <c r="H91">
        <f>IF(OR('Encodage données'!H111="Pas de modification",ISBLANK('Encodage données'!I111)=FALSE),1,0)</f>
        <v>0</v>
      </c>
      <c r="I91">
        <f>IF(OR('Encodage données'!H111="Pas de modification",'Encodage données'!H111='Données Giant'!$A$22,'Encodage données'!H111='Données Giant'!$A$9,'Encodage données'!H111='Données Giant'!$A$11,'Encodage données'!H111='Données Giant'!$A$12,ISBLANK('Encodage données'!J111)=FALSE,'Encodage données'!H111='Données Giant'!$A$9,'Encodage données'!H111='Données Giant'!$A$11,'Encodage données'!H111='Données Giant'!$A$12),1,0)</f>
        <v>0</v>
      </c>
      <c r="J91">
        <f>IF('Encodage données'!I111&lt;=_xlfn.XLOOKUP('Encodage données'!H111,'Données Giant'!$A$8:$A$21,'Données Giant'!$C$8:$C$21,-1),1,0)</f>
        <v>0</v>
      </c>
    </row>
    <row r="92" spans="1:10" x14ac:dyDescent="0.25">
      <c r="A92" s="42">
        <v>48</v>
      </c>
      <c r="B92" s="29">
        <f>'Encodage données'!C112</f>
        <v>0</v>
      </c>
      <c r="C92">
        <f>IF(OR(ISBLANK('Encodage données'!C112)=TRUE,AND(OR('Encodage données'!F112='Parois types'!$B$18,'Encodage données'!F112='Parois types'!$B$36),ISBLANK('Encodage données'!G112)=TRUE)),0,1)</f>
        <v>0</v>
      </c>
      <c r="D92">
        <f>IF(ISBLANK('Encodage données'!E112)=TRUE,0,1)</f>
        <v>0</v>
      </c>
      <c r="E92">
        <f>IF(ISBLANK('Encodage données'!F112)=FALSE,1,0)</f>
        <v>0</v>
      </c>
      <c r="F92">
        <f>IF(ISBLANK('Encodage données'!C112)=FALSE,1,0)</f>
        <v>0</v>
      </c>
      <c r="G92">
        <f>IF(ISBLANK('Encodage données'!H112)=FALSE,1,0)</f>
        <v>0</v>
      </c>
      <c r="H92">
        <f>IF(OR('Encodage données'!H112="Pas de modification",ISBLANK('Encodage données'!I112)=FALSE),1,0)</f>
        <v>0</v>
      </c>
      <c r="I92">
        <f>IF(OR('Encodage données'!H112="Pas de modification",'Encodage données'!H112='Données Giant'!$A$22,'Encodage données'!H112='Données Giant'!$A$9,'Encodage données'!H112='Données Giant'!$A$11,'Encodage données'!H112='Données Giant'!$A$12,ISBLANK('Encodage données'!J112)=FALSE,'Encodage données'!H112='Données Giant'!$A$9,'Encodage données'!H112='Données Giant'!$A$11,'Encodage données'!H112='Données Giant'!$A$12),1,0)</f>
        <v>0</v>
      </c>
      <c r="J92">
        <f>IF('Encodage données'!I112&lt;=_xlfn.XLOOKUP('Encodage données'!H112,'Données Giant'!$A$8:$A$21,'Données Giant'!$C$8:$C$21,-1),1,0)</f>
        <v>0</v>
      </c>
    </row>
    <row r="93" spans="1:10" x14ac:dyDescent="0.25">
      <c r="A93" s="42">
        <v>49</v>
      </c>
      <c r="B93" s="29">
        <f>'Encodage données'!C113</f>
        <v>0</v>
      </c>
      <c r="C93">
        <f>IF(OR(ISBLANK('Encodage données'!C113)=TRUE,AND(OR('Encodage données'!F113='Parois types'!$B$18,'Encodage données'!F113='Parois types'!$B$36),ISBLANK('Encodage données'!G113)=TRUE)),0,1)</f>
        <v>0</v>
      </c>
      <c r="D93">
        <f>IF(ISBLANK('Encodage données'!E113)=TRUE,0,1)</f>
        <v>0</v>
      </c>
      <c r="E93">
        <f>IF(ISBLANK('Encodage données'!F113)=FALSE,1,0)</f>
        <v>0</v>
      </c>
      <c r="F93">
        <f>IF(ISBLANK('Encodage données'!C113)=FALSE,1,0)</f>
        <v>0</v>
      </c>
      <c r="G93">
        <f>IF(ISBLANK('Encodage données'!H113)=FALSE,1,0)</f>
        <v>0</v>
      </c>
      <c r="H93">
        <f>IF(OR('Encodage données'!H113="Pas de modification",ISBLANK('Encodage données'!I113)=FALSE),1,0)</f>
        <v>0</v>
      </c>
      <c r="I93">
        <f>IF(OR('Encodage données'!H113="Pas de modification",'Encodage données'!H113='Données Giant'!$A$22,'Encodage données'!H113='Données Giant'!$A$9,'Encodage données'!H113='Données Giant'!$A$11,'Encodage données'!H113='Données Giant'!$A$12,ISBLANK('Encodage données'!J113)=FALSE,'Encodage données'!H113='Données Giant'!$A$9,'Encodage données'!H113='Données Giant'!$A$11,'Encodage données'!H113='Données Giant'!$A$12),1,0)</f>
        <v>0</v>
      </c>
      <c r="J93">
        <f>IF('Encodage données'!I113&lt;=_xlfn.XLOOKUP('Encodage données'!H113,'Données Giant'!$A$8:$A$21,'Données Giant'!$C$8:$C$21,-1),1,0)</f>
        <v>0</v>
      </c>
    </row>
    <row r="94" spans="1:10" x14ac:dyDescent="0.25">
      <c r="A94" s="42">
        <v>50</v>
      </c>
      <c r="B94" s="29">
        <f>'Encodage données'!C114</f>
        <v>0</v>
      </c>
      <c r="C94">
        <f>IF(OR(ISBLANK('Encodage données'!C114)=TRUE,AND(OR('Encodage données'!F114='Parois types'!$B$18,'Encodage données'!F114='Parois types'!$B$36),ISBLANK('Encodage données'!G114)=TRUE)),0,1)</f>
        <v>0</v>
      </c>
      <c r="D94">
        <f>IF(ISBLANK('Encodage données'!E114)=TRUE,0,1)</f>
        <v>0</v>
      </c>
      <c r="E94">
        <f>IF(ISBLANK('Encodage données'!F114)=FALSE,1,0)</f>
        <v>0</v>
      </c>
      <c r="F94">
        <f>IF(ISBLANK('Encodage données'!C114)=FALSE,1,0)</f>
        <v>0</v>
      </c>
      <c r="G94">
        <f>IF(ISBLANK('Encodage données'!H114)=FALSE,1,0)</f>
        <v>0</v>
      </c>
      <c r="H94">
        <f>IF(OR('Encodage données'!H114="Pas de modification",ISBLANK('Encodage données'!I114)=FALSE),1,0)</f>
        <v>0</v>
      </c>
      <c r="I94">
        <f>IF(OR('Encodage données'!H114="Pas de modification",'Encodage données'!H114='Données Giant'!$A$22,'Encodage données'!H114='Données Giant'!$A$9,'Encodage données'!H114='Données Giant'!$A$11,'Encodage données'!H114='Données Giant'!$A$12,ISBLANK('Encodage données'!J114)=FALSE,'Encodage données'!H114='Données Giant'!$A$9,'Encodage données'!H114='Données Giant'!$A$11,'Encodage données'!H114='Données Giant'!$A$12),1,0)</f>
        <v>0</v>
      </c>
      <c r="J94">
        <f>IF('Encodage données'!I114&lt;=_xlfn.XLOOKUP('Encodage données'!H114,'Données Giant'!$A$8:$A$21,'Données Giant'!$C$8:$C$21,-1),1,0)</f>
        <v>0</v>
      </c>
    </row>
    <row r="95" spans="1:10" x14ac:dyDescent="0.25">
      <c r="A95" s="42">
        <v>51</v>
      </c>
      <c r="B95" s="29">
        <f>'Encodage données'!C115</f>
        <v>0</v>
      </c>
      <c r="C95">
        <f>IF(OR(ISBLANK('Encodage données'!C115)=TRUE,AND(OR('Encodage données'!F115='Parois types'!$B$18,'Encodage données'!F115='Parois types'!$B$36),ISBLANK('Encodage données'!G115)=TRUE)),0,1)</f>
        <v>0</v>
      </c>
      <c r="D95">
        <f>IF(ISBLANK('Encodage données'!E115)=TRUE,0,1)</f>
        <v>0</v>
      </c>
      <c r="E95">
        <f>IF(ISBLANK('Encodage données'!F115)=FALSE,1,0)</f>
        <v>0</v>
      </c>
      <c r="F95">
        <f>IF(ISBLANK('Encodage données'!C115)=FALSE,1,0)</f>
        <v>0</v>
      </c>
      <c r="G95">
        <f>IF(ISBLANK('Encodage données'!H115)=FALSE,1,0)</f>
        <v>0</v>
      </c>
      <c r="H95">
        <f>IF(OR('Encodage données'!H115="Pas de modification",ISBLANK('Encodage données'!I115)=FALSE),1,0)</f>
        <v>0</v>
      </c>
      <c r="I95">
        <f>IF(OR('Encodage données'!H115="Pas de modification",'Encodage données'!H115='Données Giant'!$A$22,'Encodage données'!H115='Données Giant'!$A$9,'Encodage données'!H115='Données Giant'!$A$11,'Encodage données'!H115='Données Giant'!$A$12,ISBLANK('Encodage données'!J115)=FALSE,'Encodage données'!H115='Données Giant'!$A$9,'Encodage données'!H115='Données Giant'!$A$11,'Encodage données'!H115='Données Giant'!$A$12),1,0)</f>
        <v>0</v>
      </c>
      <c r="J95">
        <f>IF('Encodage données'!I115&lt;=_xlfn.XLOOKUP('Encodage données'!H115,'Données Giant'!$A$8:$A$21,'Données Giant'!$C$8:$C$21,-1),1,0)</f>
        <v>0</v>
      </c>
    </row>
    <row r="96" spans="1:10" x14ac:dyDescent="0.25">
      <c r="A96" s="42">
        <v>52</v>
      </c>
      <c r="B96" s="29">
        <f>'Encodage données'!C116</f>
        <v>0</v>
      </c>
      <c r="C96">
        <f>IF(OR(ISBLANK('Encodage données'!C116)=TRUE,AND(OR('Encodage données'!F116='Parois types'!$B$18,'Encodage données'!F116='Parois types'!$B$36),ISBLANK('Encodage données'!G116)=TRUE)),0,1)</f>
        <v>0</v>
      </c>
      <c r="D96">
        <f>IF(ISBLANK('Encodage données'!E116)=TRUE,0,1)</f>
        <v>0</v>
      </c>
      <c r="E96">
        <f>IF(ISBLANK('Encodage données'!F116)=FALSE,1,0)</f>
        <v>0</v>
      </c>
      <c r="F96">
        <f>IF(ISBLANK('Encodage données'!C116)=FALSE,1,0)</f>
        <v>0</v>
      </c>
      <c r="G96">
        <f>IF(ISBLANK('Encodage données'!H116)=FALSE,1,0)</f>
        <v>0</v>
      </c>
      <c r="H96">
        <f>IF(OR('Encodage données'!H116="Pas de modification",ISBLANK('Encodage données'!I116)=FALSE),1,0)</f>
        <v>0</v>
      </c>
      <c r="I96">
        <f>IF(OR('Encodage données'!H116="Pas de modification",'Encodage données'!H116='Données Giant'!$A$22,'Encodage données'!H116='Données Giant'!$A$9,'Encodage données'!H116='Données Giant'!$A$11,'Encodage données'!H116='Données Giant'!$A$12,ISBLANK('Encodage données'!J116)=FALSE,'Encodage données'!H116='Données Giant'!$A$9,'Encodage données'!H116='Données Giant'!$A$11,'Encodage données'!H116='Données Giant'!$A$12),1,0)</f>
        <v>0</v>
      </c>
      <c r="J96">
        <f>IF('Encodage données'!I116&lt;=_xlfn.XLOOKUP('Encodage données'!H116,'Données Giant'!$A$8:$A$21,'Données Giant'!$C$8:$C$21,-1),1,0)</f>
        <v>0</v>
      </c>
    </row>
    <row r="97" spans="1:10" x14ac:dyDescent="0.25">
      <c r="A97" s="42">
        <v>53</v>
      </c>
      <c r="B97" s="29">
        <f>'Encodage données'!C117</f>
        <v>0</v>
      </c>
      <c r="C97">
        <f>IF(OR(ISBLANK('Encodage données'!C117)=TRUE,AND(OR('Encodage données'!F117='Parois types'!$B$18,'Encodage données'!F117='Parois types'!$B$36),ISBLANK('Encodage données'!G117)=TRUE)),0,1)</f>
        <v>0</v>
      </c>
      <c r="D97">
        <f>IF(ISBLANK('Encodage données'!E117)=TRUE,0,1)</f>
        <v>0</v>
      </c>
      <c r="E97">
        <f>IF(ISBLANK('Encodage données'!F117)=FALSE,1,0)</f>
        <v>0</v>
      </c>
      <c r="F97">
        <f>IF(ISBLANK('Encodage données'!C117)=FALSE,1,0)</f>
        <v>0</v>
      </c>
      <c r="G97">
        <f>IF(ISBLANK('Encodage données'!H117)=FALSE,1,0)</f>
        <v>0</v>
      </c>
      <c r="H97">
        <f>IF(OR('Encodage données'!H117="Pas de modification",ISBLANK('Encodage données'!I117)=FALSE),1,0)</f>
        <v>0</v>
      </c>
      <c r="I97">
        <f>IF(OR('Encodage données'!H117="Pas de modification",'Encodage données'!H117='Données Giant'!$A$22,'Encodage données'!H117='Données Giant'!$A$9,'Encodage données'!H117='Données Giant'!$A$11,'Encodage données'!H117='Données Giant'!$A$12,ISBLANK('Encodage données'!J117)=FALSE,'Encodage données'!H117='Données Giant'!$A$9,'Encodage données'!H117='Données Giant'!$A$11,'Encodage données'!H117='Données Giant'!$A$12),1,0)</f>
        <v>0</v>
      </c>
      <c r="J97">
        <f>IF('Encodage données'!I117&lt;=_xlfn.XLOOKUP('Encodage données'!H117,'Données Giant'!$A$8:$A$21,'Données Giant'!$C$8:$C$21,-1),1,0)</f>
        <v>0</v>
      </c>
    </row>
    <row r="98" spans="1:10" x14ac:dyDescent="0.25">
      <c r="A98" s="42">
        <v>54</v>
      </c>
      <c r="B98" s="29">
        <f>'Encodage données'!C118</f>
        <v>0</v>
      </c>
      <c r="C98">
        <f>IF(OR(ISBLANK('Encodage données'!C118)=TRUE,AND(OR('Encodage données'!F118='Parois types'!$B$18,'Encodage données'!F118='Parois types'!$B$36),ISBLANK('Encodage données'!G118)=TRUE)),0,1)</f>
        <v>0</v>
      </c>
      <c r="D98">
        <f>IF(ISBLANK('Encodage données'!E118)=TRUE,0,1)</f>
        <v>0</v>
      </c>
      <c r="E98">
        <f>IF(ISBLANK('Encodage données'!F118)=FALSE,1,0)</f>
        <v>0</v>
      </c>
      <c r="F98">
        <f>IF(ISBLANK('Encodage données'!C118)=FALSE,1,0)</f>
        <v>0</v>
      </c>
      <c r="G98">
        <f>IF(ISBLANK('Encodage données'!H118)=FALSE,1,0)</f>
        <v>0</v>
      </c>
      <c r="H98">
        <f>IF(OR('Encodage données'!H118="Pas de modification",ISBLANK('Encodage données'!I118)=FALSE),1,0)</f>
        <v>0</v>
      </c>
      <c r="I98">
        <f>IF(OR('Encodage données'!H118="Pas de modification",'Encodage données'!H118='Données Giant'!$A$22,'Encodage données'!H118='Données Giant'!$A$9,'Encodage données'!H118='Données Giant'!$A$11,'Encodage données'!H118='Données Giant'!$A$12,ISBLANK('Encodage données'!J118)=FALSE,'Encodage données'!H118='Données Giant'!$A$9,'Encodage données'!H118='Données Giant'!$A$11,'Encodage données'!H118='Données Giant'!$A$12),1,0)</f>
        <v>0</v>
      </c>
      <c r="J98">
        <f>IF('Encodage données'!I118&lt;=_xlfn.XLOOKUP('Encodage données'!H118,'Données Giant'!$A$8:$A$21,'Données Giant'!$C$8:$C$21,-1),1,0)</f>
        <v>0</v>
      </c>
    </row>
    <row r="99" spans="1:10" x14ac:dyDescent="0.25">
      <c r="A99" s="42">
        <v>55</v>
      </c>
      <c r="B99" s="29">
        <f>'Encodage données'!C119</f>
        <v>0</v>
      </c>
      <c r="C99">
        <f>IF(OR(ISBLANK('Encodage données'!C119)=TRUE,AND(OR('Encodage données'!F119='Parois types'!$B$18,'Encodage données'!F119='Parois types'!$B$36),ISBLANK('Encodage données'!G119)=TRUE)),0,1)</f>
        <v>0</v>
      </c>
      <c r="D99">
        <f>IF(ISBLANK('Encodage données'!E119)=TRUE,0,1)</f>
        <v>0</v>
      </c>
      <c r="E99">
        <f>IF(ISBLANK('Encodage données'!F119)=FALSE,1,0)</f>
        <v>0</v>
      </c>
      <c r="F99">
        <f>IF(ISBLANK('Encodage données'!C119)=FALSE,1,0)</f>
        <v>0</v>
      </c>
      <c r="G99">
        <f>IF(ISBLANK('Encodage données'!H119)=FALSE,1,0)</f>
        <v>0</v>
      </c>
      <c r="H99">
        <f>IF(OR('Encodage données'!H119="Pas de modification",ISBLANK('Encodage données'!I119)=FALSE),1,0)</f>
        <v>0</v>
      </c>
      <c r="I99">
        <f>IF(OR('Encodage données'!H119="Pas de modification",'Encodage données'!H119='Données Giant'!$A$22,'Encodage données'!H119='Données Giant'!$A$9,'Encodage données'!H119='Données Giant'!$A$11,'Encodage données'!H119='Données Giant'!$A$12,ISBLANK('Encodage données'!J119)=FALSE,'Encodage données'!H119='Données Giant'!$A$9,'Encodage données'!H119='Données Giant'!$A$11,'Encodage données'!H119='Données Giant'!$A$12),1,0)</f>
        <v>0</v>
      </c>
      <c r="J99">
        <f>IF('Encodage données'!I119&lt;=_xlfn.XLOOKUP('Encodage données'!H119,'Données Giant'!$A$8:$A$21,'Données Giant'!$C$8:$C$21,-1),1,0)</f>
        <v>0</v>
      </c>
    </row>
    <row r="100" spans="1:10" x14ac:dyDescent="0.25">
      <c r="A100" s="42">
        <v>56</v>
      </c>
      <c r="B100" s="29">
        <f>'Encodage données'!C120</f>
        <v>0</v>
      </c>
      <c r="C100">
        <f>IF(OR(ISBLANK('Encodage données'!C120)=TRUE,AND(OR('Encodage données'!F120='Parois types'!$B$18,'Encodage données'!F120='Parois types'!$B$36),ISBLANK('Encodage données'!G120)=TRUE)),0,1)</f>
        <v>0</v>
      </c>
      <c r="D100">
        <f>IF(ISBLANK('Encodage données'!E120)=TRUE,0,1)</f>
        <v>0</v>
      </c>
      <c r="E100">
        <f>IF(ISBLANK('Encodage données'!F120)=FALSE,1,0)</f>
        <v>0</v>
      </c>
      <c r="F100">
        <f>IF(ISBLANK('Encodage données'!C120)=FALSE,1,0)</f>
        <v>0</v>
      </c>
      <c r="G100">
        <f>IF(ISBLANK('Encodage données'!H120)=FALSE,1,0)</f>
        <v>0</v>
      </c>
      <c r="H100">
        <f>IF(OR('Encodage données'!H120="Pas de modification",ISBLANK('Encodage données'!I120)=FALSE),1,0)</f>
        <v>0</v>
      </c>
      <c r="I100">
        <f>IF(OR('Encodage données'!H120="Pas de modification",'Encodage données'!H120='Données Giant'!$A$22,'Encodage données'!H120='Données Giant'!$A$9,'Encodage données'!H120='Données Giant'!$A$11,'Encodage données'!H120='Données Giant'!$A$12,ISBLANK('Encodage données'!J120)=FALSE,'Encodage données'!H120='Données Giant'!$A$9,'Encodage données'!H120='Données Giant'!$A$11,'Encodage données'!H120='Données Giant'!$A$12),1,0)</f>
        <v>0</v>
      </c>
      <c r="J100">
        <f>IF('Encodage données'!I120&lt;=_xlfn.XLOOKUP('Encodage données'!H120,'Données Giant'!$A$8:$A$21,'Données Giant'!$C$8:$C$21,-1),1,0)</f>
        <v>0</v>
      </c>
    </row>
    <row r="101" spans="1:10" x14ac:dyDescent="0.25">
      <c r="A101" s="42">
        <v>57</v>
      </c>
      <c r="B101" s="29">
        <f>'Encodage données'!C121</f>
        <v>0</v>
      </c>
      <c r="C101">
        <f>IF(OR(ISBLANK('Encodage données'!C121)=TRUE,AND(OR('Encodage données'!F121='Parois types'!$B$18,'Encodage données'!F121='Parois types'!$B$36),ISBLANK('Encodage données'!G121)=TRUE)),0,1)</f>
        <v>0</v>
      </c>
      <c r="D101">
        <f>IF(ISBLANK('Encodage données'!E121)=TRUE,0,1)</f>
        <v>0</v>
      </c>
      <c r="E101">
        <f>IF(ISBLANK('Encodage données'!F121)=FALSE,1,0)</f>
        <v>0</v>
      </c>
      <c r="F101">
        <f>IF(ISBLANK('Encodage données'!C121)=FALSE,1,0)</f>
        <v>0</v>
      </c>
      <c r="G101">
        <f>IF(ISBLANK('Encodage données'!H121)=FALSE,1,0)</f>
        <v>0</v>
      </c>
      <c r="H101">
        <f>IF(OR('Encodage données'!H121="Pas de modification",ISBLANK('Encodage données'!I121)=FALSE),1,0)</f>
        <v>0</v>
      </c>
      <c r="I101">
        <f>IF(OR('Encodage données'!H121="Pas de modification",'Encodage données'!H121='Données Giant'!$A$22,'Encodage données'!H121='Données Giant'!$A$9,'Encodage données'!H121='Données Giant'!$A$11,'Encodage données'!H121='Données Giant'!$A$12,ISBLANK('Encodage données'!J121)=FALSE,'Encodage données'!H121='Données Giant'!$A$9,'Encodage données'!H121='Données Giant'!$A$11,'Encodage données'!H121='Données Giant'!$A$12),1,0)</f>
        <v>0</v>
      </c>
      <c r="J101">
        <f>IF('Encodage données'!I121&lt;=_xlfn.XLOOKUP('Encodage données'!H121,'Données Giant'!$A$8:$A$21,'Données Giant'!$C$8:$C$21,-1),1,0)</f>
        <v>0</v>
      </c>
    </row>
    <row r="102" spans="1:10" x14ac:dyDescent="0.25">
      <c r="A102" s="42">
        <v>58</v>
      </c>
      <c r="B102" s="29">
        <f>'Encodage données'!C122</f>
        <v>0</v>
      </c>
      <c r="C102">
        <f>IF(OR(ISBLANK('Encodage données'!C122)=TRUE,AND(OR('Encodage données'!F122='Parois types'!$B$18,'Encodage données'!F122='Parois types'!$B$36),ISBLANK('Encodage données'!G122)=TRUE)),0,1)</f>
        <v>0</v>
      </c>
      <c r="D102">
        <f>IF(ISBLANK('Encodage données'!E122)=TRUE,0,1)</f>
        <v>0</v>
      </c>
      <c r="E102">
        <f>IF(ISBLANK('Encodage données'!F122)=FALSE,1,0)</f>
        <v>0</v>
      </c>
      <c r="F102">
        <f>IF(ISBLANK('Encodage données'!C122)=FALSE,1,0)</f>
        <v>0</v>
      </c>
      <c r="G102">
        <f>IF(ISBLANK('Encodage données'!H122)=FALSE,1,0)</f>
        <v>0</v>
      </c>
      <c r="H102">
        <f>IF(OR('Encodage données'!H122="Pas de modification",ISBLANK('Encodage données'!I122)=FALSE),1,0)</f>
        <v>0</v>
      </c>
      <c r="I102">
        <f>IF(OR('Encodage données'!H122="Pas de modification",'Encodage données'!H122='Données Giant'!$A$22,'Encodage données'!H122='Données Giant'!$A$9,'Encodage données'!H122='Données Giant'!$A$11,'Encodage données'!H122='Données Giant'!$A$12,ISBLANK('Encodage données'!J122)=FALSE,'Encodage données'!H122='Données Giant'!$A$9,'Encodage données'!H122='Données Giant'!$A$11,'Encodage données'!H122='Données Giant'!$A$12),1,0)</f>
        <v>0</v>
      </c>
      <c r="J102">
        <f>IF('Encodage données'!I122&lt;=_xlfn.XLOOKUP('Encodage données'!H122,'Données Giant'!$A$8:$A$21,'Données Giant'!$C$8:$C$21,-1),1,0)</f>
        <v>0</v>
      </c>
    </row>
    <row r="103" spans="1:10" x14ac:dyDescent="0.25">
      <c r="A103" s="42">
        <v>59</v>
      </c>
      <c r="B103" s="29">
        <f>'Encodage données'!C123</f>
        <v>0</v>
      </c>
      <c r="C103">
        <f>IF(OR(ISBLANK('Encodage données'!C123)=TRUE,AND(OR('Encodage données'!F123='Parois types'!$B$18,'Encodage données'!F123='Parois types'!$B$36),ISBLANK('Encodage données'!G123)=TRUE)),0,1)</f>
        <v>0</v>
      </c>
      <c r="D103">
        <f>IF(ISBLANK('Encodage données'!E123)=TRUE,0,1)</f>
        <v>0</v>
      </c>
      <c r="E103">
        <f>IF(ISBLANK('Encodage données'!F123)=FALSE,1,0)</f>
        <v>0</v>
      </c>
      <c r="F103">
        <f>IF(ISBLANK('Encodage données'!C123)=FALSE,1,0)</f>
        <v>0</v>
      </c>
      <c r="G103">
        <f>IF(ISBLANK('Encodage données'!H123)=FALSE,1,0)</f>
        <v>0</v>
      </c>
      <c r="H103">
        <f>IF(OR('Encodage données'!H123="Pas de modification",ISBLANK('Encodage données'!I123)=FALSE),1,0)</f>
        <v>0</v>
      </c>
      <c r="I103">
        <f>IF(OR('Encodage données'!H123="Pas de modification",'Encodage données'!H123='Données Giant'!$A$22,'Encodage données'!H123='Données Giant'!$A$9,'Encodage données'!H123='Données Giant'!$A$11,'Encodage données'!H123='Données Giant'!$A$12,ISBLANK('Encodage données'!J123)=FALSE,'Encodage données'!H123='Données Giant'!$A$9,'Encodage données'!H123='Données Giant'!$A$11,'Encodage données'!H123='Données Giant'!$A$12),1,0)</f>
        <v>0</v>
      </c>
      <c r="J103">
        <f>IF('Encodage données'!I123&lt;=_xlfn.XLOOKUP('Encodage données'!H123,'Données Giant'!$A$8:$A$21,'Données Giant'!$C$8:$C$21,-1),1,0)</f>
        <v>0</v>
      </c>
    </row>
    <row r="104" spans="1:10" x14ac:dyDescent="0.25">
      <c r="A104" s="42">
        <v>60</v>
      </c>
      <c r="B104" s="29">
        <f>'Encodage données'!C124</f>
        <v>0</v>
      </c>
      <c r="C104">
        <f>IF(OR(ISBLANK('Encodage données'!C124)=TRUE,AND(OR('Encodage données'!F124='Parois types'!$B$18,'Encodage données'!F124='Parois types'!$B$36),ISBLANK('Encodage données'!G124)=TRUE)),0,1)</f>
        <v>0</v>
      </c>
      <c r="D104">
        <f>IF(ISBLANK('Encodage données'!E124)=TRUE,0,1)</f>
        <v>0</v>
      </c>
      <c r="E104">
        <f>IF(ISBLANK('Encodage données'!F124)=FALSE,1,0)</f>
        <v>0</v>
      </c>
      <c r="F104">
        <f>IF(ISBLANK('Encodage données'!C124)=FALSE,1,0)</f>
        <v>0</v>
      </c>
      <c r="G104">
        <f>IF(ISBLANK('Encodage données'!H124)=FALSE,1,0)</f>
        <v>0</v>
      </c>
      <c r="H104">
        <f>IF(OR('Encodage données'!H124="Pas de modification",ISBLANK('Encodage données'!I124)=FALSE),1,0)</f>
        <v>0</v>
      </c>
      <c r="I104">
        <f>IF(OR('Encodage données'!H124="Pas de modification",'Encodage données'!H124='Données Giant'!$A$22,'Encodage données'!H124='Données Giant'!$A$9,'Encodage données'!H124='Données Giant'!$A$11,'Encodage données'!H124='Données Giant'!$A$12,ISBLANK('Encodage données'!J124)=FALSE,'Encodage données'!H124='Données Giant'!$A$9,'Encodage données'!H124='Données Giant'!$A$11,'Encodage données'!H124='Données Giant'!$A$12),1,0)</f>
        <v>0</v>
      </c>
      <c r="J104">
        <f>IF('Encodage données'!I124&lt;=_xlfn.XLOOKUP('Encodage données'!H124,'Données Giant'!$A$8:$A$21,'Données Giant'!$C$8:$C$21,-1),1,0)</f>
        <v>0</v>
      </c>
    </row>
    <row r="105" spans="1:10" x14ac:dyDescent="0.25">
      <c r="A105" s="42">
        <v>61</v>
      </c>
      <c r="B105" s="29">
        <f>'Encodage données'!C125</f>
        <v>0</v>
      </c>
      <c r="C105">
        <f>IF(OR(ISBLANK('Encodage données'!C125)=TRUE,AND(OR('Encodage données'!F125='Parois types'!$B$18,'Encodage données'!F125='Parois types'!$B$36),ISBLANK('Encodage données'!G125)=TRUE)),0,1)</f>
        <v>0</v>
      </c>
      <c r="D105">
        <f>IF(ISBLANK('Encodage données'!E125)=TRUE,0,1)</f>
        <v>0</v>
      </c>
      <c r="E105">
        <f>IF(ISBLANK('Encodage données'!F125)=FALSE,1,0)</f>
        <v>0</v>
      </c>
      <c r="F105">
        <f>IF(ISBLANK('Encodage données'!C125)=FALSE,1,0)</f>
        <v>0</v>
      </c>
      <c r="G105">
        <f>IF(ISBLANK('Encodage données'!H125)=FALSE,1,0)</f>
        <v>0</v>
      </c>
      <c r="H105">
        <f>IF(OR('Encodage données'!H125="Pas de modification",ISBLANK('Encodage données'!I125)=FALSE),1,0)</f>
        <v>0</v>
      </c>
      <c r="I105">
        <f>IF(OR('Encodage données'!H125="Pas de modification",'Encodage données'!H125='Données Giant'!$A$22,'Encodage données'!H125='Données Giant'!$A$9,'Encodage données'!H125='Données Giant'!$A$11,'Encodage données'!H125='Données Giant'!$A$12,ISBLANK('Encodage données'!J125)=FALSE,'Encodage données'!H125='Données Giant'!$A$9,'Encodage données'!H125='Données Giant'!$A$11,'Encodage données'!H125='Données Giant'!$A$12),1,0)</f>
        <v>0</v>
      </c>
      <c r="J105">
        <f>IF('Encodage données'!I125&lt;=_xlfn.XLOOKUP('Encodage données'!H125,'Données Giant'!$A$8:$A$21,'Données Giant'!$C$8:$C$21,-1),1,0)</f>
        <v>0</v>
      </c>
    </row>
    <row r="106" spans="1:10" x14ac:dyDescent="0.25">
      <c r="A106" s="42">
        <v>62</v>
      </c>
      <c r="B106" s="29">
        <f>'Encodage données'!C126</f>
        <v>0</v>
      </c>
      <c r="C106">
        <f>IF(OR(ISBLANK('Encodage données'!C126)=TRUE,AND(OR('Encodage données'!F126='Parois types'!$B$18,'Encodage données'!F126='Parois types'!$B$36),ISBLANK('Encodage données'!G126)=TRUE)),0,1)</f>
        <v>0</v>
      </c>
      <c r="D106">
        <f>IF(ISBLANK('Encodage données'!E126)=TRUE,0,1)</f>
        <v>0</v>
      </c>
      <c r="E106">
        <f>IF(ISBLANK('Encodage données'!F126)=FALSE,1,0)</f>
        <v>0</v>
      </c>
      <c r="F106">
        <f>IF(ISBLANK('Encodage données'!C126)=FALSE,1,0)</f>
        <v>0</v>
      </c>
      <c r="G106">
        <f>IF(ISBLANK('Encodage données'!H126)=FALSE,1,0)</f>
        <v>0</v>
      </c>
      <c r="H106">
        <f>IF(OR('Encodage données'!H126="Pas de modification",ISBLANK('Encodage données'!I126)=FALSE),1,0)</f>
        <v>0</v>
      </c>
      <c r="I106">
        <f>IF(OR('Encodage données'!H126="Pas de modification",'Encodage données'!H126='Données Giant'!$A$22,'Encodage données'!H126='Données Giant'!$A$9,'Encodage données'!H126='Données Giant'!$A$11,'Encodage données'!H126='Données Giant'!$A$12,ISBLANK('Encodage données'!J126)=FALSE,'Encodage données'!H126='Données Giant'!$A$9,'Encodage données'!H126='Données Giant'!$A$11,'Encodage données'!H126='Données Giant'!$A$12),1,0)</f>
        <v>0</v>
      </c>
      <c r="J106">
        <f>IF('Encodage données'!I126&lt;=_xlfn.XLOOKUP('Encodage données'!H126,'Données Giant'!$A$8:$A$21,'Données Giant'!$C$8:$C$21,-1),1,0)</f>
        <v>0</v>
      </c>
    </row>
    <row r="107" spans="1:10" x14ac:dyDescent="0.25">
      <c r="A107" s="42">
        <v>63</v>
      </c>
      <c r="B107" s="29">
        <f>'Encodage données'!C127</f>
        <v>0</v>
      </c>
      <c r="C107">
        <f>IF(OR(ISBLANK('Encodage données'!C127)=TRUE,AND(OR('Encodage données'!F127='Parois types'!$B$18,'Encodage données'!F127='Parois types'!$B$36),ISBLANK('Encodage données'!G127)=TRUE)),0,1)</f>
        <v>0</v>
      </c>
      <c r="D107">
        <f>IF(ISBLANK('Encodage données'!E127)=TRUE,0,1)</f>
        <v>0</v>
      </c>
      <c r="E107">
        <f>IF(ISBLANK('Encodage données'!F127)=FALSE,1,0)</f>
        <v>0</v>
      </c>
      <c r="F107">
        <f>IF(ISBLANK('Encodage données'!C127)=FALSE,1,0)</f>
        <v>0</v>
      </c>
      <c r="G107">
        <f>IF(ISBLANK('Encodage données'!H127)=FALSE,1,0)</f>
        <v>0</v>
      </c>
      <c r="H107">
        <f>IF(OR('Encodage données'!H127="Pas de modification",ISBLANK('Encodage données'!I127)=FALSE),1,0)</f>
        <v>0</v>
      </c>
      <c r="I107">
        <f>IF(OR('Encodage données'!H127="Pas de modification",'Encodage données'!H127='Données Giant'!$A$22,'Encodage données'!H127='Données Giant'!$A$9,'Encodage données'!H127='Données Giant'!$A$11,'Encodage données'!H127='Données Giant'!$A$12,ISBLANK('Encodage données'!J127)=FALSE,'Encodage données'!H127='Données Giant'!$A$9,'Encodage données'!H127='Données Giant'!$A$11,'Encodage données'!H127='Données Giant'!$A$12),1,0)</f>
        <v>0</v>
      </c>
      <c r="J107">
        <f>IF('Encodage données'!I127&lt;=_xlfn.XLOOKUP('Encodage données'!H127,'Données Giant'!$A$8:$A$21,'Données Giant'!$C$8:$C$21,-1),1,0)</f>
        <v>0</v>
      </c>
    </row>
    <row r="108" spans="1:10" x14ac:dyDescent="0.25">
      <c r="A108" s="42">
        <v>64</v>
      </c>
      <c r="B108" s="29">
        <f>'Encodage données'!C128</f>
        <v>0</v>
      </c>
      <c r="C108">
        <f>IF(OR(ISBLANK('Encodage données'!C128)=TRUE,AND(OR('Encodage données'!F128='Parois types'!$B$18,'Encodage données'!F128='Parois types'!$B$36),ISBLANK('Encodage données'!G128)=TRUE)),0,1)</f>
        <v>0</v>
      </c>
      <c r="D108">
        <f>IF(ISBLANK('Encodage données'!E128)=TRUE,0,1)</f>
        <v>0</v>
      </c>
      <c r="E108">
        <f>IF(ISBLANK('Encodage données'!F128)=FALSE,1,0)</f>
        <v>0</v>
      </c>
      <c r="F108">
        <f>IF(ISBLANK('Encodage données'!C128)=FALSE,1,0)</f>
        <v>0</v>
      </c>
      <c r="G108">
        <f>IF(ISBLANK('Encodage données'!H128)=FALSE,1,0)</f>
        <v>0</v>
      </c>
      <c r="H108">
        <f>IF(OR('Encodage données'!H128="Pas de modification",ISBLANK('Encodage données'!I128)=FALSE),1,0)</f>
        <v>0</v>
      </c>
      <c r="I108">
        <f>IF(OR('Encodage données'!H128="Pas de modification",'Encodage données'!H128='Données Giant'!$A$22,'Encodage données'!H128='Données Giant'!$A$9,'Encodage données'!H128='Données Giant'!$A$11,'Encodage données'!H128='Données Giant'!$A$12,ISBLANK('Encodage données'!J128)=FALSE,'Encodage données'!H128='Données Giant'!$A$9,'Encodage données'!H128='Données Giant'!$A$11,'Encodage données'!H128='Données Giant'!$A$12),1,0)</f>
        <v>0</v>
      </c>
      <c r="J108">
        <f>IF('Encodage données'!I128&lt;=_xlfn.XLOOKUP('Encodage données'!H128,'Données Giant'!$A$8:$A$21,'Données Giant'!$C$8:$C$21,-1),1,0)</f>
        <v>0</v>
      </c>
    </row>
    <row r="109" spans="1:10" x14ac:dyDescent="0.25">
      <c r="A109" s="42">
        <v>65</v>
      </c>
      <c r="B109" s="29">
        <f>'Encodage données'!C129</f>
        <v>0</v>
      </c>
      <c r="C109">
        <f>IF(OR(ISBLANK('Encodage données'!C129)=TRUE,AND(OR('Encodage données'!F129='Parois types'!$B$18,'Encodage données'!F129='Parois types'!$B$36),ISBLANK('Encodage données'!G129)=TRUE)),0,1)</f>
        <v>0</v>
      </c>
      <c r="D109">
        <f>IF(ISBLANK('Encodage données'!E129)=TRUE,0,1)</f>
        <v>0</v>
      </c>
      <c r="E109">
        <f>IF(ISBLANK('Encodage données'!F129)=FALSE,1,0)</f>
        <v>0</v>
      </c>
      <c r="F109">
        <f>IF(ISBLANK('Encodage données'!C129)=FALSE,1,0)</f>
        <v>0</v>
      </c>
      <c r="G109">
        <f>IF(ISBLANK('Encodage données'!H129)=FALSE,1,0)</f>
        <v>0</v>
      </c>
      <c r="H109">
        <f>IF(OR('Encodage données'!H129="Pas de modification",ISBLANK('Encodage données'!I129)=FALSE),1,0)</f>
        <v>0</v>
      </c>
      <c r="I109">
        <f>IF(OR('Encodage données'!H129="Pas de modification",'Encodage données'!H129='Données Giant'!$A$22,'Encodage données'!H129='Données Giant'!$A$9,'Encodage données'!H129='Données Giant'!$A$11,'Encodage données'!H129='Données Giant'!$A$12,ISBLANK('Encodage données'!J129)=FALSE,'Encodage données'!H129='Données Giant'!$A$9,'Encodage données'!H129='Données Giant'!$A$11,'Encodage données'!H129='Données Giant'!$A$12),1,0)</f>
        <v>0</v>
      </c>
      <c r="J109">
        <f>IF('Encodage données'!I129&lt;=_xlfn.XLOOKUP('Encodage données'!H129,'Données Giant'!$A$8:$A$21,'Données Giant'!$C$8:$C$21,-1),1,0)</f>
        <v>0</v>
      </c>
    </row>
    <row r="110" spans="1:10" x14ac:dyDescent="0.25">
      <c r="A110" s="42">
        <v>66</v>
      </c>
      <c r="B110" s="29">
        <f>'Encodage données'!C130</f>
        <v>0</v>
      </c>
      <c r="C110">
        <f>IF(OR(ISBLANK('Encodage données'!C130)=TRUE,AND(OR('Encodage données'!F130='Parois types'!$B$18,'Encodage données'!F130='Parois types'!$B$36),ISBLANK('Encodage données'!G130)=TRUE)),0,1)</f>
        <v>0</v>
      </c>
      <c r="D110">
        <f>IF(ISBLANK('Encodage données'!E130)=TRUE,0,1)</f>
        <v>0</v>
      </c>
      <c r="E110">
        <f>IF(ISBLANK('Encodage données'!F130)=FALSE,1,0)</f>
        <v>0</v>
      </c>
      <c r="F110">
        <f>IF(ISBLANK('Encodage données'!C130)=FALSE,1,0)</f>
        <v>0</v>
      </c>
      <c r="G110">
        <f>IF(ISBLANK('Encodage données'!H130)=FALSE,1,0)</f>
        <v>0</v>
      </c>
      <c r="H110">
        <f>IF(OR('Encodage données'!H130="Pas de modification",ISBLANK('Encodage données'!I130)=FALSE),1,0)</f>
        <v>0</v>
      </c>
      <c r="I110">
        <f>IF(OR('Encodage données'!H130="Pas de modification",'Encodage données'!H130='Données Giant'!$A$22,'Encodage données'!H130='Données Giant'!$A$9,'Encodage données'!H130='Données Giant'!$A$11,'Encodage données'!H130='Données Giant'!$A$12,ISBLANK('Encodage données'!J130)=FALSE,'Encodage données'!H130='Données Giant'!$A$9,'Encodage données'!H130='Données Giant'!$A$11,'Encodage données'!H130='Données Giant'!$A$12),1,0)</f>
        <v>0</v>
      </c>
      <c r="J110">
        <f>IF('Encodage données'!I130&lt;=_xlfn.XLOOKUP('Encodage données'!H130,'Données Giant'!$A$8:$A$21,'Données Giant'!$C$8:$C$21,-1),1,0)</f>
        <v>0</v>
      </c>
    </row>
    <row r="111" spans="1:10" x14ac:dyDescent="0.25">
      <c r="A111" s="42">
        <v>67</v>
      </c>
      <c r="B111" s="29">
        <f>'Encodage données'!C131</f>
        <v>0</v>
      </c>
      <c r="C111">
        <f>IF(OR(ISBLANK('Encodage données'!C131)=TRUE,AND(OR('Encodage données'!F131='Parois types'!$B$18,'Encodage données'!F131='Parois types'!$B$36),ISBLANK('Encodage données'!G131)=TRUE)),0,1)</f>
        <v>0</v>
      </c>
      <c r="D111">
        <f>IF(ISBLANK('Encodage données'!E131)=TRUE,0,1)</f>
        <v>0</v>
      </c>
      <c r="E111">
        <f>IF(ISBLANK('Encodage données'!F131)=FALSE,1,0)</f>
        <v>0</v>
      </c>
      <c r="F111">
        <f>IF(ISBLANK('Encodage données'!C131)=FALSE,1,0)</f>
        <v>0</v>
      </c>
      <c r="G111">
        <f>IF(ISBLANK('Encodage données'!H131)=FALSE,1,0)</f>
        <v>0</v>
      </c>
      <c r="H111">
        <f>IF(OR('Encodage données'!H131="Pas de modification",ISBLANK('Encodage données'!I131)=FALSE),1,0)</f>
        <v>0</v>
      </c>
      <c r="I111">
        <f>IF(OR('Encodage données'!H131="Pas de modification",'Encodage données'!H131='Données Giant'!$A$22,'Encodage données'!H131='Données Giant'!$A$9,'Encodage données'!H131='Données Giant'!$A$11,'Encodage données'!H131='Données Giant'!$A$12,ISBLANK('Encodage données'!J131)=FALSE,'Encodage données'!H131='Données Giant'!$A$9,'Encodage données'!H131='Données Giant'!$A$11,'Encodage données'!H131='Données Giant'!$A$12),1,0)</f>
        <v>0</v>
      </c>
      <c r="J111">
        <f>IF('Encodage données'!I131&lt;=_xlfn.XLOOKUP('Encodage données'!H131,'Données Giant'!$A$8:$A$21,'Données Giant'!$C$8:$C$21,-1),1,0)</f>
        <v>0</v>
      </c>
    </row>
    <row r="112" spans="1:10" x14ac:dyDescent="0.25">
      <c r="A112" s="42">
        <v>68</v>
      </c>
      <c r="B112" s="29">
        <f>'Encodage données'!C132</f>
        <v>0</v>
      </c>
      <c r="C112">
        <f>IF(OR(ISBLANK('Encodage données'!C132)=TRUE,AND(OR('Encodage données'!F132='Parois types'!$B$18,'Encodage données'!F132='Parois types'!$B$36),ISBLANK('Encodage données'!G132)=TRUE)),0,1)</f>
        <v>0</v>
      </c>
      <c r="D112">
        <f>IF(ISBLANK('Encodage données'!E132)=TRUE,0,1)</f>
        <v>0</v>
      </c>
      <c r="E112">
        <f>IF(ISBLANK('Encodage données'!F132)=FALSE,1,0)</f>
        <v>0</v>
      </c>
      <c r="F112">
        <f>IF(ISBLANK('Encodage données'!C132)=FALSE,1,0)</f>
        <v>0</v>
      </c>
      <c r="G112">
        <f>IF(ISBLANK('Encodage données'!H132)=FALSE,1,0)</f>
        <v>0</v>
      </c>
      <c r="H112">
        <f>IF(OR('Encodage données'!H132="Pas de modification",ISBLANK('Encodage données'!I132)=FALSE),1,0)</f>
        <v>0</v>
      </c>
      <c r="I112">
        <f>IF(OR('Encodage données'!H132="Pas de modification",'Encodage données'!H132='Données Giant'!$A$22,'Encodage données'!H132='Données Giant'!$A$9,'Encodage données'!H132='Données Giant'!$A$11,'Encodage données'!H132='Données Giant'!$A$12,ISBLANK('Encodage données'!J132)=FALSE,'Encodage données'!H132='Données Giant'!$A$9,'Encodage données'!H132='Données Giant'!$A$11,'Encodage données'!H132='Données Giant'!$A$12),1,0)</f>
        <v>0</v>
      </c>
      <c r="J112">
        <f>IF('Encodage données'!I132&lt;=_xlfn.XLOOKUP('Encodage données'!H132,'Données Giant'!$A$8:$A$21,'Données Giant'!$C$8:$C$21,-1),1,0)</f>
        <v>0</v>
      </c>
    </row>
    <row r="113" spans="1:10" x14ac:dyDescent="0.25">
      <c r="A113" s="42">
        <v>69</v>
      </c>
      <c r="B113" s="29">
        <f>'Encodage données'!C133</f>
        <v>0</v>
      </c>
      <c r="C113">
        <f>IF(OR(ISBLANK('Encodage données'!C133)=TRUE,AND(OR('Encodage données'!F133='Parois types'!$B$18,'Encodage données'!F133='Parois types'!$B$36),ISBLANK('Encodage données'!G133)=TRUE)),0,1)</f>
        <v>0</v>
      </c>
      <c r="D113">
        <f>IF(ISBLANK('Encodage données'!E133)=TRUE,0,1)</f>
        <v>0</v>
      </c>
      <c r="E113">
        <f>IF(ISBLANK('Encodage données'!F133)=FALSE,1,0)</f>
        <v>0</v>
      </c>
      <c r="F113">
        <f>IF(ISBLANK('Encodage données'!C133)=FALSE,1,0)</f>
        <v>0</v>
      </c>
      <c r="G113">
        <f>IF(ISBLANK('Encodage données'!H133)=FALSE,1,0)</f>
        <v>0</v>
      </c>
      <c r="H113">
        <f>IF(OR('Encodage données'!H133="Pas de modification",ISBLANK('Encodage données'!I133)=FALSE),1,0)</f>
        <v>0</v>
      </c>
      <c r="I113">
        <f>IF(OR('Encodage données'!H133="Pas de modification",'Encodage données'!H133='Données Giant'!$A$22,'Encodage données'!H133='Données Giant'!$A$9,'Encodage données'!H133='Données Giant'!$A$11,'Encodage données'!H133='Données Giant'!$A$12,ISBLANK('Encodage données'!J133)=FALSE,'Encodage données'!H133='Données Giant'!$A$9,'Encodage données'!H133='Données Giant'!$A$11,'Encodage données'!H133='Données Giant'!$A$12),1,0)</f>
        <v>0</v>
      </c>
      <c r="J113">
        <f>IF('Encodage données'!I133&lt;=_xlfn.XLOOKUP('Encodage données'!H133,'Données Giant'!$A$8:$A$21,'Données Giant'!$C$8:$C$21,-1),1,0)</f>
        <v>0</v>
      </c>
    </row>
    <row r="114" spans="1:10" x14ac:dyDescent="0.25">
      <c r="A114" s="42">
        <v>70</v>
      </c>
      <c r="B114" s="29">
        <f>'Encodage données'!C134</f>
        <v>0</v>
      </c>
      <c r="C114">
        <f>IF(OR(ISBLANK('Encodage données'!C134)=TRUE,AND(OR('Encodage données'!F134='Parois types'!$B$18,'Encodage données'!F134='Parois types'!$B$36),ISBLANK('Encodage données'!G134)=TRUE)),0,1)</f>
        <v>0</v>
      </c>
      <c r="D114">
        <f>IF(ISBLANK('Encodage données'!E134)=TRUE,0,1)</f>
        <v>0</v>
      </c>
      <c r="E114">
        <f>IF(ISBLANK('Encodage données'!F134)=FALSE,1,0)</f>
        <v>0</v>
      </c>
      <c r="F114">
        <f>IF(ISBLANK('Encodage données'!C134)=FALSE,1,0)</f>
        <v>0</v>
      </c>
      <c r="G114">
        <f>IF(ISBLANK('Encodage données'!H134)=FALSE,1,0)</f>
        <v>0</v>
      </c>
      <c r="H114">
        <f>IF(OR('Encodage données'!H134="Pas de modification",ISBLANK('Encodage données'!I134)=FALSE),1,0)</f>
        <v>0</v>
      </c>
      <c r="I114">
        <f>IF(OR('Encodage données'!H134="Pas de modification",'Encodage données'!H134='Données Giant'!$A$22,'Encodage données'!H134='Données Giant'!$A$9,'Encodage données'!H134='Données Giant'!$A$11,'Encodage données'!H134='Données Giant'!$A$12,ISBLANK('Encodage données'!J134)=FALSE,'Encodage données'!H134='Données Giant'!$A$9,'Encodage données'!H134='Données Giant'!$A$11,'Encodage données'!H134='Données Giant'!$A$12),1,0)</f>
        <v>0</v>
      </c>
      <c r="J114">
        <f>IF('Encodage données'!I134&lt;=_xlfn.XLOOKUP('Encodage données'!H134,'Données Giant'!$A$8:$A$21,'Données Giant'!$C$8:$C$21,-1),1,0)</f>
        <v>0</v>
      </c>
    </row>
    <row r="115" spans="1:10" x14ac:dyDescent="0.25">
      <c r="A115" s="42">
        <v>71</v>
      </c>
      <c r="B115" s="29">
        <f>'Encodage données'!C135</f>
        <v>0</v>
      </c>
      <c r="C115">
        <f>IF(OR(ISBLANK('Encodage données'!C135)=TRUE,AND(OR('Encodage données'!F135='Parois types'!$B$18,'Encodage données'!F135='Parois types'!$B$36),ISBLANK('Encodage données'!G135)=TRUE)),0,1)</f>
        <v>0</v>
      </c>
      <c r="D115">
        <f>IF(ISBLANK('Encodage données'!E135)=TRUE,0,1)</f>
        <v>0</v>
      </c>
      <c r="E115">
        <f>IF(ISBLANK('Encodage données'!F135)=FALSE,1,0)</f>
        <v>0</v>
      </c>
      <c r="F115">
        <f>IF(ISBLANK('Encodage données'!C135)=FALSE,1,0)</f>
        <v>0</v>
      </c>
      <c r="G115">
        <f>IF(ISBLANK('Encodage données'!H135)=FALSE,1,0)</f>
        <v>0</v>
      </c>
      <c r="H115">
        <f>IF(OR('Encodage données'!H135="Pas de modification",ISBLANK('Encodage données'!I135)=FALSE),1,0)</f>
        <v>0</v>
      </c>
      <c r="I115">
        <f>IF(OR('Encodage données'!H135="Pas de modification",'Encodage données'!H135='Données Giant'!$A$22,'Encodage données'!H135='Données Giant'!$A$9,'Encodage données'!H135='Données Giant'!$A$11,'Encodage données'!H135='Données Giant'!$A$12,ISBLANK('Encodage données'!J135)=FALSE,'Encodage données'!H135='Données Giant'!$A$9,'Encodage données'!H135='Données Giant'!$A$11,'Encodage données'!H135='Données Giant'!$A$12),1,0)</f>
        <v>0</v>
      </c>
      <c r="J115">
        <f>IF('Encodage données'!I135&lt;=_xlfn.XLOOKUP('Encodage données'!H135,'Données Giant'!$A$8:$A$21,'Données Giant'!$C$8:$C$21,-1),1,0)</f>
        <v>0</v>
      </c>
    </row>
    <row r="116" spans="1:10" x14ac:dyDescent="0.25">
      <c r="A116" s="42">
        <v>72</v>
      </c>
      <c r="B116" s="29">
        <f>'Encodage données'!C136</f>
        <v>0</v>
      </c>
      <c r="C116">
        <f>IF(OR(ISBLANK('Encodage données'!C136)=TRUE,AND(OR('Encodage données'!F136='Parois types'!$B$18,'Encodage données'!F136='Parois types'!$B$36),ISBLANK('Encodage données'!G136)=TRUE)),0,1)</f>
        <v>0</v>
      </c>
      <c r="D116">
        <f>IF(ISBLANK('Encodage données'!E136)=TRUE,0,1)</f>
        <v>0</v>
      </c>
      <c r="E116">
        <f>IF(ISBLANK('Encodage données'!F136)=FALSE,1,0)</f>
        <v>0</v>
      </c>
      <c r="F116">
        <f>IF(ISBLANK('Encodage données'!C136)=FALSE,1,0)</f>
        <v>0</v>
      </c>
      <c r="G116">
        <f>IF(ISBLANK('Encodage données'!H136)=FALSE,1,0)</f>
        <v>0</v>
      </c>
      <c r="H116">
        <f>IF(OR('Encodage données'!H136="Pas de modification",ISBLANK('Encodage données'!I136)=FALSE),1,0)</f>
        <v>0</v>
      </c>
      <c r="I116">
        <f>IF(OR('Encodage données'!H136="Pas de modification",'Encodage données'!H136='Données Giant'!$A$22,'Encodage données'!H136='Données Giant'!$A$9,'Encodage données'!H136='Données Giant'!$A$11,'Encodage données'!H136='Données Giant'!$A$12,ISBLANK('Encodage données'!J136)=FALSE,'Encodage données'!H136='Données Giant'!$A$9,'Encodage données'!H136='Données Giant'!$A$11,'Encodage données'!H136='Données Giant'!$A$12),1,0)</f>
        <v>0</v>
      </c>
      <c r="J116">
        <f>IF('Encodage données'!I136&lt;=_xlfn.XLOOKUP('Encodage données'!H136,'Données Giant'!$A$8:$A$21,'Données Giant'!$C$8:$C$21,-1),1,0)</f>
        <v>0</v>
      </c>
    </row>
    <row r="117" spans="1:10" x14ac:dyDescent="0.25">
      <c r="A117" s="42">
        <v>73</v>
      </c>
      <c r="B117" s="29">
        <f>'Encodage données'!C137</f>
        <v>0</v>
      </c>
      <c r="C117">
        <f>IF(OR(ISBLANK('Encodage données'!C137)=TRUE,AND(OR('Encodage données'!F137='Parois types'!$B$18,'Encodage données'!F137='Parois types'!$B$36),ISBLANK('Encodage données'!G137)=TRUE)),0,1)</f>
        <v>0</v>
      </c>
      <c r="D117">
        <f>IF(ISBLANK('Encodage données'!E137)=TRUE,0,1)</f>
        <v>0</v>
      </c>
      <c r="E117">
        <f>IF(ISBLANK('Encodage données'!F137)=FALSE,1,0)</f>
        <v>0</v>
      </c>
      <c r="F117">
        <f>IF(ISBLANK('Encodage données'!C137)=FALSE,1,0)</f>
        <v>0</v>
      </c>
      <c r="G117">
        <f>IF(ISBLANK('Encodage données'!H137)=FALSE,1,0)</f>
        <v>0</v>
      </c>
      <c r="H117">
        <f>IF(OR('Encodage données'!H137="Pas de modification",ISBLANK('Encodage données'!I137)=FALSE),1,0)</f>
        <v>0</v>
      </c>
      <c r="I117">
        <f>IF(OR('Encodage données'!H137="Pas de modification",'Encodage données'!H137='Données Giant'!$A$22,'Encodage données'!H137='Données Giant'!$A$9,'Encodage données'!H137='Données Giant'!$A$11,'Encodage données'!H137='Données Giant'!$A$12,ISBLANK('Encodage données'!J137)=FALSE,'Encodage données'!H137='Données Giant'!$A$9,'Encodage données'!H137='Données Giant'!$A$11,'Encodage données'!H137='Données Giant'!$A$12),1,0)</f>
        <v>0</v>
      </c>
      <c r="J117">
        <f>IF('Encodage données'!I137&lt;=_xlfn.XLOOKUP('Encodage données'!H137,'Données Giant'!$A$8:$A$21,'Données Giant'!$C$8:$C$21,-1),1,0)</f>
        <v>0</v>
      </c>
    </row>
    <row r="118" spans="1:10" x14ac:dyDescent="0.25">
      <c r="A118" s="42">
        <v>74</v>
      </c>
      <c r="B118" s="29">
        <f>'Encodage données'!C138</f>
        <v>0</v>
      </c>
      <c r="C118">
        <f>IF(OR(ISBLANK('Encodage données'!C138)=TRUE,AND(OR('Encodage données'!F138='Parois types'!$B$18,'Encodage données'!F138='Parois types'!$B$36),ISBLANK('Encodage données'!G138)=TRUE)),0,1)</f>
        <v>0</v>
      </c>
      <c r="D118">
        <f>IF(ISBLANK('Encodage données'!E138)=TRUE,0,1)</f>
        <v>0</v>
      </c>
      <c r="E118">
        <f>IF(ISBLANK('Encodage données'!F138)=FALSE,1,0)</f>
        <v>0</v>
      </c>
      <c r="F118">
        <f>IF(ISBLANK('Encodage données'!C138)=FALSE,1,0)</f>
        <v>0</v>
      </c>
      <c r="G118">
        <f>IF(ISBLANK('Encodage données'!H138)=FALSE,1,0)</f>
        <v>0</v>
      </c>
      <c r="H118">
        <f>IF(OR('Encodage données'!H138="Pas de modification",ISBLANK('Encodage données'!I138)=FALSE),1,0)</f>
        <v>0</v>
      </c>
      <c r="I118">
        <f>IF(OR('Encodage données'!H138="Pas de modification",'Encodage données'!H138='Données Giant'!$A$22,'Encodage données'!H138='Données Giant'!$A$9,'Encodage données'!H138='Données Giant'!$A$11,'Encodage données'!H138='Données Giant'!$A$12,ISBLANK('Encodage données'!J138)=FALSE,'Encodage données'!H138='Données Giant'!$A$9,'Encodage données'!H138='Données Giant'!$A$11,'Encodage données'!H138='Données Giant'!$A$12),1,0)</f>
        <v>0</v>
      </c>
      <c r="J118">
        <f>IF('Encodage données'!I138&lt;=_xlfn.XLOOKUP('Encodage données'!H138,'Données Giant'!$A$8:$A$21,'Données Giant'!$C$8:$C$21,-1),1,0)</f>
        <v>0</v>
      </c>
    </row>
    <row r="119" spans="1:10" x14ac:dyDescent="0.25">
      <c r="A119" s="42">
        <v>75</v>
      </c>
      <c r="B119" s="29">
        <f>'Encodage données'!C139</f>
        <v>0</v>
      </c>
      <c r="C119">
        <f>IF(OR(ISBLANK('Encodage données'!C139)=TRUE,AND(OR('Encodage données'!F139='Parois types'!$B$18,'Encodage données'!F139='Parois types'!$B$36),ISBLANK('Encodage données'!G139)=TRUE)),0,1)</f>
        <v>0</v>
      </c>
      <c r="D119">
        <f>IF(ISBLANK('Encodage données'!E139)=TRUE,0,1)</f>
        <v>0</v>
      </c>
      <c r="E119">
        <f>IF(ISBLANK('Encodage données'!F139)=FALSE,1,0)</f>
        <v>0</v>
      </c>
      <c r="F119">
        <f>IF(ISBLANK('Encodage données'!C139)=FALSE,1,0)</f>
        <v>0</v>
      </c>
      <c r="G119">
        <f>IF(ISBLANK('Encodage données'!H139)=FALSE,1,0)</f>
        <v>0</v>
      </c>
      <c r="H119">
        <f>IF(OR('Encodage données'!H139="Pas de modification",ISBLANK('Encodage données'!I139)=FALSE),1,0)</f>
        <v>0</v>
      </c>
      <c r="I119">
        <f>IF(OR('Encodage données'!H139="Pas de modification",'Encodage données'!H139='Données Giant'!$A$22,'Encodage données'!H139='Données Giant'!$A$9,'Encodage données'!H139='Données Giant'!$A$11,'Encodage données'!H139='Données Giant'!$A$12,ISBLANK('Encodage données'!J139)=FALSE,'Encodage données'!H139='Données Giant'!$A$9,'Encodage données'!H139='Données Giant'!$A$11,'Encodage données'!H139='Données Giant'!$A$12),1,0)</f>
        <v>0</v>
      </c>
      <c r="J119">
        <f>IF('Encodage données'!I139&lt;=_xlfn.XLOOKUP('Encodage données'!H139,'Données Giant'!$A$8:$A$21,'Données Giant'!$C$8:$C$21,-1),1,0)</f>
        <v>0</v>
      </c>
    </row>
    <row r="120" spans="1:10" x14ac:dyDescent="0.25">
      <c r="A120" s="42">
        <v>76</v>
      </c>
      <c r="B120" s="29">
        <f>'Encodage données'!C140</f>
        <v>0</v>
      </c>
      <c r="C120">
        <f>IF(OR(ISBLANK('Encodage données'!C140)=TRUE,AND(OR('Encodage données'!F140='Parois types'!$B$18,'Encodage données'!F140='Parois types'!$B$36),ISBLANK('Encodage données'!G140)=TRUE)),0,1)</f>
        <v>0</v>
      </c>
      <c r="D120">
        <f>IF(ISBLANK('Encodage données'!E140)=TRUE,0,1)</f>
        <v>0</v>
      </c>
      <c r="E120">
        <f>IF(ISBLANK('Encodage données'!F140)=FALSE,1,0)</f>
        <v>0</v>
      </c>
      <c r="F120">
        <f>IF(ISBLANK('Encodage données'!C140)=FALSE,1,0)</f>
        <v>0</v>
      </c>
      <c r="G120">
        <f>IF(ISBLANK('Encodage données'!H140)=FALSE,1,0)</f>
        <v>0</v>
      </c>
      <c r="H120">
        <f>IF(OR('Encodage données'!H140="Pas de modification",ISBLANK('Encodage données'!I140)=FALSE),1,0)</f>
        <v>0</v>
      </c>
      <c r="I120">
        <f>IF(OR('Encodage données'!H140="Pas de modification",'Encodage données'!H140='Données Giant'!$A$22,'Encodage données'!H140='Données Giant'!$A$9,'Encodage données'!H140='Données Giant'!$A$11,'Encodage données'!H140='Données Giant'!$A$12,ISBLANK('Encodage données'!J140)=FALSE,'Encodage données'!H140='Données Giant'!$A$9,'Encodage données'!H140='Données Giant'!$A$11,'Encodage données'!H140='Données Giant'!$A$12),1,0)</f>
        <v>0</v>
      </c>
      <c r="J120">
        <f>IF('Encodage données'!I140&lt;=_xlfn.XLOOKUP('Encodage données'!H140,'Données Giant'!$A$8:$A$21,'Données Giant'!$C$8:$C$21,-1),1,0)</f>
        <v>0</v>
      </c>
    </row>
    <row r="121" spans="1:10" x14ac:dyDescent="0.25">
      <c r="A121" s="42">
        <v>77</v>
      </c>
      <c r="B121" s="29">
        <f>'Encodage données'!C141</f>
        <v>0</v>
      </c>
      <c r="C121">
        <f>IF(OR(ISBLANK('Encodage données'!C141)=TRUE,AND(OR('Encodage données'!F141='Parois types'!$B$18,'Encodage données'!F141='Parois types'!$B$36),ISBLANK('Encodage données'!G141)=TRUE)),0,1)</f>
        <v>0</v>
      </c>
      <c r="D121">
        <f>IF(ISBLANK('Encodage données'!E141)=TRUE,0,1)</f>
        <v>0</v>
      </c>
      <c r="E121">
        <f>IF(ISBLANK('Encodage données'!F141)=FALSE,1,0)</f>
        <v>0</v>
      </c>
      <c r="F121">
        <f>IF(ISBLANK('Encodage données'!C141)=FALSE,1,0)</f>
        <v>0</v>
      </c>
      <c r="G121">
        <f>IF(ISBLANK('Encodage données'!H141)=FALSE,1,0)</f>
        <v>0</v>
      </c>
      <c r="H121">
        <f>IF(OR('Encodage données'!H141="Pas de modification",ISBLANK('Encodage données'!I141)=FALSE),1,0)</f>
        <v>0</v>
      </c>
      <c r="I121">
        <f>IF(OR('Encodage données'!H141="Pas de modification",'Encodage données'!H141='Données Giant'!$A$22,'Encodage données'!H141='Données Giant'!$A$9,'Encodage données'!H141='Données Giant'!$A$11,'Encodage données'!H141='Données Giant'!$A$12,ISBLANK('Encodage données'!J141)=FALSE,'Encodage données'!H141='Données Giant'!$A$9,'Encodage données'!H141='Données Giant'!$A$11,'Encodage données'!H141='Données Giant'!$A$12),1,0)</f>
        <v>0</v>
      </c>
      <c r="J121">
        <f>IF('Encodage données'!I141&lt;=_xlfn.XLOOKUP('Encodage données'!H141,'Données Giant'!$A$8:$A$21,'Données Giant'!$C$8:$C$21,-1),1,0)</f>
        <v>0</v>
      </c>
    </row>
    <row r="122" spans="1:10" x14ac:dyDescent="0.25">
      <c r="A122" s="42">
        <v>78</v>
      </c>
      <c r="B122" s="29">
        <f>'Encodage données'!C142</f>
        <v>0</v>
      </c>
      <c r="C122">
        <f>IF(OR(ISBLANK('Encodage données'!C142)=TRUE,AND(OR('Encodage données'!F142='Parois types'!$B$18,'Encodage données'!F142='Parois types'!$B$36),ISBLANK('Encodage données'!G142)=TRUE)),0,1)</f>
        <v>0</v>
      </c>
      <c r="D122">
        <f>IF(ISBLANK('Encodage données'!E142)=TRUE,0,1)</f>
        <v>0</v>
      </c>
      <c r="E122">
        <f>IF(ISBLANK('Encodage données'!F142)=FALSE,1,0)</f>
        <v>0</v>
      </c>
      <c r="F122">
        <f>IF(ISBLANK('Encodage données'!C142)=FALSE,1,0)</f>
        <v>0</v>
      </c>
      <c r="G122">
        <f>IF(ISBLANK('Encodage données'!H142)=FALSE,1,0)</f>
        <v>0</v>
      </c>
      <c r="H122">
        <f>IF(OR('Encodage données'!H142="Pas de modification",ISBLANK('Encodage données'!I142)=FALSE),1,0)</f>
        <v>0</v>
      </c>
      <c r="I122">
        <f>IF(OR('Encodage données'!H142="Pas de modification",'Encodage données'!H142='Données Giant'!$A$22,'Encodage données'!H142='Données Giant'!$A$9,'Encodage données'!H142='Données Giant'!$A$11,'Encodage données'!H142='Données Giant'!$A$12,ISBLANK('Encodage données'!J142)=FALSE,'Encodage données'!H142='Données Giant'!$A$9,'Encodage données'!H142='Données Giant'!$A$11,'Encodage données'!H142='Données Giant'!$A$12),1,0)</f>
        <v>0</v>
      </c>
      <c r="J122">
        <f>IF('Encodage données'!I142&lt;=_xlfn.XLOOKUP('Encodage données'!H142,'Données Giant'!$A$8:$A$21,'Données Giant'!$C$8:$C$21,-1),1,0)</f>
        <v>0</v>
      </c>
    </row>
    <row r="123" spans="1:10" x14ac:dyDescent="0.25">
      <c r="A123" s="42">
        <v>79</v>
      </c>
      <c r="B123" s="29">
        <f>'Encodage données'!C143</f>
        <v>0</v>
      </c>
      <c r="C123">
        <f>IF(OR(ISBLANK('Encodage données'!C143)=TRUE,AND(OR('Encodage données'!F143='Parois types'!$B$18,'Encodage données'!F143='Parois types'!$B$36),ISBLANK('Encodage données'!G143)=TRUE)),0,1)</f>
        <v>0</v>
      </c>
      <c r="D123">
        <f>IF(ISBLANK('Encodage données'!E143)=TRUE,0,1)</f>
        <v>0</v>
      </c>
      <c r="E123">
        <f>IF(ISBLANK('Encodage données'!F143)=FALSE,1,0)</f>
        <v>0</v>
      </c>
      <c r="F123">
        <f>IF(ISBLANK('Encodage données'!C143)=FALSE,1,0)</f>
        <v>0</v>
      </c>
      <c r="G123">
        <f>IF(ISBLANK('Encodage données'!H143)=FALSE,1,0)</f>
        <v>0</v>
      </c>
      <c r="H123">
        <f>IF(OR('Encodage données'!H143="Pas de modification",ISBLANK('Encodage données'!I143)=FALSE),1,0)</f>
        <v>0</v>
      </c>
      <c r="I123">
        <f>IF(OR('Encodage données'!H143="Pas de modification",'Encodage données'!H143='Données Giant'!$A$22,'Encodage données'!H143='Données Giant'!$A$9,'Encodage données'!H143='Données Giant'!$A$11,'Encodage données'!H143='Données Giant'!$A$12,ISBLANK('Encodage données'!J143)=FALSE,'Encodage données'!H143='Données Giant'!$A$9,'Encodage données'!H143='Données Giant'!$A$11,'Encodage données'!H143='Données Giant'!$A$12),1,0)</f>
        <v>0</v>
      </c>
      <c r="J123">
        <f>IF('Encodage données'!I143&lt;=_xlfn.XLOOKUP('Encodage données'!H143,'Données Giant'!$A$8:$A$21,'Données Giant'!$C$8:$C$21,-1),1,0)</f>
        <v>0</v>
      </c>
    </row>
    <row r="124" spans="1:10" x14ac:dyDescent="0.25">
      <c r="A124" s="42">
        <v>80</v>
      </c>
      <c r="B124" s="29">
        <f>'Encodage données'!C144</f>
        <v>0</v>
      </c>
      <c r="C124">
        <f>IF(OR(ISBLANK('Encodage données'!C144)=TRUE,AND(OR('Encodage données'!F144='Parois types'!$B$18,'Encodage données'!F144='Parois types'!$B$36),ISBLANK('Encodage données'!G144)=TRUE)),0,1)</f>
        <v>0</v>
      </c>
      <c r="D124">
        <f>IF(ISBLANK('Encodage données'!E144)=TRUE,0,1)</f>
        <v>0</v>
      </c>
      <c r="E124">
        <f>IF(ISBLANK('Encodage données'!F144)=FALSE,1,0)</f>
        <v>0</v>
      </c>
      <c r="F124">
        <f>IF(ISBLANK('Encodage données'!C144)=FALSE,1,0)</f>
        <v>0</v>
      </c>
      <c r="G124">
        <f>IF(ISBLANK('Encodage données'!H144)=FALSE,1,0)</f>
        <v>0</v>
      </c>
      <c r="H124">
        <f>IF(OR('Encodage données'!H144="Pas de modification",ISBLANK('Encodage données'!I144)=FALSE),1,0)</f>
        <v>0</v>
      </c>
      <c r="I124">
        <f>IF(OR('Encodage données'!H144="Pas de modification",'Encodage données'!H144='Données Giant'!$A$22,'Encodage données'!H144='Données Giant'!$A$9,'Encodage données'!H144='Données Giant'!$A$11,'Encodage données'!H144='Données Giant'!$A$12,ISBLANK('Encodage données'!J144)=FALSE,'Encodage données'!H144='Données Giant'!$A$9,'Encodage données'!H144='Données Giant'!$A$11,'Encodage données'!H144='Données Giant'!$A$12),1,0)</f>
        <v>0</v>
      </c>
      <c r="J124">
        <f>IF('Encodage données'!I144&lt;=_xlfn.XLOOKUP('Encodage données'!H144,'Données Giant'!$A$8:$A$21,'Données Giant'!$C$8:$C$21,-1),1,0)</f>
        <v>0</v>
      </c>
    </row>
    <row r="125" spans="1:10" x14ac:dyDescent="0.25">
      <c r="A125" s="42">
        <v>81</v>
      </c>
      <c r="B125" s="29">
        <f>'Encodage données'!C145</f>
        <v>0</v>
      </c>
      <c r="C125">
        <f>IF(OR(ISBLANK('Encodage données'!C145)=TRUE,AND(OR('Encodage données'!F145='Parois types'!$B$18,'Encodage données'!F145='Parois types'!$B$36),ISBLANK('Encodage données'!G145)=TRUE)),0,1)</f>
        <v>0</v>
      </c>
      <c r="D125">
        <f>IF(ISBLANK('Encodage données'!E145)=TRUE,0,1)</f>
        <v>0</v>
      </c>
      <c r="E125">
        <f>IF(ISBLANK('Encodage données'!F145)=FALSE,1,0)</f>
        <v>0</v>
      </c>
      <c r="F125">
        <f>IF(ISBLANK('Encodage données'!C145)=FALSE,1,0)</f>
        <v>0</v>
      </c>
      <c r="G125">
        <f>IF(ISBLANK('Encodage données'!H145)=FALSE,1,0)</f>
        <v>0</v>
      </c>
      <c r="H125">
        <f>IF(OR('Encodage données'!H145="Pas de modification",ISBLANK('Encodage données'!I145)=FALSE),1,0)</f>
        <v>0</v>
      </c>
      <c r="I125">
        <f>IF(OR('Encodage données'!H145="Pas de modification",'Encodage données'!H145='Données Giant'!$A$22,'Encodage données'!H145='Données Giant'!$A$9,'Encodage données'!H145='Données Giant'!$A$11,'Encodage données'!H145='Données Giant'!$A$12,ISBLANK('Encodage données'!J145)=FALSE,'Encodage données'!H145='Données Giant'!$A$9,'Encodage données'!H145='Données Giant'!$A$11,'Encodage données'!H145='Données Giant'!$A$12),1,0)</f>
        <v>0</v>
      </c>
      <c r="J125">
        <f>IF('Encodage données'!I145&lt;=_xlfn.XLOOKUP('Encodage données'!H145,'Données Giant'!$A$8:$A$21,'Données Giant'!$C$8:$C$21,-1),1,0)</f>
        <v>0</v>
      </c>
    </row>
    <row r="126" spans="1:10" x14ac:dyDescent="0.25">
      <c r="A126" s="42">
        <v>82</v>
      </c>
      <c r="B126" s="29">
        <f>'Encodage données'!C146</f>
        <v>0</v>
      </c>
      <c r="C126">
        <f>IF(OR(ISBLANK('Encodage données'!C146)=TRUE,AND(OR('Encodage données'!F146='Parois types'!$B$18,'Encodage données'!F146='Parois types'!$B$36),ISBLANK('Encodage données'!G146)=TRUE)),0,1)</f>
        <v>0</v>
      </c>
      <c r="D126">
        <f>IF(ISBLANK('Encodage données'!E146)=TRUE,0,1)</f>
        <v>0</v>
      </c>
      <c r="E126">
        <f>IF(ISBLANK('Encodage données'!F146)=FALSE,1,0)</f>
        <v>0</v>
      </c>
      <c r="F126">
        <f>IF(ISBLANK('Encodage données'!C146)=FALSE,1,0)</f>
        <v>0</v>
      </c>
      <c r="G126">
        <f>IF(ISBLANK('Encodage données'!H146)=FALSE,1,0)</f>
        <v>0</v>
      </c>
      <c r="H126">
        <f>IF(OR('Encodage données'!H146="Pas de modification",ISBLANK('Encodage données'!I146)=FALSE),1,0)</f>
        <v>0</v>
      </c>
      <c r="I126">
        <f>IF(OR('Encodage données'!H146="Pas de modification",'Encodage données'!H146='Données Giant'!$A$22,'Encodage données'!H146='Données Giant'!$A$9,'Encodage données'!H146='Données Giant'!$A$11,'Encodage données'!H146='Données Giant'!$A$12,ISBLANK('Encodage données'!J146)=FALSE,'Encodage données'!H146='Données Giant'!$A$9,'Encodage données'!H146='Données Giant'!$A$11,'Encodage données'!H146='Données Giant'!$A$12),1,0)</f>
        <v>0</v>
      </c>
      <c r="J126">
        <f>IF('Encodage données'!I146&lt;=_xlfn.XLOOKUP('Encodage données'!H146,'Données Giant'!$A$8:$A$21,'Données Giant'!$C$8:$C$21,-1),1,0)</f>
        <v>0</v>
      </c>
    </row>
    <row r="127" spans="1:10" x14ac:dyDescent="0.25">
      <c r="A127" s="42">
        <v>83</v>
      </c>
      <c r="B127" s="29">
        <f>'Encodage données'!C147</f>
        <v>0</v>
      </c>
      <c r="C127">
        <f>IF(OR(ISBLANK('Encodage données'!C147)=TRUE,AND(OR('Encodage données'!F147='Parois types'!$B$18,'Encodage données'!F147='Parois types'!$B$36),ISBLANK('Encodage données'!G147)=TRUE)),0,1)</f>
        <v>0</v>
      </c>
      <c r="D127">
        <f>IF(ISBLANK('Encodage données'!E147)=TRUE,0,1)</f>
        <v>0</v>
      </c>
      <c r="E127">
        <f>IF(ISBLANK('Encodage données'!F147)=FALSE,1,0)</f>
        <v>0</v>
      </c>
      <c r="F127">
        <f>IF(ISBLANK('Encodage données'!C147)=FALSE,1,0)</f>
        <v>0</v>
      </c>
      <c r="G127">
        <f>IF(ISBLANK('Encodage données'!H147)=FALSE,1,0)</f>
        <v>0</v>
      </c>
      <c r="H127">
        <f>IF(OR('Encodage données'!H147="Pas de modification",ISBLANK('Encodage données'!I147)=FALSE),1,0)</f>
        <v>0</v>
      </c>
      <c r="I127">
        <f>IF(OR('Encodage données'!H147="Pas de modification",'Encodage données'!H147='Données Giant'!$A$22,'Encodage données'!H147='Données Giant'!$A$9,'Encodage données'!H147='Données Giant'!$A$11,'Encodage données'!H147='Données Giant'!$A$12,ISBLANK('Encodage données'!J147)=FALSE,'Encodage données'!H147='Données Giant'!$A$9,'Encodage données'!H147='Données Giant'!$A$11,'Encodage données'!H147='Données Giant'!$A$12),1,0)</f>
        <v>0</v>
      </c>
      <c r="J127">
        <f>IF('Encodage données'!I147&lt;=_xlfn.XLOOKUP('Encodage données'!H147,'Données Giant'!$A$8:$A$21,'Données Giant'!$C$8:$C$21,-1),1,0)</f>
        <v>0</v>
      </c>
    </row>
    <row r="128" spans="1:10" x14ac:dyDescent="0.25">
      <c r="A128" s="42">
        <v>84</v>
      </c>
      <c r="B128" s="29">
        <f>'Encodage données'!C148</f>
        <v>0</v>
      </c>
      <c r="C128">
        <f>IF(OR(ISBLANK('Encodage données'!C148)=TRUE,AND(OR('Encodage données'!F148='Parois types'!$B$18,'Encodage données'!F148='Parois types'!$B$36),ISBLANK('Encodage données'!G148)=TRUE)),0,1)</f>
        <v>0</v>
      </c>
      <c r="D128">
        <f>IF(ISBLANK('Encodage données'!E148)=TRUE,0,1)</f>
        <v>0</v>
      </c>
      <c r="E128">
        <f>IF(ISBLANK('Encodage données'!F148)=FALSE,1,0)</f>
        <v>0</v>
      </c>
      <c r="F128">
        <f>IF(ISBLANK('Encodage données'!C148)=FALSE,1,0)</f>
        <v>0</v>
      </c>
      <c r="G128">
        <f>IF(ISBLANK('Encodage données'!H148)=FALSE,1,0)</f>
        <v>0</v>
      </c>
      <c r="H128">
        <f>IF(OR('Encodage données'!H148="Pas de modification",ISBLANK('Encodage données'!I148)=FALSE),1,0)</f>
        <v>0</v>
      </c>
      <c r="I128">
        <f>IF(OR('Encodage données'!H148="Pas de modification",'Encodage données'!H148='Données Giant'!$A$22,'Encodage données'!H148='Données Giant'!$A$9,'Encodage données'!H148='Données Giant'!$A$11,'Encodage données'!H148='Données Giant'!$A$12,ISBLANK('Encodage données'!J148)=FALSE,'Encodage données'!H148='Données Giant'!$A$9,'Encodage données'!H148='Données Giant'!$A$11,'Encodage données'!H148='Données Giant'!$A$12),1,0)</f>
        <v>0</v>
      </c>
      <c r="J128">
        <f>IF('Encodage données'!I148&lt;=_xlfn.XLOOKUP('Encodage données'!H148,'Données Giant'!$A$8:$A$21,'Données Giant'!$C$8:$C$21,-1),1,0)</f>
        <v>0</v>
      </c>
    </row>
    <row r="129" spans="1:10" x14ac:dyDescent="0.25">
      <c r="A129" s="42">
        <v>85</v>
      </c>
      <c r="B129" s="29">
        <f>'Encodage données'!C149</f>
        <v>0</v>
      </c>
      <c r="C129">
        <f>IF(OR(ISBLANK('Encodage données'!C149)=TRUE,AND(OR('Encodage données'!F149='Parois types'!$B$18,'Encodage données'!F149='Parois types'!$B$36),ISBLANK('Encodage données'!G149)=TRUE)),0,1)</f>
        <v>0</v>
      </c>
      <c r="D129">
        <f>IF(ISBLANK('Encodage données'!E149)=TRUE,0,1)</f>
        <v>0</v>
      </c>
      <c r="E129">
        <f>IF(ISBLANK('Encodage données'!F149)=FALSE,1,0)</f>
        <v>0</v>
      </c>
      <c r="F129">
        <f>IF(ISBLANK('Encodage données'!C149)=FALSE,1,0)</f>
        <v>0</v>
      </c>
      <c r="G129">
        <f>IF(ISBLANK('Encodage données'!H149)=FALSE,1,0)</f>
        <v>0</v>
      </c>
      <c r="H129">
        <f>IF(OR('Encodage données'!H149="Pas de modification",ISBLANK('Encodage données'!I149)=FALSE),1,0)</f>
        <v>0</v>
      </c>
      <c r="I129">
        <f>IF(OR('Encodage données'!H149="Pas de modification",'Encodage données'!H149='Données Giant'!$A$22,'Encodage données'!H149='Données Giant'!$A$9,'Encodage données'!H149='Données Giant'!$A$11,'Encodage données'!H149='Données Giant'!$A$12,ISBLANK('Encodage données'!J149)=FALSE,'Encodage données'!H149='Données Giant'!$A$9,'Encodage données'!H149='Données Giant'!$A$11,'Encodage données'!H149='Données Giant'!$A$12),1,0)</f>
        <v>0</v>
      </c>
      <c r="J129">
        <f>IF('Encodage données'!I149&lt;=_xlfn.XLOOKUP('Encodage données'!H149,'Données Giant'!$A$8:$A$21,'Données Giant'!$C$8:$C$21,-1),1,0)</f>
        <v>0</v>
      </c>
    </row>
    <row r="130" spans="1:10" x14ac:dyDescent="0.25">
      <c r="A130" s="42">
        <v>86</v>
      </c>
      <c r="B130" s="29">
        <f>'Encodage données'!C150</f>
        <v>0</v>
      </c>
      <c r="C130">
        <f>IF(OR(ISBLANK('Encodage données'!C150)=TRUE,AND(OR('Encodage données'!F150='Parois types'!$B$18,'Encodage données'!F150='Parois types'!$B$36),ISBLANK('Encodage données'!G150)=TRUE)),0,1)</f>
        <v>0</v>
      </c>
      <c r="D130">
        <f>IF(ISBLANK('Encodage données'!E150)=TRUE,0,1)</f>
        <v>0</v>
      </c>
      <c r="E130">
        <f>IF(ISBLANK('Encodage données'!F150)=FALSE,1,0)</f>
        <v>0</v>
      </c>
      <c r="F130">
        <f>IF(ISBLANK('Encodage données'!C150)=FALSE,1,0)</f>
        <v>0</v>
      </c>
      <c r="G130">
        <f>IF(ISBLANK('Encodage données'!H150)=FALSE,1,0)</f>
        <v>0</v>
      </c>
      <c r="H130">
        <f>IF(OR('Encodage données'!H150="Pas de modification",ISBLANK('Encodage données'!I150)=FALSE),1,0)</f>
        <v>0</v>
      </c>
      <c r="I130">
        <f>IF(OR('Encodage données'!H150="Pas de modification",'Encodage données'!H150='Données Giant'!$A$22,'Encodage données'!H150='Données Giant'!$A$9,'Encodage données'!H150='Données Giant'!$A$11,'Encodage données'!H150='Données Giant'!$A$12,ISBLANK('Encodage données'!J150)=FALSE,'Encodage données'!H150='Données Giant'!$A$9,'Encodage données'!H150='Données Giant'!$A$11,'Encodage données'!H150='Données Giant'!$A$12),1,0)</f>
        <v>0</v>
      </c>
      <c r="J130">
        <f>IF('Encodage données'!I150&lt;=_xlfn.XLOOKUP('Encodage données'!H150,'Données Giant'!$A$8:$A$21,'Données Giant'!$C$8:$C$21,-1),1,0)</f>
        <v>0</v>
      </c>
    </row>
    <row r="131" spans="1:10" x14ac:dyDescent="0.25">
      <c r="A131" s="42">
        <v>87</v>
      </c>
      <c r="B131" s="29">
        <f>'Encodage données'!C151</f>
        <v>0</v>
      </c>
      <c r="C131">
        <f>IF(OR(ISBLANK('Encodage données'!C151)=TRUE,AND(OR('Encodage données'!F151='Parois types'!$B$18,'Encodage données'!F151='Parois types'!$B$36),ISBLANK('Encodage données'!G151)=TRUE)),0,1)</f>
        <v>0</v>
      </c>
      <c r="D131">
        <f>IF(ISBLANK('Encodage données'!E151)=TRUE,0,1)</f>
        <v>0</v>
      </c>
      <c r="E131">
        <f>IF(ISBLANK('Encodage données'!F151)=FALSE,1,0)</f>
        <v>0</v>
      </c>
      <c r="F131">
        <f>IF(ISBLANK('Encodage données'!C151)=FALSE,1,0)</f>
        <v>0</v>
      </c>
      <c r="G131">
        <f>IF(ISBLANK('Encodage données'!H151)=FALSE,1,0)</f>
        <v>0</v>
      </c>
      <c r="H131">
        <f>IF(OR('Encodage données'!H151="Pas de modification",ISBLANK('Encodage données'!I151)=FALSE),1,0)</f>
        <v>0</v>
      </c>
      <c r="I131">
        <f>IF(OR('Encodage données'!H151="Pas de modification",'Encodage données'!H151='Données Giant'!$A$22,'Encodage données'!H151='Données Giant'!$A$9,'Encodage données'!H151='Données Giant'!$A$11,'Encodage données'!H151='Données Giant'!$A$12,ISBLANK('Encodage données'!J151)=FALSE,'Encodage données'!H151='Données Giant'!$A$9,'Encodage données'!H151='Données Giant'!$A$11,'Encodage données'!H151='Données Giant'!$A$12),1,0)</f>
        <v>0</v>
      </c>
      <c r="J131">
        <f>IF('Encodage données'!I151&lt;=_xlfn.XLOOKUP('Encodage données'!H151,'Données Giant'!$A$8:$A$21,'Données Giant'!$C$8:$C$21,-1),1,0)</f>
        <v>0</v>
      </c>
    </row>
    <row r="132" spans="1:10" x14ac:dyDescent="0.25">
      <c r="A132" s="42">
        <v>88</v>
      </c>
      <c r="B132" s="29">
        <f>'Encodage données'!C152</f>
        <v>0</v>
      </c>
      <c r="C132">
        <f>IF(OR(ISBLANK('Encodage données'!C152)=TRUE,AND(OR('Encodage données'!F152='Parois types'!$B$18,'Encodage données'!F152='Parois types'!$B$36),ISBLANK('Encodage données'!G152)=TRUE)),0,1)</f>
        <v>0</v>
      </c>
      <c r="D132">
        <f>IF(ISBLANK('Encodage données'!E152)=TRUE,0,1)</f>
        <v>0</v>
      </c>
      <c r="E132">
        <f>IF(ISBLANK('Encodage données'!F152)=FALSE,1,0)</f>
        <v>0</v>
      </c>
      <c r="F132">
        <f>IF(ISBLANK('Encodage données'!C152)=FALSE,1,0)</f>
        <v>0</v>
      </c>
      <c r="G132">
        <f>IF(ISBLANK('Encodage données'!H152)=FALSE,1,0)</f>
        <v>0</v>
      </c>
      <c r="H132">
        <f>IF(OR('Encodage données'!H152="Pas de modification",ISBLANK('Encodage données'!I152)=FALSE),1,0)</f>
        <v>0</v>
      </c>
      <c r="I132">
        <f>IF(OR('Encodage données'!H152="Pas de modification",'Encodage données'!H152='Données Giant'!$A$22,'Encodage données'!H152='Données Giant'!$A$9,'Encodage données'!H152='Données Giant'!$A$11,'Encodage données'!H152='Données Giant'!$A$12,ISBLANK('Encodage données'!J152)=FALSE,'Encodage données'!H152='Données Giant'!$A$9,'Encodage données'!H152='Données Giant'!$A$11,'Encodage données'!H152='Données Giant'!$A$12),1,0)</f>
        <v>0</v>
      </c>
      <c r="J132">
        <f>IF('Encodage données'!I152&lt;=_xlfn.XLOOKUP('Encodage données'!H152,'Données Giant'!$A$8:$A$21,'Données Giant'!$C$8:$C$21,-1),1,0)</f>
        <v>0</v>
      </c>
    </row>
    <row r="133" spans="1:10" x14ac:dyDescent="0.25">
      <c r="A133" s="42">
        <v>89</v>
      </c>
      <c r="B133" s="29">
        <f>'Encodage données'!C153</f>
        <v>0</v>
      </c>
      <c r="C133">
        <f>IF(OR(ISBLANK('Encodage données'!C153)=TRUE,AND(OR('Encodage données'!F153='Parois types'!$B$18,'Encodage données'!F153='Parois types'!$B$36),ISBLANK('Encodage données'!G153)=TRUE)),0,1)</f>
        <v>0</v>
      </c>
      <c r="D133">
        <f>IF(ISBLANK('Encodage données'!E153)=TRUE,0,1)</f>
        <v>0</v>
      </c>
      <c r="E133">
        <f>IF(ISBLANK('Encodage données'!F153)=FALSE,1,0)</f>
        <v>0</v>
      </c>
      <c r="F133">
        <f>IF(ISBLANK('Encodage données'!C153)=FALSE,1,0)</f>
        <v>0</v>
      </c>
      <c r="G133">
        <f>IF(ISBLANK('Encodage données'!H153)=FALSE,1,0)</f>
        <v>0</v>
      </c>
      <c r="H133">
        <f>IF(OR('Encodage données'!H153="Pas de modification",ISBLANK('Encodage données'!I153)=FALSE),1,0)</f>
        <v>0</v>
      </c>
      <c r="I133">
        <f>IF(OR('Encodage données'!H153="Pas de modification",'Encodage données'!H153='Données Giant'!$A$22,'Encodage données'!H153='Données Giant'!$A$9,'Encodage données'!H153='Données Giant'!$A$11,'Encodage données'!H153='Données Giant'!$A$12,ISBLANK('Encodage données'!J153)=FALSE,'Encodage données'!H153='Données Giant'!$A$9,'Encodage données'!H153='Données Giant'!$A$11,'Encodage données'!H153='Données Giant'!$A$12),1,0)</f>
        <v>0</v>
      </c>
      <c r="J133">
        <f>IF('Encodage données'!I153&lt;=_xlfn.XLOOKUP('Encodage données'!H153,'Données Giant'!$A$8:$A$21,'Données Giant'!$C$8:$C$21,-1),1,0)</f>
        <v>0</v>
      </c>
    </row>
    <row r="134" spans="1:10" x14ac:dyDescent="0.25">
      <c r="A134" s="42">
        <v>90</v>
      </c>
      <c r="B134" s="29">
        <f>'Encodage données'!C154</f>
        <v>0</v>
      </c>
      <c r="C134">
        <f>IF(OR(ISBLANK('Encodage données'!C154)=TRUE,AND(OR('Encodage données'!F154='Parois types'!$B$18,'Encodage données'!F154='Parois types'!$B$36),ISBLANK('Encodage données'!G154)=TRUE)),0,1)</f>
        <v>0</v>
      </c>
      <c r="D134">
        <f>IF(ISBLANK('Encodage données'!E154)=TRUE,0,1)</f>
        <v>0</v>
      </c>
      <c r="E134">
        <f>IF(ISBLANK('Encodage données'!F154)=FALSE,1,0)</f>
        <v>0</v>
      </c>
      <c r="F134">
        <f>IF(ISBLANK('Encodage données'!C154)=FALSE,1,0)</f>
        <v>0</v>
      </c>
      <c r="G134">
        <f>IF(ISBLANK('Encodage données'!H154)=FALSE,1,0)</f>
        <v>0</v>
      </c>
      <c r="H134">
        <f>IF(OR('Encodage données'!H154="Pas de modification",ISBLANK('Encodage données'!I154)=FALSE),1,0)</f>
        <v>0</v>
      </c>
      <c r="I134">
        <f>IF(OR('Encodage données'!H154="Pas de modification",'Encodage données'!H154='Données Giant'!$A$22,'Encodage données'!H154='Données Giant'!$A$9,'Encodage données'!H154='Données Giant'!$A$11,'Encodage données'!H154='Données Giant'!$A$12,ISBLANK('Encodage données'!J154)=FALSE,'Encodage données'!H154='Données Giant'!$A$9,'Encodage données'!H154='Données Giant'!$A$11,'Encodage données'!H154='Données Giant'!$A$12),1,0)</f>
        <v>0</v>
      </c>
      <c r="J134">
        <f>IF('Encodage données'!I154&lt;=_xlfn.XLOOKUP('Encodage données'!H154,'Données Giant'!$A$8:$A$21,'Données Giant'!$C$8:$C$21,-1),1,0)</f>
        <v>0</v>
      </c>
    </row>
    <row r="135" spans="1:10" x14ac:dyDescent="0.25">
      <c r="A135" s="42">
        <v>91</v>
      </c>
      <c r="B135" s="29">
        <f>'Encodage données'!C155</f>
        <v>0</v>
      </c>
      <c r="C135">
        <f>IF(OR(ISBLANK('Encodage données'!C155)=TRUE,AND(OR('Encodage données'!F155='Parois types'!$B$18,'Encodage données'!F155='Parois types'!$B$36),ISBLANK('Encodage données'!G155)=TRUE)),0,1)</f>
        <v>0</v>
      </c>
      <c r="D135">
        <f>IF(ISBLANK('Encodage données'!E155)=TRUE,0,1)</f>
        <v>0</v>
      </c>
      <c r="E135">
        <f>IF(ISBLANK('Encodage données'!F155)=FALSE,1,0)</f>
        <v>0</v>
      </c>
      <c r="F135">
        <f>IF(ISBLANK('Encodage données'!C155)=FALSE,1,0)</f>
        <v>0</v>
      </c>
      <c r="G135">
        <f>IF(ISBLANK('Encodage données'!H155)=FALSE,1,0)</f>
        <v>0</v>
      </c>
      <c r="H135">
        <f>IF(OR('Encodage données'!H155="Pas de modification",ISBLANK('Encodage données'!I155)=FALSE),1,0)</f>
        <v>0</v>
      </c>
      <c r="I135">
        <f>IF(OR('Encodage données'!H155="Pas de modification",'Encodage données'!H155='Données Giant'!$A$22,'Encodage données'!H155='Données Giant'!$A$9,'Encodage données'!H155='Données Giant'!$A$11,'Encodage données'!H155='Données Giant'!$A$12,ISBLANK('Encodage données'!J155)=FALSE,'Encodage données'!H155='Données Giant'!$A$9,'Encodage données'!H155='Données Giant'!$A$11,'Encodage données'!H155='Données Giant'!$A$12),1,0)</f>
        <v>0</v>
      </c>
      <c r="J135">
        <f>IF('Encodage données'!I155&lt;=_xlfn.XLOOKUP('Encodage données'!H155,'Données Giant'!$A$8:$A$21,'Données Giant'!$C$8:$C$21,-1),1,0)</f>
        <v>0</v>
      </c>
    </row>
    <row r="136" spans="1:10" x14ac:dyDescent="0.25">
      <c r="A136" s="42">
        <v>92</v>
      </c>
      <c r="B136" s="29">
        <f>'Encodage données'!C156</f>
        <v>0</v>
      </c>
      <c r="C136">
        <f>IF(OR(ISBLANK('Encodage données'!C156)=TRUE,AND(OR('Encodage données'!F156='Parois types'!$B$18,'Encodage données'!F156='Parois types'!$B$36),ISBLANK('Encodage données'!G156)=TRUE)),0,1)</f>
        <v>0</v>
      </c>
      <c r="D136">
        <f>IF(ISBLANK('Encodage données'!E156)=TRUE,0,1)</f>
        <v>0</v>
      </c>
      <c r="E136">
        <f>IF(ISBLANK('Encodage données'!F156)=FALSE,1,0)</f>
        <v>0</v>
      </c>
      <c r="F136">
        <f>IF(ISBLANK('Encodage données'!C156)=FALSE,1,0)</f>
        <v>0</v>
      </c>
      <c r="G136">
        <f>IF(ISBLANK('Encodage données'!H156)=FALSE,1,0)</f>
        <v>0</v>
      </c>
      <c r="H136">
        <f>IF(OR('Encodage données'!H156="Pas de modification",ISBLANK('Encodage données'!I156)=FALSE),1,0)</f>
        <v>0</v>
      </c>
      <c r="I136">
        <f>IF(OR('Encodage données'!H156="Pas de modification",'Encodage données'!H156='Données Giant'!$A$22,'Encodage données'!H156='Données Giant'!$A$9,'Encodage données'!H156='Données Giant'!$A$11,'Encodage données'!H156='Données Giant'!$A$12,ISBLANK('Encodage données'!J156)=FALSE,'Encodage données'!H156='Données Giant'!$A$9,'Encodage données'!H156='Données Giant'!$A$11,'Encodage données'!H156='Données Giant'!$A$12),1,0)</f>
        <v>0</v>
      </c>
      <c r="J136">
        <f>IF('Encodage données'!I156&lt;=_xlfn.XLOOKUP('Encodage données'!H156,'Données Giant'!$A$8:$A$21,'Données Giant'!$C$8:$C$21,-1),1,0)</f>
        <v>0</v>
      </c>
    </row>
    <row r="137" spans="1:10" x14ac:dyDescent="0.25">
      <c r="A137" s="42">
        <v>93</v>
      </c>
      <c r="B137" s="29">
        <f>'Encodage données'!C157</f>
        <v>0</v>
      </c>
      <c r="C137">
        <f>IF(OR(ISBLANK('Encodage données'!C157)=TRUE,AND(OR('Encodage données'!F157='Parois types'!$B$18,'Encodage données'!F157='Parois types'!$B$36),ISBLANK('Encodage données'!G157)=TRUE)),0,1)</f>
        <v>0</v>
      </c>
      <c r="D137">
        <f>IF(ISBLANK('Encodage données'!E157)=TRUE,0,1)</f>
        <v>0</v>
      </c>
      <c r="E137">
        <f>IF(ISBLANK('Encodage données'!F157)=FALSE,1,0)</f>
        <v>0</v>
      </c>
      <c r="F137">
        <f>IF(ISBLANK('Encodage données'!C157)=FALSE,1,0)</f>
        <v>0</v>
      </c>
      <c r="G137">
        <f>IF(ISBLANK('Encodage données'!H157)=FALSE,1,0)</f>
        <v>0</v>
      </c>
      <c r="H137">
        <f>IF(OR('Encodage données'!H157="Pas de modification",ISBLANK('Encodage données'!I157)=FALSE),1,0)</f>
        <v>0</v>
      </c>
      <c r="I137">
        <f>IF(OR('Encodage données'!H157="Pas de modification",'Encodage données'!H157='Données Giant'!$A$22,'Encodage données'!H157='Données Giant'!$A$9,'Encodage données'!H157='Données Giant'!$A$11,'Encodage données'!H157='Données Giant'!$A$12,ISBLANK('Encodage données'!J157)=FALSE,'Encodage données'!H157='Données Giant'!$A$9,'Encodage données'!H157='Données Giant'!$A$11,'Encodage données'!H157='Données Giant'!$A$12),1,0)</f>
        <v>0</v>
      </c>
      <c r="J137">
        <f>IF('Encodage données'!I157&lt;=_xlfn.XLOOKUP('Encodage données'!H157,'Données Giant'!$A$8:$A$21,'Données Giant'!$C$8:$C$21,-1),1,0)</f>
        <v>0</v>
      </c>
    </row>
    <row r="138" spans="1:10" x14ac:dyDescent="0.25">
      <c r="A138" s="42">
        <v>94</v>
      </c>
      <c r="B138" s="29">
        <f>'Encodage données'!C158</f>
        <v>0</v>
      </c>
      <c r="C138">
        <f>IF(OR(ISBLANK('Encodage données'!C158)=TRUE,AND(OR('Encodage données'!F158='Parois types'!$B$18,'Encodage données'!F158='Parois types'!$B$36),ISBLANK('Encodage données'!G158)=TRUE)),0,1)</f>
        <v>0</v>
      </c>
      <c r="D138">
        <f>IF(ISBLANK('Encodage données'!E158)=TRUE,0,1)</f>
        <v>0</v>
      </c>
      <c r="E138">
        <f>IF(ISBLANK('Encodage données'!F158)=FALSE,1,0)</f>
        <v>0</v>
      </c>
      <c r="F138">
        <f>IF(ISBLANK('Encodage données'!C158)=FALSE,1,0)</f>
        <v>0</v>
      </c>
      <c r="G138">
        <f>IF(ISBLANK('Encodage données'!H158)=FALSE,1,0)</f>
        <v>0</v>
      </c>
      <c r="H138">
        <f>IF(OR('Encodage données'!H158="Pas de modification",ISBLANK('Encodage données'!I158)=FALSE),1,0)</f>
        <v>0</v>
      </c>
      <c r="I138">
        <f>IF(OR('Encodage données'!H158="Pas de modification",'Encodage données'!H158='Données Giant'!$A$22,'Encodage données'!H158='Données Giant'!$A$9,'Encodage données'!H158='Données Giant'!$A$11,'Encodage données'!H158='Données Giant'!$A$12,ISBLANK('Encodage données'!J158)=FALSE,'Encodage données'!H158='Données Giant'!$A$9,'Encodage données'!H158='Données Giant'!$A$11,'Encodage données'!H158='Données Giant'!$A$12),1,0)</f>
        <v>0</v>
      </c>
      <c r="J138">
        <f>IF('Encodage données'!I158&lt;=_xlfn.XLOOKUP('Encodage données'!H158,'Données Giant'!$A$8:$A$21,'Données Giant'!$C$8:$C$21,-1),1,0)</f>
        <v>0</v>
      </c>
    </row>
    <row r="139" spans="1:10" x14ac:dyDescent="0.25">
      <c r="A139" s="42">
        <v>95</v>
      </c>
      <c r="B139" s="29">
        <f>'Encodage données'!C159</f>
        <v>0</v>
      </c>
      <c r="C139">
        <f>IF(OR(ISBLANK('Encodage données'!C159)=TRUE,AND(OR('Encodage données'!F159='Parois types'!$B$18,'Encodage données'!F159='Parois types'!$B$36),ISBLANK('Encodage données'!G159)=TRUE)),0,1)</f>
        <v>0</v>
      </c>
      <c r="D139">
        <f>IF(ISBLANK('Encodage données'!E159)=TRUE,0,1)</f>
        <v>0</v>
      </c>
      <c r="E139">
        <f>IF(ISBLANK('Encodage données'!F159)=FALSE,1,0)</f>
        <v>0</v>
      </c>
      <c r="F139">
        <f>IF(ISBLANK('Encodage données'!C159)=FALSE,1,0)</f>
        <v>0</v>
      </c>
      <c r="G139">
        <f>IF(ISBLANK('Encodage données'!H159)=FALSE,1,0)</f>
        <v>0</v>
      </c>
      <c r="H139">
        <f>IF(OR('Encodage données'!H159="Pas de modification",ISBLANK('Encodage données'!I159)=FALSE),1,0)</f>
        <v>0</v>
      </c>
      <c r="I139">
        <f>IF(OR('Encodage données'!H159="Pas de modification",'Encodage données'!H159='Données Giant'!$A$22,'Encodage données'!H159='Données Giant'!$A$9,'Encodage données'!H159='Données Giant'!$A$11,'Encodage données'!H159='Données Giant'!$A$12,ISBLANK('Encodage données'!J159)=FALSE,'Encodage données'!H159='Données Giant'!$A$9,'Encodage données'!H159='Données Giant'!$A$11,'Encodage données'!H159='Données Giant'!$A$12),1,0)</f>
        <v>0</v>
      </c>
      <c r="J139">
        <f>IF('Encodage données'!I159&lt;=_xlfn.XLOOKUP('Encodage données'!H159,'Données Giant'!$A$8:$A$21,'Données Giant'!$C$8:$C$21,-1),1,0)</f>
        <v>0</v>
      </c>
    </row>
    <row r="140" spans="1:10" x14ac:dyDescent="0.25">
      <c r="A140" s="42">
        <v>96</v>
      </c>
      <c r="B140" s="29">
        <f>'Encodage données'!C160</f>
        <v>0</v>
      </c>
      <c r="C140">
        <f>IF(OR(ISBLANK('Encodage données'!C160)=TRUE,AND(OR('Encodage données'!F160='Parois types'!$B$18,'Encodage données'!F160='Parois types'!$B$36),ISBLANK('Encodage données'!G160)=TRUE)),0,1)</f>
        <v>0</v>
      </c>
      <c r="D140">
        <f>IF(ISBLANK('Encodage données'!E160)=TRUE,0,1)</f>
        <v>0</v>
      </c>
      <c r="E140">
        <f>IF(ISBLANK('Encodage données'!F160)=FALSE,1,0)</f>
        <v>0</v>
      </c>
      <c r="F140">
        <f>IF(ISBLANK('Encodage données'!C160)=FALSE,1,0)</f>
        <v>0</v>
      </c>
      <c r="G140">
        <f>IF(ISBLANK('Encodage données'!H160)=FALSE,1,0)</f>
        <v>0</v>
      </c>
      <c r="H140">
        <f>IF(OR('Encodage données'!H160="Pas de modification",ISBLANK('Encodage données'!I160)=FALSE),1,0)</f>
        <v>0</v>
      </c>
      <c r="I140">
        <f>IF(OR('Encodage données'!H160="Pas de modification",'Encodage données'!H160='Données Giant'!$A$22,'Encodage données'!H160='Données Giant'!$A$9,'Encodage données'!H160='Données Giant'!$A$11,'Encodage données'!H160='Données Giant'!$A$12,ISBLANK('Encodage données'!J160)=FALSE,'Encodage données'!H160='Données Giant'!$A$9,'Encodage données'!H160='Données Giant'!$A$11,'Encodage données'!H160='Données Giant'!$A$12),1,0)</f>
        <v>0</v>
      </c>
      <c r="J140">
        <f>IF('Encodage données'!I160&lt;=_xlfn.XLOOKUP('Encodage données'!H160,'Données Giant'!$A$8:$A$21,'Données Giant'!$C$8:$C$21,-1),1,0)</f>
        <v>0</v>
      </c>
    </row>
    <row r="141" spans="1:10" x14ac:dyDescent="0.25">
      <c r="A141" s="42">
        <v>97</v>
      </c>
      <c r="B141" s="29">
        <f>'Encodage données'!C161</f>
        <v>0</v>
      </c>
      <c r="C141">
        <f>IF(OR(ISBLANK('Encodage données'!C161)=TRUE,AND(OR('Encodage données'!F161='Parois types'!$B$18,'Encodage données'!F161='Parois types'!$B$36),ISBLANK('Encodage données'!G161)=TRUE)),0,1)</f>
        <v>0</v>
      </c>
      <c r="D141">
        <f>IF(ISBLANK('Encodage données'!E161)=TRUE,0,1)</f>
        <v>0</v>
      </c>
      <c r="E141">
        <f>IF(ISBLANK('Encodage données'!F161)=FALSE,1,0)</f>
        <v>0</v>
      </c>
      <c r="F141">
        <f>IF(ISBLANK('Encodage données'!C161)=FALSE,1,0)</f>
        <v>0</v>
      </c>
      <c r="G141">
        <f>IF(ISBLANK('Encodage données'!H161)=FALSE,1,0)</f>
        <v>0</v>
      </c>
      <c r="H141">
        <f>IF(OR('Encodage données'!H161="Pas de modification",ISBLANK('Encodage données'!I161)=FALSE),1,0)</f>
        <v>0</v>
      </c>
      <c r="I141">
        <f>IF(OR('Encodage données'!H161="Pas de modification",'Encodage données'!H161='Données Giant'!$A$22,'Encodage données'!H161='Données Giant'!$A$9,'Encodage données'!H161='Données Giant'!$A$11,'Encodage données'!H161='Données Giant'!$A$12,ISBLANK('Encodage données'!J161)=FALSE,'Encodage données'!H161='Données Giant'!$A$9,'Encodage données'!H161='Données Giant'!$A$11,'Encodage données'!H161='Données Giant'!$A$12),1,0)</f>
        <v>0</v>
      </c>
      <c r="J141">
        <f>IF('Encodage données'!I161&lt;=_xlfn.XLOOKUP('Encodage données'!H161,'Données Giant'!$A$8:$A$21,'Données Giant'!$C$8:$C$21,-1),1,0)</f>
        <v>0</v>
      </c>
    </row>
    <row r="142" spans="1:10" x14ac:dyDescent="0.25">
      <c r="A142" s="42">
        <v>98</v>
      </c>
      <c r="B142" s="29">
        <f>'Encodage données'!C162</f>
        <v>0</v>
      </c>
      <c r="C142">
        <f>IF(OR(ISBLANK('Encodage données'!C162)=TRUE,AND(OR('Encodage données'!F162='Parois types'!$B$18,'Encodage données'!F162='Parois types'!$B$36),ISBLANK('Encodage données'!G162)=TRUE)),0,1)</f>
        <v>0</v>
      </c>
      <c r="D142">
        <f>IF(ISBLANK('Encodage données'!E162)=TRUE,0,1)</f>
        <v>0</v>
      </c>
      <c r="E142">
        <f>IF(ISBLANK('Encodage données'!F162)=FALSE,1,0)</f>
        <v>0</v>
      </c>
      <c r="F142">
        <f>IF(ISBLANK('Encodage données'!C162)=FALSE,1,0)</f>
        <v>0</v>
      </c>
      <c r="G142">
        <f>IF(ISBLANK('Encodage données'!H162)=FALSE,1,0)</f>
        <v>0</v>
      </c>
      <c r="H142">
        <f>IF(OR('Encodage données'!H162="Pas de modification",ISBLANK('Encodage données'!I162)=FALSE),1,0)</f>
        <v>0</v>
      </c>
      <c r="I142">
        <f>IF(OR('Encodage données'!H162="Pas de modification",'Encodage données'!H162='Données Giant'!$A$22,'Encodage données'!H162='Données Giant'!$A$9,'Encodage données'!H162='Données Giant'!$A$11,'Encodage données'!H162='Données Giant'!$A$12,ISBLANK('Encodage données'!J162)=FALSE,'Encodage données'!H162='Données Giant'!$A$9,'Encodage données'!H162='Données Giant'!$A$11,'Encodage données'!H162='Données Giant'!$A$12),1,0)</f>
        <v>0</v>
      </c>
      <c r="J142">
        <f>IF('Encodage données'!I162&lt;=_xlfn.XLOOKUP('Encodage données'!H162,'Données Giant'!$A$8:$A$21,'Données Giant'!$C$8:$C$21,-1),1,0)</f>
        <v>0</v>
      </c>
    </row>
    <row r="143" spans="1:10" x14ac:dyDescent="0.25">
      <c r="A143" s="42">
        <v>99</v>
      </c>
      <c r="B143" s="29">
        <f>'Encodage données'!C163</f>
        <v>0</v>
      </c>
      <c r="C143">
        <f>IF(OR(ISBLANK('Encodage données'!C163)=TRUE,AND(OR('Encodage données'!F163='Parois types'!$B$18,'Encodage données'!F163='Parois types'!$B$36),ISBLANK('Encodage données'!G163)=TRUE)),0,1)</f>
        <v>0</v>
      </c>
      <c r="D143">
        <f>IF(ISBLANK('Encodage données'!E163)=TRUE,0,1)</f>
        <v>0</v>
      </c>
      <c r="E143">
        <f>IF(ISBLANK('Encodage données'!F163)=FALSE,1,0)</f>
        <v>0</v>
      </c>
      <c r="F143">
        <f>IF(ISBLANK('Encodage données'!C163)=FALSE,1,0)</f>
        <v>0</v>
      </c>
      <c r="G143">
        <f>IF(ISBLANK('Encodage données'!H163)=FALSE,1,0)</f>
        <v>0</v>
      </c>
      <c r="H143">
        <f>IF(OR('Encodage données'!H163="Pas de modification",ISBLANK('Encodage données'!I163)=FALSE),1,0)</f>
        <v>0</v>
      </c>
      <c r="I143">
        <f>IF(OR('Encodage données'!H163="Pas de modification",'Encodage données'!H163='Données Giant'!$A$22,'Encodage données'!H163='Données Giant'!$A$9,'Encodage données'!H163='Données Giant'!$A$11,'Encodage données'!H163='Données Giant'!$A$12,ISBLANK('Encodage données'!J163)=FALSE,'Encodage données'!H163='Données Giant'!$A$9,'Encodage données'!H163='Données Giant'!$A$11,'Encodage données'!H163='Données Giant'!$A$12),1,0)</f>
        <v>0</v>
      </c>
      <c r="J143">
        <f>IF('Encodage données'!I163&lt;=_xlfn.XLOOKUP('Encodage données'!H163,'Données Giant'!$A$8:$A$21,'Données Giant'!$C$8:$C$21,-1),1,0)</f>
        <v>0</v>
      </c>
    </row>
    <row r="144" spans="1:10" x14ac:dyDescent="0.25">
      <c r="A144" s="42">
        <v>100</v>
      </c>
      <c r="B144" s="29">
        <f>'Encodage données'!C164</f>
        <v>0</v>
      </c>
      <c r="C144">
        <f>IF(OR(ISBLANK('Encodage données'!C164)=TRUE,AND(OR('Encodage données'!F164='Parois types'!$B$18,'Encodage données'!F164='Parois types'!$B$36),ISBLANK('Encodage données'!G164)=TRUE)),0,1)</f>
        <v>0</v>
      </c>
      <c r="D144">
        <f>IF(ISBLANK('Encodage données'!E164)=TRUE,0,1)</f>
        <v>0</v>
      </c>
      <c r="E144">
        <f>IF(ISBLANK('Encodage données'!F164)=FALSE,1,0)</f>
        <v>0</v>
      </c>
      <c r="F144">
        <f>IF(ISBLANK('Encodage données'!C164)=FALSE,1,0)</f>
        <v>0</v>
      </c>
      <c r="G144">
        <f>IF(ISBLANK('Encodage données'!H164)=FALSE,1,0)</f>
        <v>0</v>
      </c>
      <c r="H144">
        <f>IF(OR('Encodage données'!H164="Pas de modification",ISBLANK('Encodage données'!I164)=FALSE),1,0)</f>
        <v>0</v>
      </c>
      <c r="I144">
        <f>IF(OR('Encodage données'!H164="Pas de modification",'Encodage données'!H164='Données Giant'!$A$22,'Encodage données'!H164='Données Giant'!$A$9,'Encodage données'!H164='Données Giant'!$A$11,'Encodage données'!H164='Données Giant'!$A$12,ISBLANK('Encodage données'!J164)=FALSE,'Encodage données'!H164='Données Giant'!$A$9,'Encodage données'!H164='Données Giant'!$A$11,'Encodage données'!H164='Données Giant'!$A$12),1,0)</f>
        <v>0</v>
      </c>
      <c r="J144">
        <f>IF('Encodage données'!I164&lt;=_xlfn.XLOOKUP('Encodage données'!H164,'Données Giant'!$A$8:$A$21,'Données Giant'!$C$8:$C$21,-1),1,0)</f>
        <v>0</v>
      </c>
    </row>
    <row r="145" spans="1:10" x14ac:dyDescent="0.25">
      <c r="A145" s="42">
        <v>101</v>
      </c>
      <c r="B145" s="29">
        <f>'Encodage données'!C165</f>
        <v>0</v>
      </c>
      <c r="C145">
        <f>IF(OR(ISBLANK('Encodage données'!C165)=TRUE,AND(OR('Encodage données'!F165='Parois types'!$B$18,'Encodage données'!F165='Parois types'!$B$36),ISBLANK('Encodage données'!G165)=TRUE)),0,1)</f>
        <v>0</v>
      </c>
      <c r="D145">
        <f>IF(ISBLANK('Encodage données'!E165)=TRUE,0,1)</f>
        <v>0</v>
      </c>
      <c r="E145">
        <f>IF(ISBLANK('Encodage données'!F165)=FALSE,1,0)</f>
        <v>0</v>
      </c>
      <c r="F145">
        <f>IF(ISBLANK('Encodage données'!C165)=FALSE,1,0)</f>
        <v>0</v>
      </c>
      <c r="G145">
        <f>IF(ISBLANK('Encodage données'!H165)=FALSE,1,0)</f>
        <v>0</v>
      </c>
      <c r="H145">
        <f>IF(OR('Encodage données'!H165="Pas de modification",ISBLANK('Encodage données'!I165)=FALSE),1,0)</f>
        <v>0</v>
      </c>
      <c r="I145">
        <f>IF(OR('Encodage données'!H165="Pas de modification",'Encodage données'!H165='Données Giant'!$A$22,'Encodage données'!H165='Données Giant'!$A$9,'Encodage données'!H165='Données Giant'!$A$11,'Encodage données'!H165='Données Giant'!$A$12,ISBLANK('Encodage données'!J165)=FALSE,'Encodage données'!H165='Données Giant'!$A$9,'Encodage données'!H165='Données Giant'!$A$11,'Encodage données'!H165='Données Giant'!$A$12),1,0)</f>
        <v>0</v>
      </c>
      <c r="J145">
        <f>IF('Encodage données'!I165&lt;=_xlfn.XLOOKUP('Encodage données'!H165,'Données Giant'!$A$8:$A$21,'Données Giant'!$C$8:$C$21,-1),1,0)</f>
        <v>0</v>
      </c>
    </row>
    <row r="146" spans="1:10" x14ac:dyDescent="0.25">
      <c r="A146" s="42">
        <v>102</v>
      </c>
      <c r="B146" s="29">
        <f>'Encodage données'!C166</f>
        <v>0</v>
      </c>
      <c r="C146">
        <f>IF(OR(ISBLANK('Encodage données'!C166)=TRUE,AND(OR('Encodage données'!F166='Parois types'!$B$18,'Encodage données'!F166='Parois types'!$B$36),ISBLANK('Encodage données'!G166)=TRUE)),0,1)</f>
        <v>0</v>
      </c>
      <c r="D146">
        <f>IF(ISBLANK('Encodage données'!E166)=TRUE,0,1)</f>
        <v>0</v>
      </c>
      <c r="E146">
        <f>IF(ISBLANK('Encodage données'!F166)=FALSE,1,0)</f>
        <v>0</v>
      </c>
      <c r="F146">
        <f>IF(ISBLANK('Encodage données'!C166)=FALSE,1,0)</f>
        <v>0</v>
      </c>
      <c r="G146">
        <f>IF(ISBLANK('Encodage données'!H166)=FALSE,1,0)</f>
        <v>0</v>
      </c>
      <c r="H146">
        <f>IF(OR('Encodage données'!H166="Pas de modification",ISBLANK('Encodage données'!I166)=FALSE),1,0)</f>
        <v>0</v>
      </c>
      <c r="I146">
        <f>IF(OR('Encodage données'!H166="Pas de modification",'Encodage données'!H166='Données Giant'!$A$22,'Encodage données'!H166='Données Giant'!$A$9,'Encodage données'!H166='Données Giant'!$A$11,'Encodage données'!H166='Données Giant'!$A$12,ISBLANK('Encodage données'!J166)=FALSE,'Encodage données'!H166='Données Giant'!$A$9,'Encodage données'!H166='Données Giant'!$A$11,'Encodage données'!H166='Données Giant'!$A$12),1,0)</f>
        <v>0</v>
      </c>
      <c r="J146">
        <f>IF('Encodage données'!I166&lt;=_xlfn.XLOOKUP('Encodage données'!H166,'Données Giant'!$A$8:$A$21,'Données Giant'!$C$8:$C$21,-1),1,0)</f>
        <v>0</v>
      </c>
    </row>
    <row r="147" spans="1:10" x14ac:dyDescent="0.25">
      <c r="A147" s="42">
        <v>103</v>
      </c>
      <c r="B147" s="29">
        <f>'Encodage données'!C167</f>
        <v>0</v>
      </c>
      <c r="C147">
        <f>IF(OR(ISBLANK('Encodage données'!C167)=TRUE,AND(OR('Encodage données'!F167='Parois types'!$B$18,'Encodage données'!F167='Parois types'!$B$36),ISBLANK('Encodage données'!G167)=TRUE)),0,1)</f>
        <v>0</v>
      </c>
      <c r="D147">
        <f>IF(ISBLANK('Encodage données'!E167)=TRUE,0,1)</f>
        <v>0</v>
      </c>
      <c r="E147">
        <f>IF(ISBLANK('Encodage données'!F167)=FALSE,1,0)</f>
        <v>0</v>
      </c>
      <c r="F147">
        <f>IF(ISBLANK('Encodage données'!C167)=FALSE,1,0)</f>
        <v>0</v>
      </c>
      <c r="G147">
        <f>IF(ISBLANK('Encodage données'!H167)=FALSE,1,0)</f>
        <v>0</v>
      </c>
      <c r="H147">
        <f>IF(OR('Encodage données'!H167="Pas de modification",ISBLANK('Encodage données'!I167)=FALSE),1,0)</f>
        <v>0</v>
      </c>
      <c r="I147">
        <f>IF(OR('Encodage données'!H167="Pas de modification",'Encodage données'!H167='Données Giant'!$A$22,'Encodage données'!H167='Données Giant'!$A$9,'Encodage données'!H167='Données Giant'!$A$11,'Encodage données'!H167='Données Giant'!$A$12,ISBLANK('Encodage données'!J167)=FALSE,'Encodage données'!H167='Données Giant'!$A$9,'Encodage données'!H167='Données Giant'!$A$11,'Encodage données'!H167='Données Giant'!$A$12),1,0)</f>
        <v>0</v>
      </c>
      <c r="J147">
        <f>IF('Encodage données'!I167&lt;=_xlfn.XLOOKUP('Encodage données'!H167,'Données Giant'!$A$8:$A$21,'Données Giant'!$C$8:$C$21,-1),1,0)</f>
        <v>0</v>
      </c>
    </row>
    <row r="148" spans="1:10" x14ac:dyDescent="0.25">
      <c r="A148" s="42">
        <v>104</v>
      </c>
      <c r="B148" s="29">
        <f>'Encodage données'!C168</f>
        <v>0</v>
      </c>
      <c r="C148">
        <f>IF(OR(ISBLANK('Encodage données'!C168)=TRUE,AND(OR('Encodage données'!F168='Parois types'!$B$18,'Encodage données'!F168='Parois types'!$B$36),ISBLANK('Encodage données'!G168)=TRUE)),0,1)</f>
        <v>0</v>
      </c>
      <c r="D148">
        <f>IF(ISBLANK('Encodage données'!E168)=TRUE,0,1)</f>
        <v>0</v>
      </c>
      <c r="E148">
        <f>IF(ISBLANK('Encodage données'!F168)=FALSE,1,0)</f>
        <v>0</v>
      </c>
      <c r="F148">
        <f>IF(ISBLANK('Encodage données'!C168)=FALSE,1,0)</f>
        <v>0</v>
      </c>
      <c r="G148">
        <f>IF(ISBLANK('Encodage données'!H168)=FALSE,1,0)</f>
        <v>0</v>
      </c>
      <c r="H148">
        <f>IF(OR('Encodage données'!H168="Pas de modification",ISBLANK('Encodage données'!I168)=FALSE),1,0)</f>
        <v>0</v>
      </c>
      <c r="I148">
        <f>IF(OR('Encodage données'!H168="Pas de modification",'Encodage données'!H168='Données Giant'!$A$22,'Encodage données'!H168='Données Giant'!$A$9,'Encodage données'!H168='Données Giant'!$A$11,'Encodage données'!H168='Données Giant'!$A$12,ISBLANK('Encodage données'!J168)=FALSE,'Encodage données'!H168='Données Giant'!$A$9,'Encodage données'!H168='Données Giant'!$A$11,'Encodage données'!H168='Données Giant'!$A$12),1,0)</f>
        <v>0</v>
      </c>
      <c r="J148">
        <f>IF('Encodage données'!I168&lt;=_xlfn.XLOOKUP('Encodage données'!H168,'Données Giant'!$A$8:$A$21,'Données Giant'!$C$8:$C$21,-1),1,0)</f>
        <v>0</v>
      </c>
    </row>
    <row r="149" spans="1:10" x14ac:dyDescent="0.25">
      <c r="A149" s="42">
        <v>105</v>
      </c>
      <c r="B149" s="29">
        <f>'Encodage données'!C169</f>
        <v>0</v>
      </c>
      <c r="C149">
        <f>IF(OR(ISBLANK('Encodage données'!C169)=TRUE,AND(OR('Encodage données'!F169='Parois types'!$B$18,'Encodage données'!F169='Parois types'!$B$36),ISBLANK('Encodage données'!G169)=TRUE)),0,1)</f>
        <v>0</v>
      </c>
      <c r="D149">
        <f>IF(ISBLANK('Encodage données'!E169)=TRUE,0,1)</f>
        <v>0</v>
      </c>
      <c r="E149">
        <f>IF(ISBLANK('Encodage données'!F169)=FALSE,1,0)</f>
        <v>0</v>
      </c>
      <c r="F149">
        <f>IF(ISBLANK('Encodage données'!C169)=FALSE,1,0)</f>
        <v>0</v>
      </c>
      <c r="G149">
        <f>IF(ISBLANK('Encodage données'!H169)=FALSE,1,0)</f>
        <v>0</v>
      </c>
      <c r="H149">
        <f>IF(OR('Encodage données'!H169="Pas de modification",ISBLANK('Encodage données'!I169)=FALSE),1,0)</f>
        <v>0</v>
      </c>
      <c r="I149">
        <f>IF(OR('Encodage données'!H169="Pas de modification",'Encodage données'!H169='Données Giant'!$A$22,'Encodage données'!H169='Données Giant'!$A$9,'Encodage données'!H169='Données Giant'!$A$11,'Encodage données'!H169='Données Giant'!$A$12,ISBLANK('Encodage données'!J169)=FALSE,'Encodage données'!H169='Données Giant'!$A$9,'Encodage données'!H169='Données Giant'!$A$11,'Encodage données'!H169='Données Giant'!$A$12),1,0)</f>
        <v>0</v>
      </c>
      <c r="J149">
        <f>IF('Encodage données'!I169&lt;=_xlfn.XLOOKUP('Encodage données'!H169,'Données Giant'!$A$8:$A$21,'Données Giant'!$C$8:$C$21,-1),1,0)</f>
        <v>0</v>
      </c>
    </row>
    <row r="150" spans="1:10" x14ac:dyDescent="0.25">
      <c r="A150" s="42">
        <v>106</v>
      </c>
      <c r="B150" s="29">
        <f>'Encodage données'!C170</f>
        <v>0</v>
      </c>
      <c r="C150">
        <f>IF(OR(ISBLANK('Encodage données'!C170)=TRUE,AND(OR('Encodage données'!F170='Parois types'!$B$18,'Encodage données'!F170='Parois types'!$B$36),ISBLANK('Encodage données'!G170)=TRUE)),0,1)</f>
        <v>0</v>
      </c>
      <c r="D150">
        <f>IF(ISBLANK('Encodage données'!E170)=TRUE,0,1)</f>
        <v>0</v>
      </c>
      <c r="E150">
        <f>IF(ISBLANK('Encodage données'!F170)=FALSE,1,0)</f>
        <v>0</v>
      </c>
      <c r="F150">
        <f>IF(ISBLANK('Encodage données'!C170)=FALSE,1,0)</f>
        <v>0</v>
      </c>
      <c r="G150">
        <f>IF(ISBLANK('Encodage données'!H170)=FALSE,1,0)</f>
        <v>0</v>
      </c>
      <c r="H150">
        <f>IF(OR('Encodage données'!H170="Pas de modification",ISBLANK('Encodage données'!I170)=FALSE),1,0)</f>
        <v>0</v>
      </c>
      <c r="I150">
        <f>IF(OR('Encodage données'!H170="Pas de modification",'Encodage données'!H170='Données Giant'!$A$22,'Encodage données'!H170='Données Giant'!$A$9,'Encodage données'!H170='Données Giant'!$A$11,'Encodage données'!H170='Données Giant'!$A$12,ISBLANK('Encodage données'!J170)=FALSE,'Encodage données'!H170='Données Giant'!$A$9,'Encodage données'!H170='Données Giant'!$A$11,'Encodage données'!H170='Données Giant'!$A$12),1,0)</f>
        <v>0</v>
      </c>
      <c r="J150">
        <f>IF('Encodage données'!I170&lt;=_xlfn.XLOOKUP('Encodage données'!H170,'Données Giant'!$A$8:$A$21,'Données Giant'!$C$8:$C$21,-1),1,0)</f>
        <v>0</v>
      </c>
    </row>
    <row r="151" spans="1:10" x14ac:dyDescent="0.25">
      <c r="A151" s="42">
        <v>107</v>
      </c>
      <c r="B151" s="29">
        <f>'Encodage données'!C171</f>
        <v>0</v>
      </c>
      <c r="C151">
        <f>IF(OR(ISBLANK('Encodage données'!C171)=TRUE,AND(OR('Encodage données'!F171='Parois types'!$B$18,'Encodage données'!F171='Parois types'!$B$36),ISBLANK('Encodage données'!G171)=TRUE)),0,1)</f>
        <v>0</v>
      </c>
      <c r="D151">
        <f>IF(ISBLANK('Encodage données'!E171)=TRUE,0,1)</f>
        <v>0</v>
      </c>
      <c r="E151">
        <f>IF(ISBLANK('Encodage données'!F171)=FALSE,1,0)</f>
        <v>0</v>
      </c>
      <c r="F151">
        <f>IF(ISBLANK('Encodage données'!C171)=FALSE,1,0)</f>
        <v>0</v>
      </c>
      <c r="G151">
        <f>IF(ISBLANK('Encodage données'!H171)=FALSE,1,0)</f>
        <v>0</v>
      </c>
      <c r="H151">
        <f>IF(OR('Encodage données'!H171="Pas de modification",ISBLANK('Encodage données'!I171)=FALSE),1,0)</f>
        <v>0</v>
      </c>
      <c r="I151">
        <f>IF(OR('Encodage données'!H171="Pas de modification",'Encodage données'!H171='Données Giant'!$A$22,'Encodage données'!H171='Données Giant'!$A$9,'Encodage données'!H171='Données Giant'!$A$11,'Encodage données'!H171='Données Giant'!$A$12,ISBLANK('Encodage données'!J171)=FALSE,'Encodage données'!H171='Données Giant'!$A$9,'Encodage données'!H171='Données Giant'!$A$11,'Encodage données'!H171='Données Giant'!$A$12),1,0)</f>
        <v>0</v>
      </c>
      <c r="J151">
        <f>IF('Encodage données'!I171&lt;=_xlfn.XLOOKUP('Encodage données'!H171,'Données Giant'!$A$8:$A$21,'Données Giant'!$C$8:$C$21,-1),1,0)</f>
        <v>0</v>
      </c>
    </row>
    <row r="152" spans="1:10" x14ac:dyDescent="0.25">
      <c r="A152" s="42">
        <v>108</v>
      </c>
      <c r="B152" s="29">
        <f>'Encodage données'!C172</f>
        <v>0</v>
      </c>
      <c r="C152">
        <f>IF(OR(ISBLANK('Encodage données'!C172)=TRUE,AND(OR('Encodage données'!F172='Parois types'!$B$18,'Encodage données'!F172='Parois types'!$B$36),ISBLANK('Encodage données'!G172)=TRUE)),0,1)</f>
        <v>0</v>
      </c>
      <c r="D152">
        <f>IF(ISBLANK('Encodage données'!E172)=TRUE,0,1)</f>
        <v>0</v>
      </c>
      <c r="E152">
        <f>IF(ISBLANK('Encodage données'!F172)=FALSE,1,0)</f>
        <v>0</v>
      </c>
      <c r="F152">
        <f>IF(ISBLANK('Encodage données'!C172)=FALSE,1,0)</f>
        <v>0</v>
      </c>
      <c r="G152">
        <f>IF(ISBLANK('Encodage données'!H172)=FALSE,1,0)</f>
        <v>0</v>
      </c>
      <c r="H152">
        <f>IF(OR('Encodage données'!H172="Pas de modification",ISBLANK('Encodage données'!I172)=FALSE),1,0)</f>
        <v>0</v>
      </c>
      <c r="I152">
        <f>IF(OR('Encodage données'!H172="Pas de modification",'Encodage données'!H172='Données Giant'!$A$22,'Encodage données'!H172='Données Giant'!$A$9,'Encodage données'!H172='Données Giant'!$A$11,'Encodage données'!H172='Données Giant'!$A$12,ISBLANK('Encodage données'!J172)=FALSE,'Encodage données'!H172='Données Giant'!$A$9,'Encodage données'!H172='Données Giant'!$A$11,'Encodage données'!H172='Données Giant'!$A$12),1,0)</f>
        <v>0</v>
      </c>
      <c r="J152">
        <f>IF('Encodage données'!I172&lt;=_xlfn.XLOOKUP('Encodage données'!H172,'Données Giant'!$A$8:$A$21,'Données Giant'!$C$8:$C$21,-1),1,0)</f>
        <v>0</v>
      </c>
    </row>
    <row r="153" spans="1:10" x14ac:dyDescent="0.25">
      <c r="A153" s="42">
        <v>109</v>
      </c>
      <c r="B153" s="29">
        <f>'Encodage données'!C173</f>
        <v>0</v>
      </c>
      <c r="C153">
        <f>IF(OR(ISBLANK('Encodage données'!C173)=TRUE,AND(OR('Encodage données'!F173='Parois types'!$B$18,'Encodage données'!F173='Parois types'!$B$36),ISBLANK('Encodage données'!G173)=TRUE)),0,1)</f>
        <v>0</v>
      </c>
      <c r="D153">
        <f>IF(ISBLANK('Encodage données'!E173)=TRUE,0,1)</f>
        <v>0</v>
      </c>
      <c r="E153">
        <f>IF(ISBLANK('Encodage données'!F173)=FALSE,1,0)</f>
        <v>0</v>
      </c>
      <c r="F153">
        <f>IF(ISBLANK('Encodage données'!C173)=FALSE,1,0)</f>
        <v>0</v>
      </c>
      <c r="G153">
        <f>IF(ISBLANK('Encodage données'!H173)=FALSE,1,0)</f>
        <v>0</v>
      </c>
      <c r="H153">
        <f>IF(OR('Encodage données'!H173="Pas de modification",ISBLANK('Encodage données'!I173)=FALSE),1,0)</f>
        <v>0</v>
      </c>
      <c r="I153">
        <f>IF(OR('Encodage données'!H173="Pas de modification",'Encodage données'!H173='Données Giant'!$A$22,'Encodage données'!H173='Données Giant'!$A$9,'Encodage données'!H173='Données Giant'!$A$11,'Encodage données'!H173='Données Giant'!$A$12,ISBLANK('Encodage données'!J173)=FALSE,'Encodage données'!H173='Données Giant'!$A$9,'Encodage données'!H173='Données Giant'!$A$11,'Encodage données'!H173='Données Giant'!$A$12),1,0)</f>
        <v>0</v>
      </c>
      <c r="J153">
        <f>IF('Encodage données'!I173&lt;=_xlfn.XLOOKUP('Encodage données'!H173,'Données Giant'!$A$8:$A$21,'Données Giant'!$C$8:$C$21,-1),1,0)</f>
        <v>0</v>
      </c>
    </row>
    <row r="154" spans="1:10" x14ac:dyDescent="0.25">
      <c r="A154" s="42">
        <v>110</v>
      </c>
      <c r="B154" s="29">
        <f>'Encodage données'!C174</f>
        <v>0</v>
      </c>
      <c r="C154">
        <f>IF(OR(ISBLANK('Encodage données'!C174)=TRUE,AND(OR('Encodage données'!F174='Parois types'!$B$18,'Encodage données'!F174='Parois types'!$B$36),ISBLANK('Encodage données'!G174)=TRUE)),0,1)</f>
        <v>0</v>
      </c>
      <c r="D154">
        <f>IF(ISBLANK('Encodage données'!E174)=TRUE,0,1)</f>
        <v>0</v>
      </c>
      <c r="E154">
        <f>IF(ISBLANK('Encodage données'!F174)=FALSE,1,0)</f>
        <v>0</v>
      </c>
      <c r="F154">
        <f>IF(ISBLANK('Encodage données'!C174)=FALSE,1,0)</f>
        <v>0</v>
      </c>
      <c r="G154">
        <f>IF(ISBLANK('Encodage données'!H174)=FALSE,1,0)</f>
        <v>0</v>
      </c>
      <c r="H154">
        <f>IF(OR('Encodage données'!H174="Pas de modification",ISBLANK('Encodage données'!I174)=FALSE),1,0)</f>
        <v>0</v>
      </c>
      <c r="I154">
        <f>IF(OR('Encodage données'!H174="Pas de modification",'Encodage données'!H174='Données Giant'!$A$22,'Encodage données'!H174='Données Giant'!$A$9,'Encodage données'!H174='Données Giant'!$A$11,'Encodage données'!H174='Données Giant'!$A$12,ISBLANK('Encodage données'!J174)=FALSE,'Encodage données'!H174='Données Giant'!$A$9,'Encodage données'!H174='Données Giant'!$A$11,'Encodage données'!H174='Données Giant'!$A$12),1,0)</f>
        <v>0</v>
      </c>
      <c r="J154">
        <f>IF('Encodage données'!I174&lt;=_xlfn.XLOOKUP('Encodage données'!H174,'Données Giant'!$A$8:$A$21,'Données Giant'!$C$8:$C$21,-1),1,0)</f>
        <v>0</v>
      </c>
    </row>
    <row r="155" spans="1:10" x14ac:dyDescent="0.25">
      <c r="A155" s="42">
        <v>111</v>
      </c>
      <c r="B155" s="29">
        <f>'Encodage données'!C175</f>
        <v>0</v>
      </c>
      <c r="C155">
        <f>IF(OR(ISBLANK('Encodage données'!C175)=TRUE,AND(OR('Encodage données'!F175='Parois types'!$B$18,'Encodage données'!F175='Parois types'!$B$36),ISBLANK('Encodage données'!G175)=TRUE)),0,1)</f>
        <v>0</v>
      </c>
      <c r="D155">
        <f>IF(ISBLANK('Encodage données'!E175)=TRUE,0,1)</f>
        <v>0</v>
      </c>
      <c r="E155">
        <f>IF(ISBLANK('Encodage données'!F175)=FALSE,1,0)</f>
        <v>0</v>
      </c>
      <c r="F155">
        <f>IF(ISBLANK('Encodage données'!C175)=FALSE,1,0)</f>
        <v>0</v>
      </c>
      <c r="G155">
        <f>IF(ISBLANK('Encodage données'!H175)=FALSE,1,0)</f>
        <v>0</v>
      </c>
      <c r="H155">
        <f>IF(OR('Encodage données'!H175="Pas de modification",ISBLANK('Encodage données'!I175)=FALSE),1,0)</f>
        <v>0</v>
      </c>
      <c r="I155">
        <f>IF(OR('Encodage données'!H175="Pas de modification",'Encodage données'!H175='Données Giant'!$A$22,'Encodage données'!H175='Données Giant'!$A$9,'Encodage données'!H175='Données Giant'!$A$11,'Encodage données'!H175='Données Giant'!$A$12,ISBLANK('Encodage données'!J175)=FALSE,'Encodage données'!H175='Données Giant'!$A$9,'Encodage données'!H175='Données Giant'!$A$11,'Encodage données'!H175='Données Giant'!$A$12),1,0)</f>
        <v>0</v>
      </c>
      <c r="J155">
        <f>IF('Encodage données'!I175&lt;=_xlfn.XLOOKUP('Encodage données'!H175,'Données Giant'!$A$8:$A$21,'Données Giant'!$C$8:$C$21,-1),1,0)</f>
        <v>0</v>
      </c>
    </row>
    <row r="156" spans="1:10" x14ac:dyDescent="0.25">
      <c r="A156" s="42">
        <v>112</v>
      </c>
      <c r="B156" s="29">
        <f>'Encodage données'!C176</f>
        <v>0</v>
      </c>
      <c r="C156">
        <f>IF(OR(ISBLANK('Encodage données'!C176)=TRUE,AND(OR('Encodage données'!F176='Parois types'!$B$18,'Encodage données'!F176='Parois types'!$B$36),ISBLANK('Encodage données'!G176)=TRUE)),0,1)</f>
        <v>0</v>
      </c>
      <c r="D156">
        <f>IF(ISBLANK('Encodage données'!E176)=TRUE,0,1)</f>
        <v>0</v>
      </c>
      <c r="E156">
        <f>IF(ISBLANK('Encodage données'!F176)=FALSE,1,0)</f>
        <v>0</v>
      </c>
      <c r="F156">
        <f>IF(ISBLANK('Encodage données'!C176)=FALSE,1,0)</f>
        <v>0</v>
      </c>
      <c r="G156">
        <f>IF(ISBLANK('Encodage données'!H176)=FALSE,1,0)</f>
        <v>0</v>
      </c>
      <c r="H156">
        <f>IF(OR('Encodage données'!H176="Pas de modification",ISBLANK('Encodage données'!I176)=FALSE),1,0)</f>
        <v>0</v>
      </c>
      <c r="I156">
        <f>IF(OR('Encodage données'!H176="Pas de modification",'Encodage données'!H176='Données Giant'!$A$22,'Encodage données'!H176='Données Giant'!$A$9,'Encodage données'!H176='Données Giant'!$A$11,'Encodage données'!H176='Données Giant'!$A$12,ISBLANK('Encodage données'!J176)=FALSE,'Encodage données'!H176='Données Giant'!$A$9,'Encodage données'!H176='Données Giant'!$A$11,'Encodage données'!H176='Données Giant'!$A$12),1,0)</f>
        <v>0</v>
      </c>
      <c r="J156">
        <f>IF('Encodage données'!I176&lt;=_xlfn.XLOOKUP('Encodage données'!H176,'Données Giant'!$A$8:$A$21,'Données Giant'!$C$8:$C$21,-1),1,0)</f>
        <v>0</v>
      </c>
    </row>
    <row r="157" spans="1:10" x14ac:dyDescent="0.25">
      <c r="A157" s="42">
        <v>113</v>
      </c>
      <c r="B157" s="29">
        <f>'Encodage données'!C177</f>
        <v>0</v>
      </c>
      <c r="C157">
        <f>IF(OR(ISBLANK('Encodage données'!C177)=TRUE,AND(OR('Encodage données'!F177='Parois types'!$B$18,'Encodage données'!F177='Parois types'!$B$36),ISBLANK('Encodage données'!G177)=TRUE)),0,1)</f>
        <v>0</v>
      </c>
      <c r="D157">
        <f>IF(ISBLANK('Encodage données'!E177)=TRUE,0,1)</f>
        <v>0</v>
      </c>
      <c r="E157">
        <f>IF(ISBLANK('Encodage données'!F177)=FALSE,1,0)</f>
        <v>0</v>
      </c>
      <c r="F157">
        <f>IF(ISBLANK('Encodage données'!C177)=FALSE,1,0)</f>
        <v>0</v>
      </c>
      <c r="G157">
        <f>IF(ISBLANK('Encodage données'!H177)=FALSE,1,0)</f>
        <v>0</v>
      </c>
      <c r="H157">
        <f>IF(OR('Encodage données'!H177="Pas de modification",ISBLANK('Encodage données'!I177)=FALSE),1,0)</f>
        <v>0</v>
      </c>
      <c r="I157">
        <f>IF(OR('Encodage données'!H177="Pas de modification",'Encodage données'!H177='Données Giant'!$A$22,'Encodage données'!H177='Données Giant'!$A$9,'Encodage données'!H177='Données Giant'!$A$11,'Encodage données'!H177='Données Giant'!$A$12,ISBLANK('Encodage données'!J177)=FALSE,'Encodage données'!H177='Données Giant'!$A$9,'Encodage données'!H177='Données Giant'!$A$11,'Encodage données'!H177='Données Giant'!$A$12),1,0)</f>
        <v>0</v>
      </c>
      <c r="J157">
        <f>IF('Encodage données'!I177&lt;=_xlfn.XLOOKUP('Encodage données'!H177,'Données Giant'!$A$8:$A$21,'Données Giant'!$C$8:$C$21,-1),1,0)</f>
        <v>0</v>
      </c>
    </row>
    <row r="158" spans="1:10" x14ac:dyDescent="0.25">
      <c r="A158" s="42">
        <v>114</v>
      </c>
      <c r="B158" s="29">
        <f>'Encodage données'!C178</f>
        <v>0</v>
      </c>
      <c r="C158">
        <f>IF(OR(ISBLANK('Encodage données'!C178)=TRUE,AND(OR('Encodage données'!F178='Parois types'!$B$18,'Encodage données'!F178='Parois types'!$B$36),ISBLANK('Encodage données'!G178)=TRUE)),0,1)</f>
        <v>0</v>
      </c>
      <c r="D158">
        <f>IF(ISBLANK('Encodage données'!E178)=TRUE,0,1)</f>
        <v>0</v>
      </c>
      <c r="E158">
        <f>IF(ISBLANK('Encodage données'!F178)=FALSE,1,0)</f>
        <v>0</v>
      </c>
      <c r="F158">
        <f>IF(ISBLANK('Encodage données'!C178)=FALSE,1,0)</f>
        <v>0</v>
      </c>
      <c r="G158">
        <f>IF(ISBLANK('Encodage données'!H178)=FALSE,1,0)</f>
        <v>0</v>
      </c>
      <c r="H158">
        <f>IF(OR('Encodage données'!H178="Pas de modification",ISBLANK('Encodage données'!I178)=FALSE),1,0)</f>
        <v>0</v>
      </c>
      <c r="I158">
        <f>IF(OR('Encodage données'!H178="Pas de modification",'Encodage données'!H178='Données Giant'!$A$22,'Encodage données'!H178='Données Giant'!$A$9,'Encodage données'!H178='Données Giant'!$A$11,'Encodage données'!H178='Données Giant'!$A$12,ISBLANK('Encodage données'!J178)=FALSE,'Encodage données'!H178='Données Giant'!$A$9,'Encodage données'!H178='Données Giant'!$A$11,'Encodage données'!H178='Données Giant'!$A$12),1,0)</f>
        <v>0</v>
      </c>
      <c r="J158">
        <f>IF('Encodage données'!I178&lt;=_xlfn.XLOOKUP('Encodage données'!H178,'Données Giant'!$A$8:$A$21,'Données Giant'!$C$8:$C$21,-1),1,0)</f>
        <v>0</v>
      </c>
    </row>
    <row r="159" spans="1:10" x14ac:dyDescent="0.25">
      <c r="A159" s="42">
        <v>115</v>
      </c>
      <c r="B159" s="29">
        <f>'Encodage données'!C179</f>
        <v>0</v>
      </c>
      <c r="C159">
        <f>IF(OR(ISBLANK('Encodage données'!C179)=TRUE,AND(OR('Encodage données'!F179='Parois types'!$B$18,'Encodage données'!F179='Parois types'!$B$36),ISBLANK('Encodage données'!G179)=TRUE)),0,1)</f>
        <v>0</v>
      </c>
      <c r="D159">
        <f>IF(ISBLANK('Encodage données'!E179)=TRUE,0,1)</f>
        <v>0</v>
      </c>
      <c r="E159">
        <f>IF(ISBLANK('Encodage données'!F179)=FALSE,1,0)</f>
        <v>0</v>
      </c>
      <c r="F159">
        <f>IF(ISBLANK('Encodage données'!C179)=FALSE,1,0)</f>
        <v>0</v>
      </c>
      <c r="G159">
        <f>IF(ISBLANK('Encodage données'!H179)=FALSE,1,0)</f>
        <v>0</v>
      </c>
      <c r="H159">
        <f>IF(OR('Encodage données'!H179="Pas de modification",ISBLANK('Encodage données'!I179)=FALSE),1,0)</f>
        <v>0</v>
      </c>
      <c r="I159">
        <f>IF(OR('Encodage données'!H179="Pas de modification",'Encodage données'!H179='Données Giant'!$A$22,'Encodage données'!H179='Données Giant'!$A$9,'Encodage données'!H179='Données Giant'!$A$11,'Encodage données'!H179='Données Giant'!$A$12,ISBLANK('Encodage données'!J179)=FALSE,'Encodage données'!H179='Données Giant'!$A$9,'Encodage données'!H179='Données Giant'!$A$11,'Encodage données'!H179='Données Giant'!$A$12),1,0)</f>
        <v>0</v>
      </c>
      <c r="J159">
        <f>IF('Encodage données'!I179&lt;=_xlfn.XLOOKUP('Encodage données'!H179,'Données Giant'!$A$8:$A$21,'Données Giant'!$C$8:$C$21,-1),1,0)</f>
        <v>0</v>
      </c>
    </row>
    <row r="160" spans="1:10" x14ac:dyDescent="0.25">
      <c r="A160" s="42">
        <v>116</v>
      </c>
      <c r="B160" s="29">
        <f>'Encodage données'!C180</f>
        <v>0</v>
      </c>
      <c r="C160">
        <f>IF(OR(ISBLANK('Encodage données'!C180)=TRUE,AND(OR('Encodage données'!F180='Parois types'!$B$18,'Encodage données'!F180='Parois types'!$B$36),ISBLANK('Encodage données'!G180)=TRUE)),0,1)</f>
        <v>0</v>
      </c>
      <c r="D160">
        <f>IF(ISBLANK('Encodage données'!E180)=TRUE,0,1)</f>
        <v>0</v>
      </c>
      <c r="E160">
        <f>IF(ISBLANK('Encodage données'!F180)=FALSE,1,0)</f>
        <v>0</v>
      </c>
      <c r="F160">
        <f>IF(ISBLANK('Encodage données'!C180)=FALSE,1,0)</f>
        <v>0</v>
      </c>
      <c r="G160">
        <f>IF(ISBLANK('Encodage données'!H180)=FALSE,1,0)</f>
        <v>0</v>
      </c>
      <c r="H160">
        <f>IF(OR('Encodage données'!H180="Pas de modification",ISBLANK('Encodage données'!I180)=FALSE),1,0)</f>
        <v>0</v>
      </c>
      <c r="I160">
        <f>IF(OR('Encodage données'!H180="Pas de modification",'Encodage données'!H180='Données Giant'!$A$22,'Encodage données'!H180='Données Giant'!$A$9,'Encodage données'!H180='Données Giant'!$A$11,'Encodage données'!H180='Données Giant'!$A$12,ISBLANK('Encodage données'!J180)=FALSE,'Encodage données'!H180='Données Giant'!$A$9,'Encodage données'!H180='Données Giant'!$A$11,'Encodage données'!H180='Données Giant'!$A$12),1,0)</f>
        <v>0</v>
      </c>
      <c r="J160">
        <f>IF('Encodage données'!I180&lt;=_xlfn.XLOOKUP('Encodage données'!H180,'Données Giant'!$A$8:$A$21,'Données Giant'!$C$8:$C$21,-1),1,0)</f>
        <v>0</v>
      </c>
    </row>
    <row r="161" spans="1:10" x14ac:dyDescent="0.25">
      <c r="A161" s="42">
        <v>117</v>
      </c>
      <c r="B161" s="29">
        <f>'Encodage données'!C181</f>
        <v>0</v>
      </c>
      <c r="C161">
        <f>IF(OR(ISBLANK('Encodage données'!C181)=TRUE,AND(OR('Encodage données'!F181='Parois types'!$B$18,'Encodage données'!F181='Parois types'!$B$36),ISBLANK('Encodage données'!G181)=TRUE)),0,1)</f>
        <v>0</v>
      </c>
      <c r="D161">
        <f>IF(ISBLANK('Encodage données'!E181)=TRUE,0,1)</f>
        <v>0</v>
      </c>
      <c r="E161">
        <f>IF(ISBLANK('Encodage données'!F181)=FALSE,1,0)</f>
        <v>0</v>
      </c>
      <c r="F161">
        <f>IF(ISBLANK('Encodage données'!C181)=FALSE,1,0)</f>
        <v>0</v>
      </c>
      <c r="G161">
        <f>IF(ISBLANK('Encodage données'!H181)=FALSE,1,0)</f>
        <v>0</v>
      </c>
      <c r="H161">
        <f>IF(OR('Encodage données'!H181="Pas de modification",ISBLANK('Encodage données'!I181)=FALSE),1,0)</f>
        <v>0</v>
      </c>
      <c r="I161">
        <f>IF(OR('Encodage données'!H181="Pas de modification",'Encodage données'!H181='Données Giant'!$A$22,'Encodage données'!H181='Données Giant'!$A$9,'Encodage données'!H181='Données Giant'!$A$11,'Encodage données'!H181='Données Giant'!$A$12,ISBLANK('Encodage données'!J181)=FALSE,'Encodage données'!H181='Données Giant'!$A$9,'Encodage données'!H181='Données Giant'!$A$11,'Encodage données'!H181='Données Giant'!$A$12),1,0)</f>
        <v>0</v>
      </c>
      <c r="J161">
        <f>IF('Encodage données'!I181&lt;=_xlfn.XLOOKUP('Encodage données'!H181,'Données Giant'!$A$8:$A$21,'Données Giant'!$C$8:$C$21,-1),1,0)</f>
        <v>0</v>
      </c>
    </row>
    <row r="162" spans="1:10" x14ac:dyDescent="0.25">
      <c r="A162" s="42">
        <v>118</v>
      </c>
      <c r="B162" s="29">
        <f>'Encodage données'!C182</f>
        <v>0</v>
      </c>
      <c r="C162">
        <f>IF(OR(ISBLANK('Encodage données'!C182)=TRUE,AND(OR('Encodage données'!F182='Parois types'!$B$18,'Encodage données'!F182='Parois types'!$B$36),ISBLANK('Encodage données'!G182)=TRUE)),0,1)</f>
        <v>0</v>
      </c>
      <c r="D162">
        <f>IF(ISBLANK('Encodage données'!E182)=TRUE,0,1)</f>
        <v>0</v>
      </c>
      <c r="E162">
        <f>IF(ISBLANK('Encodage données'!F182)=FALSE,1,0)</f>
        <v>0</v>
      </c>
      <c r="F162">
        <f>IF(ISBLANK('Encodage données'!C182)=FALSE,1,0)</f>
        <v>0</v>
      </c>
      <c r="G162">
        <f>IF(ISBLANK('Encodage données'!H182)=FALSE,1,0)</f>
        <v>0</v>
      </c>
      <c r="H162">
        <f>IF(OR('Encodage données'!H182="Pas de modification",ISBLANK('Encodage données'!I182)=FALSE),1,0)</f>
        <v>0</v>
      </c>
      <c r="I162">
        <f>IF(OR('Encodage données'!H182="Pas de modification",'Encodage données'!H182='Données Giant'!$A$22,'Encodage données'!H182='Données Giant'!$A$9,'Encodage données'!H182='Données Giant'!$A$11,'Encodage données'!H182='Données Giant'!$A$12,ISBLANK('Encodage données'!J182)=FALSE,'Encodage données'!H182='Données Giant'!$A$9,'Encodage données'!H182='Données Giant'!$A$11,'Encodage données'!H182='Données Giant'!$A$12),1,0)</f>
        <v>0</v>
      </c>
      <c r="J162">
        <f>IF('Encodage données'!I182&lt;=_xlfn.XLOOKUP('Encodage données'!H182,'Données Giant'!$A$8:$A$21,'Données Giant'!$C$8:$C$21,-1),1,0)</f>
        <v>0</v>
      </c>
    </row>
  </sheetData>
  <sheetProtection algorithmName="SHA-512" hashValue="rA8QUmgHPzoXxjhxSEZbIqzhUBHTzITDU1qiukusfiFMbwpCLF+zqVpbPH5mW3OK2kTLV3gWiAkyZPduPr0q8w==" saltValue="qFyv8bEk2hOEoy20pNap3Q==" spinCount="100000" sheet="1" selectLockedCells="1" selectUnlockedCell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D58FF-5657-4633-BD88-910C415B5F50}">
  <sheetPr codeName="Feuil9">
    <tabColor theme="7"/>
  </sheetPr>
  <dimension ref="A1:J141"/>
  <sheetViews>
    <sheetView workbookViewId="0"/>
  </sheetViews>
  <sheetFormatPr baseColWidth="10" defaultColWidth="11.44140625" defaultRowHeight="13.2" x14ac:dyDescent="0.25"/>
  <cols>
    <col min="1" max="1" width="35.6640625" bestFit="1" customWidth="1"/>
    <col min="2" max="2" width="13.5546875" bestFit="1" customWidth="1"/>
    <col min="3" max="3" width="31.88671875" customWidth="1"/>
    <col min="4" max="4" width="14.5546875" customWidth="1"/>
    <col min="5" max="5" width="15.88671875" customWidth="1"/>
  </cols>
  <sheetData>
    <row r="1" spans="1:10" x14ac:dyDescent="0.25">
      <c r="A1" t="s">
        <v>198</v>
      </c>
      <c r="B1" s="71" t="s">
        <v>199</v>
      </c>
      <c r="C1" s="71" t="s">
        <v>200</v>
      </c>
      <c r="D1" s="71" t="s">
        <v>201</v>
      </c>
      <c r="E1" s="71" t="s">
        <v>202</v>
      </c>
      <c r="G1" s="213"/>
      <c r="H1" s="5"/>
      <c r="I1" s="5"/>
      <c r="J1" s="5"/>
    </row>
    <row r="2" spans="1:10" x14ac:dyDescent="0.25">
      <c r="A2" t="s">
        <v>203</v>
      </c>
      <c r="B2">
        <v>24</v>
      </c>
      <c r="C2">
        <v>0</v>
      </c>
      <c r="D2">
        <v>100</v>
      </c>
      <c r="E2">
        <v>4</v>
      </c>
      <c r="G2" s="5"/>
      <c r="H2" s="5"/>
      <c r="I2" s="5"/>
      <c r="J2" s="5"/>
    </row>
    <row r="3" spans="1:10" x14ac:dyDescent="0.25">
      <c r="A3" t="s">
        <v>204</v>
      </c>
      <c r="B3">
        <v>21</v>
      </c>
      <c r="C3">
        <v>3</v>
      </c>
      <c r="D3">
        <v>100</v>
      </c>
      <c r="E3">
        <v>3</v>
      </c>
      <c r="G3" s="5"/>
      <c r="H3" s="5"/>
      <c r="I3" s="5"/>
      <c r="J3" s="5"/>
    </row>
    <row r="4" spans="1:10" x14ac:dyDescent="0.25">
      <c r="A4" t="s">
        <v>205</v>
      </c>
      <c r="B4">
        <v>20</v>
      </c>
      <c r="C4">
        <v>2</v>
      </c>
      <c r="D4">
        <v>100</v>
      </c>
      <c r="E4">
        <v>2</v>
      </c>
      <c r="G4" s="5"/>
      <c r="H4" s="5"/>
      <c r="I4" s="5"/>
      <c r="J4" s="5"/>
    </row>
    <row r="5" spans="1:10" x14ac:dyDescent="0.25">
      <c r="A5" t="s">
        <v>206</v>
      </c>
      <c r="B5">
        <v>20</v>
      </c>
      <c r="C5">
        <v>6</v>
      </c>
      <c r="D5">
        <v>100</v>
      </c>
      <c r="E5">
        <v>1</v>
      </c>
    </row>
    <row r="6" spans="1:10" x14ac:dyDescent="0.25">
      <c r="A6" s="71" t="s">
        <v>207</v>
      </c>
      <c r="B6">
        <v>17</v>
      </c>
      <c r="C6">
        <v>4</v>
      </c>
      <c r="D6">
        <v>300</v>
      </c>
      <c r="E6">
        <v>1</v>
      </c>
    </row>
    <row r="7" spans="1:10" x14ac:dyDescent="0.25">
      <c r="A7" s="71" t="s">
        <v>3160</v>
      </c>
      <c r="B7">
        <v>17</v>
      </c>
      <c r="C7">
        <v>4</v>
      </c>
      <c r="D7">
        <v>100</v>
      </c>
      <c r="E7">
        <v>1</v>
      </c>
    </row>
    <row r="8" spans="1:10" x14ac:dyDescent="0.25">
      <c r="A8" t="s">
        <v>3161</v>
      </c>
      <c r="B8">
        <v>20</v>
      </c>
      <c r="C8">
        <v>6</v>
      </c>
      <c r="D8">
        <v>100</v>
      </c>
      <c r="E8">
        <v>1</v>
      </c>
    </row>
    <row r="17" spans="1:4" x14ac:dyDescent="0.25">
      <c r="A17" t="s">
        <v>208</v>
      </c>
      <c r="B17" s="71" t="s">
        <v>209</v>
      </c>
      <c r="C17" s="71" t="s">
        <v>210</v>
      </c>
      <c r="D17" s="71" t="s">
        <v>211</v>
      </c>
    </row>
    <row r="18" spans="1:4" x14ac:dyDescent="0.25">
      <c r="A18" t="s">
        <v>212</v>
      </c>
      <c r="B18">
        <v>50</v>
      </c>
    </row>
    <row r="19" spans="1:4" x14ac:dyDescent="0.25">
      <c r="A19" t="s">
        <v>213</v>
      </c>
      <c r="B19">
        <v>120</v>
      </c>
    </row>
    <row r="20" spans="1:4" x14ac:dyDescent="0.25">
      <c r="A20" t="s">
        <v>214</v>
      </c>
      <c r="B20">
        <v>70</v>
      </c>
    </row>
    <row r="21" spans="1:4" x14ac:dyDescent="0.25">
      <c r="A21" t="s">
        <v>215</v>
      </c>
      <c r="B21">
        <v>168</v>
      </c>
    </row>
    <row r="22" spans="1:4" x14ac:dyDescent="0.25">
      <c r="A22" t="s">
        <v>216</v>
      </c>
    </row>
    <row r="24" spans="1:4" x14ac:dyDescent="0.25">
      <c r="A24" s="71" t="s">
        <v>3168</v>
      </c>
    </row>
    <row r="25" spans="1:4" x14ac:dyDescent="0.25">
      <c r="A25" s="71" t="s">
        <v>218</v>
      </c>
    </row>
    <row r="26" spans="1:4" x14ac:dyDescent="0.25">
      <c r="A26" s="71" t="s">
        <v>219</v>
      </c>
    </row>
    <row r="28" spans="1:4" x14ac:dyDescent="0.25">
      <c r="A28" s="71" t="s">
        <v>217</v>
      </c>
    </row>
    <row r="29" spans="1:4" x14ac:dyDescent="0.25">
      <c r="A29" s="71" t="s">
        <v>218</v>
      </c>
    </row>
    <row r="30" spans="1:4" x14ac:dyDescent="0.25">
      <c r="A30" s="71" t="s">
        <v>219</v>
      </c>
    </row>
    <row r="31" spans="1:4" x14ac:dyDescent="0.25">
      <c r="A31" s="71"/>
    </row>
    <row r="32" spans="1:4" x14ac:dyDescent="0.25">
      <c r="A32" s="71" t="s">
        <v>3157</v>
      </c>
    </row>
    <row r="33" spans="1:3" x14ac:dyDescent="0.25">
      <c r="A33" t="s">
        <v>218</v>
      </c>
    </row>
    <row r="34" spans="1:3" x14ac:dyDescent="0.25">
      <c r="A34" s="71" t="s">
        <v>219</v>
      </c>
    </row>
    <row r="35" spans="1:3" ht="13.95" customHeight="1" x14ac:dyDescent="0.25">
      <c r="A35" s="71"/>
    </row>
    <row r="36" spans="1:3" x14ac:dyDescent="0.25">
      <c r="A36" s="71" t="s">
        <v>220</v>
      </c>
      <c r="B36" t="s">
        <v>221</v>
      </c>
      <c r="C36" t="s">
        <v>222</v>
      </c>
    </row>
    <row r="37" spans="1:3" x14ac:dyDescent="0.25">
      <c r="A37" s="71" t="s">
        <v>223</v>
      </c>
      <c r="B37">
        <v>0.8</v>
      </c>
      <c r="C37">
        <v>0.86</v>
      </c>
    </row>
    <row r="38" spans="1:3" x14ac:dyDescent="0.25">
      <c r="A38" s="71" t="s">
        <v>224</v>
      </c>
      <c r="B38">
        <v>0.82</v>
      </c>
      <c r="C38">
        <v>0.87</v>
      </c>
    </row>
    <row r="39" spans="1:3" x14ac:dyDescent="0.25">
      <c r="A39" s="71" t="s">
        <v>225</v>
      </c>
      <c r="B39">
        <v>0.83</v>
      </c>
      <c r="C39">
        <v>0.88</v>
      </c>
    </row>
    <row r="40" spans="1:3" x14ac:dyDescent="0.25">
      <c r="A40" s="71" t="s">
        <v>226</v>
      </c>
      <c r="B40">
        <v>0.83</v>
      </c>
      <c r="C40">
        <v>0.88</v>
      </c>
    </row>
    <row r="41" spans="1:3" x14ac:dyDescent="0.25">
      <c r="A41" t="s">
        <v>227</v>
      </c>
      <c r="B41">
        <v>0.95</v>
      </c>
      <c r="C41">
        <v>0.95</v>
      </c>
    </row>
    <row r="42" spans="1:3" x14ac:dyDescent="0.25">
      <c r="A42" t="s">
        <v>228</v>
      </c>
      <c r="B42">
        <v>0.99</v>
      </c>
      <c r="C42">
        <v>0.99</v>
      </c>
    </row>
    <row r="43" spans="1:3" x14ac:dyDescent="0.25">
      <c r="A43" t="s">
        <v>229</v>
      </c>
      <c r="B43">
        <v>1.02</v>
      </c>
      <c r="C43">
        <v>1.02</v>
      </c>
    </row>
    <row r="44" spans="1:3" x14ac:dyDescent="0.25">
      <c r="A44" t="s">
        <v>230</v>
      </c>
      <c r="B44">
        <v>2.5</v>
      </c>
      <c r="C44">
        <v>2.5</v>
      </c>
    </row>
    <row r="45" spans="1:3" x14ac:dyDescent="0.25">
      <c r="A45" t="s">
        <v>231</v>
      </c>
      <c r="B45">
        <v>2.75</v>
      </c>
      <c r="C45">
        <v>2.75</v>
      </c>
    </row>
    <row r="46" spans="1:3" x14ac:dyDescent="0.25">
      <c r="A46" t="s">
        <v>232</v>
      </c>
      <c r="B46">
        <v>3.6</v>
      </c>
      <c r="C46">
        <v>3.6</v>
      </c>
    </row>
    <row r="47" spans="1:3" x14ac:dyDescent="0.25">
      <c r="A47" t="s">
        <v>233</v>
      </c>
      <c r="B47">
        <v>4</v>
      </c>
      <c r="C47">
        <v>4</v>
      </c>
    </row>
    <row r="48" spans="1:3" x14ac:dyDescent="0.25">
      <c r="A48" t="s">
        <v>234</v>
      </c>
      <c r="B48">
        <v>0.96</v>
      </c>
      <c r="C48">
        <v>0.96</v>
      </c>
    </row>
    <row r="50" spans="1:3" x14ac:dyDescent="0.25">
      <c r="A50" t="s">
        <v>235</v>
      </c>
    </row>
    <row r="51" spans="1:3" x14ac:dyDescent="0.25">
      <c r="A51" t="s">
        <v>221</v>
      </c>
      <c r="B51">
        <f>0.5/100</f>
        <v>5.0000000000000001E-3</v>
      </c>
    </row>
    <row r="52" spans="1:3" x14ac:dyDescent="0.25">
      <c r="A52" t="s">
        <v>222</v>
      </c>
      <c r="B52">
        <f>0.4/100</f>
        <v>4.0000000000000001E-3</v>
      </c>
    </row>
    <row r="54" spans="1:3" x14ac:dyDescent="0.25">
      <c r="A54" t="s">
        <v>236</v>
      </c>
      <c r="B54" t="s">
        <v>221</v>
      </c>
      <c r="C54" t="s">
        <v>222</v>
      </c>
    </row>
    <row r="55" spans="1:3" x14ac:dyDescent="0.25">
      <c r="A55" t="s">
        <v>237</v>
      </c>
      <c r="B55">
        <f>1.5/100</f>
        <v>1.4999999999999999E-2</v>
      </c>
      <c r="C55">
        <f>0.95/100</f>
        <v>9.4999999999999998E-3</v>
      </c>
    </row>
    <row r="56" spans="1:3" x14ac:dyDescent="0.25">
      <c r="A56" t="s">
        <v>238</v>
      </c>
      <c r="B56">
        <f>1.25/100</f>
        <v>1.2500000000000001E-2</v>
      </c>
      <c r="C56">
        <f>0.25/100</f>
        <v>2.5000000000000001E-3</v>
      </c>
    </row>
    <row r="65" spans="1:3" x14ac:dyDescent="0.25">
      <c r="A65" s="71"/>
    </row>
    <row r="66" spans="1:3" x14ac:dyDescent="0.25">
      <c r="A66" s="71" t="s">
        <v>239</v>
      </c>
    </row>
    <row r="67" spans="1:3" x14ac:dyDescent="0.25">
      <c r="A67" s="71" t="s">
        <v>240</v>
      </c>
      <c r="B67">
        <v>1</v>
      </c>
    </row>
    <row r="68" spans="1:3" x14ac:dyDescent="0.25">
      <c r="A68" s="71" t="s">
        <v>241</v>
      </c>
      <c r="B68">
        <v>0.98</v>
      </c>
    </row>
    <row r="69" spans="1:3" x14ac:dyDescent="0.25">
      <c r="A69" s="71" t="s">
        <v>242</v>
      </c>
      <c r="B69">
        <v>0.95</v>
      </c>
    </row>
    <row r="70" spans="1:3" x14ac:dyDescent="0.25">
      <c r="A70" s="71" t="s">
        <v>243</v>
      </c>
      <c r="B70">
        <v>0.9</v>
      </c>
    </row>
    <row r="71" spans="1:3" x14ac:dyDescent="0.25">
      <c r="A71" s="71"/>
    </row>
    <row r="72" spans="1:3" x14ac:dyDescent="0.25">
      <c r="A72" s="71" t="s">
        <v>244</v>
      </c>
      <c r="B72" s="71" t="s">
        <v>245</v>
      </c>
      <c r="C72" s="71" t="s">
        <v>246</v>
      </c>
    </row>
    <row r="73" spans="1:3" x14ac:dyDescent="0.25">
      <c r="A73" s="71" t="s">
        <v>247</v>
      </c>
      <c r="B73">
        <v>0.96</v>
      </c>
      <c r="C73">
        <v>0.94</v>
      </c>
    </row>
    <row r="74" spans="1:3" x14ac:dyDescent="0.25">
      <c r="A74" s="71" t="s">
        <v>248</v>
      </c>
      <c r="B74">
        <v>0.98</v>
      </c>
      <c r="C74">
        <v>0.96</v>
      </c>
    </row>
    <row r="75" spans="1:3" x14ac:dyDescent="0.25">
      <c r="A75" s="71" t="s">
        <v>249</v>
      </c>
      <c r="B75">
        <v>1</v>
      </c>
      <c r="C75">
        <v>0.98</v>
      </c>
    </row>
    <row r="76" spans="1:3" x14ac:dyDescent="0.25">
      <c r="A76" s="71"/>
    </row>
    <row r="77" spans="1:3" x14ac:dyDescent="0.25">
      <c r="A77" s="71" t="s">
        <v>250</v>
      </c>
    </row>
    <row r="78" spans="1:3" x14ac:dyDescent="0.25">
      <c r="A78" t="s">
        <v>251</v>
      </c>
      <c r="B78">
        <v>0.9</v>
      </c>
    </row>
    <row r="79" spans="1:3" x14ac:dyDescent="0.25">
      <c r="A79" t="s">
        <v>252</v>
      </c>
      <c r="B79">
        <v>0.95</v>
      </c>
    </row>
    <row r="80" spans="1:3" x14ac:dyDescent="0.25">
      <c r="A80" t="s">
        <v>253</v>
      </c>
      <c r="B80">
        <v>0.98</v>
      </c>
    </row>
    <row r="82" spans="1:4" x14ac:dyDescent="0.25">
      <c r="A82" s="71" t="s">
        <v>254</v>
      </c>
    </row>
    <row r="83" spans="1:4" x14ac:dyDescent="0.25">
      <c r="A83" s="71" t="s">
        <v>255</v>
      </c>
      <c r="B83">
        <v>1</v>
      </c>
    </row>
    <row r="84" spans="1:4" x14ac:dyDescent="0.25">
      <c r="A84" s="71" t="s">
        <v>256</v>
      </c>
      <c r="B84">
        <v>0.9</v>
      </c>
    </row>
    <row r="85" spans="1:4" x14ac:dyDescent="0.25">
      <c r="A85" s="71" t="s">
        <v>257</v>
      </c>
      <c r="B85">
        <f>2/3</f>
        <v>0.66666666666666663</v>
      </c>
    </row>
    <row r="86" spans="1:4" x14ac:dyDescent="0.25">
      <c r="A86" s="71" t="s">
        <v>258</v>
      </c>
      <c r="B86">
        <f>1/3</f>
        <v>0.33333333333333331</v>
      </c>
    </row>
    <row r="89" spans="1:4" x14ac:dyDescent="0.25">
      <c r="A89" t="s">
        <v>259</v>
      </c>
      <c r="B89" t="s">
        <v>254</v>
      </c>
      <c r="C89" t="s">
        <v>260</v>
      </c>
      <c r="D89" t="s">
        <v>261</v>
      </c>
    </row>
    <row r="90" spans="1:4" x14ac:dyDescent="0.25">
      <c r="A90" s="71" t="s">
        <v>262</v>
      </c>
      <c r="B90">
        <f>B83</f>
        <v>1</v>
      </c>
      <c r="C90" t="s">
        <v>263</v>
      </c>
      <c r="D90" s="71" t="s">
        <v>3174</v>
      </c>
    </row>
    <row r="91" spans="1:4" x14ac:dyDescent="0.25">
      <c r="A91" s="71" t="s">
        <v>265</v>
      </c>
      <c r="B91">
        <f>B83</f>
        <v>1</v>
      </c>
      <c r="C91" t="s">
        <v>266</v>
      </c>
      <c r="D91" s="71" t="s">
        <v>3175</v>
      </c>
    </row>
    <row r="92" spans="1:4" x14ac:dyDescent="0.25">
      <c r="A92" t="s">
        <v>268</v>
      </c>
      <c r="B92">
        <f>B84</f>
        <v>0.9</v>
      </c>
      <c r="C92" t="s">
        <v>269</v>
      </c>
      <c r="D92" s="71" t="s">
        <v>3176</v>
      </c>
    </row>
    <row r="93" spans="1:4" x14ac:dyDescent="0.25">
      <c r="A93" t="s">
        <v>271</v>
      </c>
      <c r="B93">
        <f>B83</f>
        <v>1</v>
      </c>
      <c r="C93" t="s">
        <v>272</v>
      </c>
      <c r="D93" t="s">
        <v>273</v>
      </c>
    </row>
    <row r="94" spans="1:4" x14ac:dyDescent="0.25">
      <c r="A94" t="s">
        <v>274</v>
      </c>
      <c r="B94">
        <f>B84</f>
        <v>0.9</v>
      </c>
      <c r="C94" t="s">
        <v>272</v>
      </c>
      <c r="D94" t="s">
        <v>273</v>
      </c>
    </row>
    <row r="95" spans="1:4" x14ac:dyDescent="0.25">
      <c r="A95" t="s">
        <v>275</v>
      </c>
      <c r="B95">
        <f>B86</f>
        <v>0.33333333333333331</v>
      </c>
      <c r="C95" t="s">
        <v>272</v>
      </c>
      <c r="D95" t="s">
        <v>273</v>
      </c>
    </row>
    <row r="96" spans="1:4" x14ac:dyDescent="0.25">
      <c r="A96" t="s">
        <v>276</v>
      </c>
      <c r="B96">
        <f>B86</f>
        <v>0.33333333333333331</v>
      </c>
      <c r="C96" t="s">
        <v>277</v>
      </c>
      <c r="D96" t="s">
        <v>258</v>
      </c>
    </row>
    <row r="97" spans="1:4" x14ac:dyDescent="0.25">
      <c r="A97" t="s">
        <v>278</v>
      </c>
      <c r="B97">
        <f>B85</f>
        <v>0.66666666666666663</v>
      </c>
      <c r="C97" t="s">
        <v>277</v>
      </c>
      <c r="D97" t="s">
        <v>258</v>
      </c>
    </row>
    <row r="98" spans="1:4" x14ac:dyDescent="0.25">
      <c r="A98" t="s">
        <v>279</v>
      </c>
      <c r="B98">
        <f>B84</f>
        <v>0.9</v>
      </c>
      <c r="C98" t="s">
        <v>277</v>
      </c>
      <c r="D98" t="s">
        <v>258</v>
      </c>
    </row>
    <row r="99" spans="1:4" x14ac:dyDescent="0.25">
      <c r="A99" t="s">
        <v>280</v>
      </c>
      <c r="B99">
        <f>B83</f>
        <v>1</v>
      </c>
      <c r="C99" t="s">
        <v>277</v>
      </c>
      <c r="D99" t="s">
        <v>258</v>
      </c>
    </row>
    <row r="100" spans="1:4" x14ac:dyDescent="0.25">
      <c r="A100" t="s">
        <v>281</v>
      </c>
      <c r="B100">
        <f>B83</f>
        <v>1</v>
      </c>
      <c r="C100" t="s">
        <v>282</v>
      </c>
      <c r="D100" t="s">
        <v>283</v>
      </c>
    </row>
    <row r="103" spans="1:4" x14ac:dyDescent="0.25">
      <c r="A103" s="1" t="s">
        <v>284</v>
      </c>
    </row>
    <row r="104" spans="1:4" x14ac:dyDescent="0.25">
      <c r="A104" s="71" t="s">
        <v>54</v>
      </c>
    </row>
    <row r="105" spans="1:4" x14ac:dyDescent="0.25">
      <c r="A105" s="71" t="s">
        <v>285</v>
      </c>
    </row>
    <row r="106" spans="1:4" x14ac:dyDescent="0.25">
      <c r="A106" s="71" t="s">
        <v>286</v>
      </c>
    </row>
    <row r="107" spans="1:4" x14ac:dyDescent="0.25">
      <c r="A107" s="71"/>
    </row>
    <row r="108" spans="1:4" x14ac:dyDescent="0.25">
      <c r="A108" s="71" t="s">
        <v>55</v>
      </c>
    </row>
    <row r="109" spans="1:4" x14ac:dyDescent="0.25">
      <c r="A109" s="71" t="s">
        <v>285</v>
      </c>
    </row>
    <row r="110" spans="1:4" x14ac:dyDescent="0.25">
      <c r="A110" s="71" t="s">
        <v>286</v>
      </c>
    </row>
    <row r="112" spans="1:4" ht="13.8" thickBot="1" x14ac:dyDescent="0.3"/>
    <row r="113" spans="1:4" ht="15" thickBot="1" x14ac:dyDescent="0.3">
      <c r="A113" s="16" t="s">
        <v>287</v>
      </c>
    </row>
    <row r="114" spans="1:4" ht="15" thickBot="1" x14ac:dyDescent="0.3">
      <c r="A114" s="18" t="s">
        <v>288</v>
      </c>
    </row>
    <row r="115" spans="1:4" ht="15" thickBot="1" x14ac:dyDescent="0.3">
      <c r="A115" s="18" t="s">
        <v>289</v>
      </c>
    </row>
    <row r="116" spans="1:4" ht="15" thickBot="1" x14ac:dyDescent="0.3">
      <c r="A116" s="18" t="s">
        <v>290</v>
      </c>
    </row>
    <row r="117" spans="1:4" ht="15" thickBot="1" x14ac:dyDescent="0.3">
      <c r="A117" s="18" t="s">
        <v>291</v>
      </c>
    </row>
    <row r="118" spans="1:4" ht="15" thickBot="1" x14ac:dyDescent="0.3">
      <c r="A118" s="18" t="s">
        <v>292</v>
      </c>
    </row>
    <row r="119" spans="1:4" ht="15" thickBot="1" x14ac:dyDescent="0.3">
      <c r="A119" s="18" t="s">
        <v>293</v>
      </c>
    </row>
    <row r="120" spans="1:4" ht="15" thickBot="1" x14ac:dyDescent="0.3">
      <c r="A120" s="18" t="s">
        <v>294</v>
      </c>
    </row>
    <row r="126" spans="1:4" x14ac:dyDescent="0.25">
      <c r="A126" s="71" t="s">
        <v>295</v>
      </c>
    </row>
    <row r="127" spans="1:4" x14ac:dyDescent="0.25">
      <c r="D127" s="71" t="s">
        <v>296</v>
      </c>
    </row>
    <row r="128" spans="1:4" x14ac:dyDescent="0.25">
      <c r="A128" s="71" t="s">
        <v>297</v>
      </c>
      <c r="C128" s="71" t="s">
        <v>298</v>
      </c>
      <c r="D128">
        <v>0.26279999999999998</v>
      </c>
    </row>
    <row r="129" spans="1:5" x14ac:dyDescent="0.25">
      <c r="A129" t="s">
        <v>299</v>
      </c>
      <c r="C129" s="71" t="s">
        <v>300</v>
      </c>
      <c r="D129">
        <v>0.2016</v>
      </c>
      <c r="E129" s="198"/>
    </row>
    <row r="130" spans="1:5" x14ac:dyDescent="0.25">
      <c r="A130" t="s">
        <v>301</v>
      </c>
      <c r="C130" s="71" t="s">
        <v>302</v>
      </c>
      <c r="D130">
        <v>0</v>
      </c>
    </row>
    <row r="131" spans="1:5" x14ac:dyDescent="0.25">
      <c r="A131" t="s">
        <v>303</v>
      </c>
      <c r="C131" s="71" t="s">
        <v>304</v>
      </c>
      <c r="D131">
        <v>0.7128000000000001</v>
      </c>
      <c r="E131" s="198"/>
    </row>
    <row r="132" spans="1:5" x14ac:dyDescent="0.25">
      <c r="A132" t="s">
        <v>305</v>
      </c>
      <c r="C132" s="71" t="s">
        <v>306</v>
      </c>
      <c r="D132">
        <v>0</v>
      </c>
      <c r="E132" s="198"/>
    </row>
    <row r="133" spans="1:5" x14ac:dyDescent="0.25">
      <c r="A133" t="s">
        <v>307</v>
      </c>
    </row>
    <row r="134" spans="1:5" x14ac:dyDescent="0.25">
      <c r="A134" t="s">
        <v>308</v>
      </c>
    </row>
    <row r="135" spans="1:5" x14ac:dyDescent="0.25">
      <c r="A135" t="s">
        <v>309</v>
      </c>
    </row>
    <row r="136" spans="1:5" x14ac:dyDescent="0.25">
      <c r="A136" t="s">
        <v>310</v>
      </c>
    </row>
    <row r="138" spans="1:5" x14ac:dyDescent="0.25">
      <c r="A138" t="s">
        <v>311</v>
      </c>
    </row>
    <row r="139" spans="1:5" x14ac:dyDescent="0.25">
      <c r="A139" t="s">
        <v>16</v>
      </c>
    </row>
    <row r="140" spans="1:5" x14ac:dyDescent="0.25">
      <c r="A140" t="s">
        <v>312</v>
      </c>
    </row>
    <row r="141" spans="1:5" x14ac:dyDescent="0.25">
      <c r="A141" t="s">
        <v>313</v>
      </c>
    </row>
  </sheetData>
  <sheetProtection algorithmName="SHA-512" hashValue="0GrfiNPDOL8DAM1y2a6HBMfuFHI3CQ3rwT+1SThgkXIPkwcmheMIORrt7x3GSPJAU5xjaUnciS/vufLzR+N5Kw==" saltValue="y6q4TvKshglSzCw5F9Qhww==" spinCount="100000" sheet="1" selectLockedCells="1" selectUnlockedCells="1"/>
  <phoneticPr fontId="22" type="noConversion"/>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7"/>
  </sheetPr>
  <dimension ref="A1:R71"/>
  <sheetViews>
    <sheetView showGridLines="0" workbookViewId="0">
      <selection activeCell="E58" sqref="E58:E61"/>
    </sheetView>
  </sheetViews>
  <sheetFormatPr baseColWidth="10" defaultColWidth="11.44140625" defaultRowHeight="13.2" x14ac:dyDescent="0.25"/>
  <cols>
    <col min="1" max="1" width="24.109375" customWidth="1"/>
    <col min="2" max="2" width="47.33203125" customWidth="1"/>
    <col min="3" max="3" width="18.33203125" customWidth="1"/>
  </cols>
  <sheetData>
    <row r="1" spans="1:18" x14ac:dyDescent="0.25">
      <c r="A1" s="71" t="s">
        <v>282</v>
      </c>
    </row>
    <row r="2" spans="1:18" x14ac:dyDescent="0.25">
      <c r="A2" s="71" t="s">
        <v>272</v>
      </c>
    </row>
    <row r="3" spans="1:18" x14ac:dyDescent="0.25">
      <c r="A3" s="71" t="s">
        <v>263</v>
      </c>
    </row>
    <row r="4" spans="1:18" x14ac:dyDescent="0.25">
      <c r="A4" s="71" t="s">
        <v>266</v>
      </c>
    </row>
    <row r="5" spans="1:18" x14ac:dyDescent="0.25">
      <c r="A5" s="71" t="s">
        <v>269</v>
      </c>
    </row>
    <row r="6" spans="1:18" x14ac:dyDescent="0.25">
      <c r="A6" s="71" t="s">
        <v>277</v>
      </c>
    </row>
    <row r="8" spans="1:18" x14ac:dyDescent="0.25">
      <c r="B8" s="1" t="s">
        <v>314</v>
      </c>
      <c r="C8" s="2" t="s">
        <v>315</v>
      </c>
      <c r="D8" s="1" t="s">
        <v>316</v>
      </c>
    </row>
    <row r="9" spans="1:18" x14ac:dyDescent="0.25">
      <c r="B9" s="72"/>
      <c r="C9" s="32"/>
      <c r="D9" s="30"/>
      <c r="E9" t="s">
        <v>283</v>
      </c>
      <c r="H9" s="69" t="s">
        <v>262</v>
      </c>
      <c r="I9" s="69" t="s">
        <v>265</v>
      </c>
      <c r="J9" s="69" t="s">
        <v>268</v>
      </c>
      <c r="K9" s="69" t="s">
        <v>271</v>
      </c>
      <c r="L9" s="69" t="s">
        <v>274</v>
      </c>
      <c r="M9" s="69" t="s">
        <v>275</v>
      </c>
      <c r="N9" s="69" t="s">
        <v>276</v>
      </c>
      <c r="O9" s="69" t="s">
        <v>278</v>
      </c>
      <c r="P9" s="69" t="s">
        <v>279</v>
      </c>
      <c r="Q9" s="69" t="s">
        <v>280</v>
      </c>
      <c r="R9" s="68" t="s">
        <v>281</v>
      </c>
    </row>
    <row r="10" spans="1:18" x14ac:dyDescent="0.25">
      <c r="B10" s="72" t="s">
        <v>317</v>
      </c>
      <c r="C10" s="214">
        <v>6</v>
      </c>
      <c r="D10" s="214">
        <v>0.87</v>
      </c>
      <c r="E10" t="s">
        <v>283</v>
      </c>
    </row>
    <row r="11" spans="1:18" x14ac:dyDescent="0.25">
      <c r="B11" s="72" t="s">
        <v>318</v>
      </c>
      <c r="C11" s="214">
        <v>5</v>
      </c>
      <c r="D11" s="214">
        <v>0.87</v>
      </c>
      <c r="E11" t="s">
        <v>283</v>
      </c>
    </row>
    <row r="12" spans="1:18" x14ac:dyDescent="0.25">
      <c r="B12" s="72" t="s">
        <v>319</v>
      </c>
      <c r="C12" s="214">
        <v>3</v>
      </c>
      <c r="D12" s="214">
        <v>0.77</v>
      </c>
      <c r="E12" t="s">
        <v>283</v>
      </c>
    </row>
    <row r="13" spans="1:18" x14ac:dyDescent="0.25">
      <c r="B13" s="72" t="s">
        <v>320</v>
      </c>
      <c r="C13" s="214">
        <v>1.5</v>
      </c>
      <c r="D13" s="214">
        <v>0.64</v>
      </c>
      <c r="E13" t="s">
        <v>283</v>
      </c>
    </row>
    <row r="14" spans="1:18" x14ac:dyDescent="0.25">
      <c r="B14" s="72" t="s">
        <v>321</v>
      </c>
      <c r="C14" s="214">
        <v>0.8</v>
      </c>
      <c r="D14" s="214">
        <v>0.5</v>
      </c>
      <c r="E14" t="s">
        <v>283</v>
      </c>
    </row>
    <row r="15" spans="1:18" x14ac:dyDescent="0.25">
      <c r="B15" s="30" t="s">
        <v>322</v>
      </c>
      <c r="C15" s="214">
        <v>2.5</v>
      </c>
      <c r="D15" s="72"/>
      <c r="E15" t="s">
        <v>283</v>
      </c>
    </row>
    <row r="16" spans="1:18" x14ac:dyDescent="0.25">
      <c r="B16" s="30" t="s">
        <v>323</v>
      </c>
      <c r="C16" s="214">
        <v>2.5</v>
      </c>
      <c r="D16" s="72"/>
      <c r="E16" t="s">
        <v>283</v>
      </c>
    </row>
    <row r="17" spans="2:5" x14ac:dyDescent="0.25">
      <c r="B17" s="30" t="s">
        <v>324</v>
      </c>
      <c r="C17" s="214">
        <v>3</v>
      </c>
      <c r="D17" s="214">
        <v>0.77</v>
      </c>
      <c r="E17" t="s">
        <v>283</v>
      </c>
    </row>
    <row r="18" spans="2:5" x14ac:dyDescent="0.25">
      <c r="B18" s="33" t="s">
        <v>325</v>
      </c>
      <c r="C18" s="214"/>
      <c r="D18" s="214">
        <v>0.6</v>
      </c>
      <c r="E18" t="s">
        <v>283</v>
      </c>
    </row>
    <row r="19" spans="2:5" x14ac:dyDescent="0.25">
      <c r="B19" s="33"/>
      <c r="C19" s="214"/>
      <c r="D19" s="214"/>
    </row>
    <row r="20" spans="2:5" x14ac:dyDescent="0.25">
      <c r="B20" s="33"/>
      <c r="C20" s="214"/>
      <c r="D20" s="214"/>
    </row>
    <row r="21" spans="2:5" x14ac:dyDescent="0.25">
      <c r="B21" s="33"/>
      <c r="C21" s="214"/>
      <c r="D21" s="214"/>
    </row>
    <row r="22" spans="2:5" x14ac:dyDescent="0.25">
      <c r="B22" s="30" t="s">
        <v>326</v>
      </c>
      <c r="C22" s="214">
        <v>2.2000000000000002</v>
      </c>
      <c r="D22" s="72"/>
      <c r="E22" t="s">
        <v>273</v>
      </c>
    </row>
    <row r="23" spans="2:5" x14ac:dyDescent="0.25">
      <c r="B23" s="30" t="s">
        <v>327</v>
      </c>
      <c r="C23" s="214">
        <v>1.8</v>
      </c>
      <c r="D23" s="72"/>
      <c r="E23" t="s">
        <v>273</v>
      </c>
    </row>
    <row r="24" spans="2:5" x14ac:dyDescent="0.25">
      <c r="B24" s="30" t="s">
        <v>328</v>
      </c>
      <c r="C24" s="214">
        <v>1.7</v>
      </c>
      <c r="D24" s="72"/>
      <c r="E24" t="s">
        <v>273</v>
      </c>
    </row>
    <row r="25" spans="2:5" x14ac:dyDescent="0.25">
      <c r="B25" s="72" t="s">
        <v>329</v>
      </c>
      <c r="C25" s="214">
        <v>0.45</v>
      </c>
      <c r="D25" s="72"/>
      <c r="E25" t="s">
        <v>273</v>
      </c>
    </row>
    <row r="26" spans="2:5" x14ac:dyDescent="0.25">
      <c r="B26" s="30" t="s">
        <v>330</v>
      </c>
      <c r="C26" s="214">
        <v>1.8</v>
      </c>
      <c r="D26" s="72"/>
      <c r="E26" t="s">
        <v>273</v>
      </c>
    </row>
    <row r="27" spans="2:5" x14ac:dyDescent="0.25">
      <c r="B27" s="72" t="s">
        <v>331</v>
      </c>
      <c r="C27" s="214">
        <v>0.5</v>
      </c>
      <c r="D27" s="72"/>
      <c r="E27" t="s">
        <v>273</v>
      </c>
    </row>
    <row r="28" spans="2:5" x14ac:dyDescent="0.25">
      <c r="B28" s="30" t="s">
        <v>332</v>
      </c>
      <c r="C28" s="214">
        <f>ROUND(1/(0.17+0.3/3.49),1)</f>
        <v>3.9</v>
      </c>
      <c r="D28" s="72"/>
      <c r="E28" t="s">
        <v>273</v>
      </c>
    </row>
    <row r="29" spans="2:5" x14ac:dyDescent="0.25">
      <c r="B29" s="30" t="s">
        <v>333</v>
      </c>
      <c r="C29" s="214">
        <f>ROUND(1/(0.17+0.4/3.49),1)</f>
        <v>3.5</v>
      </c>
      <c r="D29" s="72"/>
      <c r="E29" t="s">
        <v>273</v>
      </c>
    </row>
    <row r="30" spans="2:5" x14ac:dyDescent="0.25">
      <c r="B30" s="30" t="s">
        <v>334</v>
      </c>
      <c r="C30" s="214">
        <f>ROUND(1/(0.17+0.5/3.49),1)</f>
        <v>3.2</v>
      </c>
      <c r="D30" s="72"/>
      <c r="E30" t="s">
        <v>273</v>
      </c>
    </row>
    <row r="31" spans="2:5" x14ac:dyDescent="0.25">
      <c r="B31" s="30" t="s">
        <v>335</v>
      </c>
      <c r="C31" s="214">
        <f>ROUND(1/(0.17+0.6/3.49),1)</f>
        <v>2.9</v>
      </c>
      <c r="D31" s="72"/>
      <c r="E31" t="s">
        <v>273</v>
      </c>
    </row>
    <row r="32" spans="2:5" x14ac:dyDescent="0.25">
      <c r="B32" s="30" t="s">
        <v>336</v>
      </c>
      <c r="C32" s="214">
        <f>ROUND(1/(0.17+0.25/0.19),1)</f>
        <v>0.7</v>
      </c>
      <c r="D32" s="72"/>
      <c r="E32" t="s">
        <v>273</v>
      </c>
    </row>
    <row r="33" spans="2:5" x14ac:dyDescent="0.25">
      <c r="B33" s="30" t="s">
        <v>337</v>
      </c>
      <c r="C33" s="214">
        <f>ROUND(1/(0.17+0.3/0.19),1)</f>
        <v>0.6</v>
      </c>
      <c r="D33" s="72"/>
      <c r="E33" t="s">
        <v>273</v>
      </c>
    </row>
    <row r="34" spans="2:5" x14ac:dyDescent="0.25">
      <c r="B34" s="30" t="s">
        <v>338</v>
      </c>
      <c r="C34" s="214">
        <f>ROUND(1/(0.17+0.35/0.19),1)</f>
        <v>0.5</v>
      </c>
      <c r="D34" s="72"/>
      <c r="E34" t="s">
        <v>273</v>
      </c>
    </row>
    <row r="35" spans="2:5" x14ac:dyDescent="0.25">
      <c r="B35" s="72" t="s">
        <v>339</v>
      </c>
      <c r="C35" s="214">
        <v>0.24</v>
      </c>
      <c r="D35" s="72"/>
      <c r="E35" t="s">
        <v>273</v>
      </c>
    </row>
    <row r="36" spans="2:5" x14ac:dyDescent="0.25">
      <c r="B36" s="33" t="s">
        <v>340</v>
      </c>
      <c r="C36" s="214"/>
      <c r="D36" s="72"/>
    </row>
    <row r="37" spans="2:5" x14ac:dyDescent="0.25">
      <c r="B37" s="33"/>
      <c r="C37" s="214"/>
      <c r="D37" s="72"/>
    </row>
    <row r="38" spans="2:5" x14ac:dyDescent="0.25">
      <c r="B38" s="33"/>
      <c r="C38" s="214"/>
      <c r="D38" s="72"/>
    </row>
    <row r="39" spans="2:5" x14ac:dyDescent="0.25">
      <c r="B39" s="33"/>
      <c r="C39" s="214"/>
      <c r="D39" s="72"/>
    </row>
    <row r="40" spans="2:5" x14ac:dyDescent="0.25">
      <c r="B40" s="30" t="s">
        <v>341</v>
      </c>
      <c r="C40" s="214">
        <v>2.8</v>
      </c>
      <c r="D40" s="72"/>
      <c r="E40" s="71" t="s">
        <v>3174</v>
      </c>
    </row>
    <row r="41" spans="2:5" x14ac:dyDescent="0.25">
      <c r="B41" s="72" t="s">
        <v>342</v>
      </c>
      <c r="C41" s="214">
        <v>0.45</v>
      </c>
      <c r="D41" s="72"/>
      <c r="E41" s="71" t="s">
        <v>3174</v>
      </c>
    </row>
    <row r="42" spans="2:5" x14ac:dyDescent="0.25">
      <c r="B42" s="72" t="s">
        <v>343</v>
      </c>
      <c r="C42" s="214">
        <v>0.24</v>
      </c>
      <c r="D42" s="72"/>
      <c r="E42" s="71" t="s">
        <v>3174</v>
      </c>
    </row>
    <row r="43" spans="2:5" x14ac:dyDescent="0.25">
      <c r="B43" s="33" t="s">
        <v>340</v>
      </c>
      <c r="C43" s="214"/>
      <c r="D43" s="72"/>
    </row>
    <row r="44" spans="2:5" x14ac:dyDescent="0.25">
      <c r="B44" s="72"/>
      <c r="C44" s="214"/>
      <c r="D44" s="72"/>
    </row>
    <row r="45" spans="2:5" x14ac:dyDescent="0.25">
      <c r="B45" s="72"/>
      <c r="C45" s="214"/>
      <c r="D45" s="72"/>
    </row>
    <row r="46" spans="2:5" x14ac:dyDescent="0.25">
      <c r="B46" s="72"/>
      <c r="C46" s="214"/>
      <c r="D46" s="72"/>
    </row>
    <row r="47" spans="2:5" x14ac:dyDescent="0.25">
      <c r="B47" s="30" t="s">
        <v>3166</v>
      </c>
      <c r="C47" s="214">
        <v>3.17</v>
      </c>
      <c r="D47" s="72"/>
      <c r="E47" s="71" t="s">
        <v>3175</v>
      </c>
    </row>
    <row r="48" spans="2:5" x14ac:dyDescent="0.25">
      <c r="B48" s="30" t="s">
        <v>344</v>
      </c>
      <c r="C48" s="214">
        <v>0.7</v>
      </c>
      <c r="D48" s="72"/>
      <c r="E48" s="71" t="s">
        <v>3175</v>
      </c>
    </row>
    <row r="49" spans="2:5" x14ac:dyDescent="0.25">
      <c r="B49" s="30" t="s">
        <v>345</v>
      </c>
      <c r="C49" s="214">
        <v>0.6</v>
      </c>
      <c r="D49" s="72"/>
      <c r="E49" s="71" t="s">
        <v>3175</v>
      </c>
    </row>
    <row r="50" spans="2:5" x14ac:dyDescent="0.25">
      <c r="B50" s="30" t="s">
        <v>346</v>
      </c>
      <c r="C50" s="214">
        <v>0.5</v>
      </c>
      <c r="D50" s="72"/>
      <c r="E50" s="71" t="s">
        <v>3175</v>
      </c>
    </row>
    <row r="51" spans="2:5" x14ac:dyDescent="0.25">
      <c r="B51" s="30" t="s">
        <v>347</v>
      </c>
      <c r="C51" s="214">
        <v>0.42</v>
      </c>
      <c r="D51" s="72"/>
      <c r="E51" s="71" t="s">
        <v>3175</v>
      </c>
    </row>
    <row r="52" spans="2:5" x14ac:dyDescent="0.25">
      <c r="B52" s="30" t="s">
        <v>348</v>
      </c>
      <c r="C52" s="214">
        <v>0.3</v>
      </c>
      <c r="D52" s="72"/>
      <c r="E52" s="71" t="s">
        <v>3175</v>
      </c>
    </row>
    <row r="53" spans="2:5" x14ac:dyDescent="0.25">
      <c r="B53" s="72" t="s">
        <v>349</v>
      </c>
      <c r="C53" s="214">
        <v>0.24</v>
      </c>
      <c r="D53" s="72"/>
      <c r="E53" s="71" t="s">
        <v>3175</v>
      </c>
    </row>
    <row r="54" spans="2:5" x14ac:dyDescent="0.25">
      <c r="B54" s="33" t="s">
        <v>340</v>
      </c>
      <c r="C54" s="214"/>
      <c r="D54" s="72"/>
    </row>
    <row r="55" spans="2:5" x14ac:dyDescent="0.25">
      <c r="B55" s="33"/>
      <c r="C55" s="214"/>
      <c r="D55" s="72"/>
    </row>
    <row r="56" spans="2:5" x14ac:dyDescent="0.25">
      <c r="B56" s="33"/>
      <c r="C56" s="214"/>
      <c r="D56" s="72"/>
    </row>
    <row r="57" spans="2:5" x14ac:dyDescent="0.25">
      <c r="B57" s="33"/>
      <c r="C57" s="214"/>
      <c r="D57" s="72"/>
    </row>
    <row r="58" spans="2:5" x14ac:dyDescent="0.25">
      <c r="B58" s="30" t="s">
        <v>350</v>
      </c>
      <c r="C58" s="214">
        <v>1.7</v>
      </c>
      <c r="D58" s="72"/>
      <c r="E58" s="71" t="s">
        <v>3176</v>
      </c>
    </row>
    <row r="59" spans="2:5" x14ac:dyDescent="0.25">
      <c r="B59" s="72" t="s">
        <v>351</v>
      </c>
      <c r="C59" s="214">
        <v>0.4</v>
      </c>
      <c r="D59" s="72"/>
      <c r="E59" s="71" t="s">
        <v>3176</v>
      </c>
    </row>
    <row r="60" spans="2:5" x14ac:dyDescent="0.25">
      <c r="B60" s="30" t="s">
        <v>352</v>
      </c>
      <c r="C60" s="214">
        <v>2.6</v>
      </c>
      <c r="D60" s="72"/>
      <c r="E60" s="71" t="s">
        <v>3176</v>
      </c>
    </row>
    <row r="61" spans="2:5" x14ac:dyDescent="0.25">
      <c r="B61" s="72" t="s">
        <v>353</v>
      </c>
      <c r="C61" s="214">
        <v>0.4</v>
      </c>
      <c r="D61" s="72"/>
      <c r="E61" s="71" t="s">
        <v>3176</v>
      </c>
    </row>
    <row r="62" spans="2:5" x14ac:dyDescent="0.25">
      <c r="B62" s="33" t="s">
        <v>340</v>
      </c>
      <c r="C62" s="214"/>
      <c r="D62" s="72"/>
    </row>
    <row r="63" spans="2:5" x14ac:dyDescent="0.25">
      <c r="B63" s="72"/>
      <c r="C63" s="214"/>
      <c r="D63" s="72"/>
    </row>
    <row r="64" spans="2:5" x14ac:dyDescent="0.25">
      <c r="B64" s="72"/>
      <c r="C64" s="214"/>
      <c r="D64" s="72"/>
    </row>
    <row r="65" spans="2:5" x14ac:dyDescent="0.25">
      <c r="B65" s="30" t="s">
        <v>354</v>
      </c>
      <c r="C65" s="214">
        <v>2</v>
      </c>
      <c r="D65" s="72"/>
      <c r="E65" t="s">
        <v>258</v>
      </c>
    </row>
    <row r="66" spans="2:5" x14ac:dyDescent="0.25">
      <c r="B66" s="30" t="s">
        <v>355</v>
      </c>
      <c r="C66" s="214">
        <v>3.2</v>
      </c>
      <c r="D66" s="72"/>
      <c r="E66" t="s">
        <v>258</v>
      </c>
    </row>
    <row r="67" spans="2:5" x14ac:dyDescent="0.25">
      <c r="B67" s="72" t="s">
        <v>356</v>
      </c>
      <c r="C67" s="214">
        <v>0.7</v>
      </c>
      <c r="D67" s="72"/>
      <c r="E67" t="s">
        <v>258</v>
      </c>
    </row>
    <row r="68" spans="2:5" x14ac:dyDescent="0.25">
      <c r="B68" s="72" t="s">
        <v>357</v>
      </c>
      <c r="C68" s="214">
        <v>0.9</v>
      </c>
      <c r="D68" s="72"/>
      <c r="E68" t="s">
        <v>258</v>
      </c>
    </row>
    <row r="69" spans="2:5" x14ac:dyDescent="0.25">
      <c r="B69" s="72" t="s">
        <v>358</v>
      </c>
      <c r="C69" s="214">
        <v>0.3</v>
      </c>
      <c r="D69" s="72"/>
      <c r="E69" t="s">
        <v>258</v>
      </c>
    </row>
    <row r="70" spans="2:5" x14ac:dyDescent="0.25">
      <c r="B70" s="72" t="s">
        <v>359</v>
      </c>
      <c r="C70" s="214">
        <v>0.3</v>
      </c>
      <c r="D70" s="72"/>
      <c r="E70" t="s">
        <v>258</v>
      </c>
    </row>
    <row r="71" spans="2:5" x14ac:dyDescent="0.25">
      <c r="B71" s="33" t="s">
        <v>340</v>
      </c>
      <c r="C71" s="214"/>
      <c r="D71" s="72"/>
    </row>
  </sheetData>
  <sheetProtection algorithmName="SHA-512" hashValue="WY+fREdb4jewP+Ci8Ri5Gy4hSJu2egxvis6UCwLORK5twbFXRr4pxaOZw5qVj48UewHvJTE3C2FkGFa5zS6deg==" saltValue="9Ws4SQ/yBHAw/CGA9BabTA==" spinCount="100000" sheet="1" selectLockedCells="1" selectUnlockedCells="1"/>
  <phoneticPr fontId="5" type="noConversion"/>
  <pageMargins left="0.78740157499999996" right="0.78740157499999996" top="0.984251969" bottom="0.984251969" header="0.4921259845" footer="0.4921259845"/>
  <pageSetup paperSize="9"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2CABB51BC189D4F90844582D55F4BBD" ma:contentTypeVersion="6" ma:contentTypeDescription="Crée un document." ma:contentTypeScope="" ma:versionID="2ab82d1cc8a7f9f21c9c01b392ff5cf3">
  <xsd:schema xmlns:xsd="http://www.w3.org/2001/XMLSchema" xmlns:xs="http://www.w3.org/2001/XMLSchema" xmlns:p="http://schemas.microsoft.com/office/2006/metadata/properties" xmlns:ns2="b890ceec-64a2-4c8b-baf1-3602d283e003" xmlns:ns3="405a45fe-04d9-43fa-9615-98b39c73dd4a" targetNamespace="http://schemas.microsoft.com/office/2006/metadata/properties" ma:root="true" ma:fieldsID="fecfd3f40cd5d00a6a8e5fcb073d4e4a" ns2:_="" ns3:_="">
    <xsd:import namespace="b890ceec-64a2-4c8b-baf1-3602d283e003"/>
    <xsd:import namespace="405a45fe-04d9-43fa-9615-98b39c73dd4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90ceec-64a2-4c8b-baf1-3602d283e0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5a45fe-04d9-43fa-9615-98b39c73dd4a"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7E32DFE-B8FB-4CDE-A179-695A1DFA64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90ceec-64a2-4c8b-baf1-3602d283e003"/>
    <ds:schemaRef ds:uri="405a45fe-04d9-43fa-9615-98b39c73dd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D94CFD-DA96-41C3-B3BA-6B7D9588E31B}">
  <ds:schemaRefs>
    <ds:schemaRef ds:uri="http://schemas.microsoft.com/sharepoint/v3/contenttype/forms"/>
  </ds:schemaRefs>
</ds:datastoreItem>
</file>

<file path=customXml/itemProps3.xml><?xml version="1.0" encoding="utf-8"?>
<ds:datastoreItem xmlns:ds="http://schemas.openxmlformats.org/officeDocument/2006/customXml" ds:itemID="{F207ECE1-B8D5-43EF-BE80-F78AA9E68C1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14</vt:i4>
      </vt:variant>
    </vt:vector>
  </HeadingPairs>
  <TitlesOfParts>
    <vt:vector size="25" baseType="lpstr">
      <vt:lpstr>Introduction</vt:lpstr>
      <vt:lpstr>Encodage données</vt:lpstr>
      <vt:lpstr>Encodage ventilation</vt:lpstr>
      <vt:lpstr>Bilan énergétique</vt:lpstr>
      <vt:lpstr>Subside</vt:lpstr>
      <vt:lpstr>Calculs</vt:lpstr>
      <vt:lpstr>Checks</vt:lpstr>
      <vt:lpstr>DonnéesAutres</vt:lpstr>
      <vt:lpstr>Parois types</vt:lpstr>
      <vt:lpstr>Données Giant</vt:lpstr>
      <vt:lpstr>Liste des communes</vt:lpstr>
      <vt:lpstr>Fenêtres_portes</vt:lpstr>
      <vt:lpstr>Isolation_mur</vt:lpstr>
      <vt:lpstr>Isolation_Sol</vt:lpstr>
      <vt:lpstr>Isolation_Toiture</vt:lpstr>
      <vt:lpstr>Murs</vt:lpstr>
      <vt:lpstr>Pas_de_modification</vt:lpstr>
      <vt:lpstr>Plancher_grenier</vt:lpstr>
      <vt:lpstr>Remplacement_Fenêtre_Porte_paroi_translucide</vt:lpstr>
      <vt:lpstr>Sol_et_cave</vt:lpstr>
      <vt:lpstr>Temp_SR</vt:lpstr>
      <vt:lpstr>Toit_incliné</vt:lpstr>
      <vt:lpstr>Toit_plat</vt:lpstr>
      <vt:lpstr>Travaux</vt:lpstr>
      <vt:lpstr>Types_de_parois</vt:lpstr>
    </vt:vector>
  </TitlesOfParts>
  <Manager/>
  <Company>UCL - Architecture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climat14</dc:creator>
  <cp:keywords/>
  <dc:description/>
  <cp:lastModifiedBy>GIULIANA Samuel</cp:lastModifiedBy>
  <cp:revision/>
  <dcterms:created xsi:type="dcterms:W3CDTF">2001-06-22T09:14:21Z</dcterms:created>
  <dcterms:modified xsi:type="dcterms:W3CDTF">2023-06-19T08:26:57Z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0x010100E2CABB51BC189D4F90844582D55F4BBD</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2022-06-03T11:31:15Z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8dfa146d-aa3d-44ed-8f26-5ec3a8f3dad9</vt:lpwstr>
  </property>
  <property fmtid="{D5CDD505-2E9C-101B-9397-08002B2CF9AE}" pid="10" name="MSIP_Label_97a477d1-147d-4e34-b5e3-7b26d2f44870_ContentBits">
    <vt:lpwstr>0</vt:lpwstr>
  </property>
</Properties>
</file>