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https://walloniegov.sharepoint.com/sites/POLLEC-EquipedeCoordination/Documents partages/- Suivis des appels/Suivi-SUBV_P-20-21-22/1_Créa_Form_GPL/Rapports financiers P20-21-22/"/>
    </mc:Choice>
  </mc:AlternateContent>
  <xr:revisionPtr revIDLastSave="28" documentId="8_{BEAB6C35-FE8C-4275-A3C6-757C7458412E}" xr6:coauthVersionLast="47" xr6:coauthVersionMax="47" xr10:uidLastSave="{2A432B63-AB5C-4B2A-98AE-089097ED7C84}"/>
  <workbookProtection workbookAlgorithmName="SHA-512" workbookHashValue="cfj0BAQg8sQZtm9Vkh0dRVf3gTBZlpMZCAfTc3zglZDU4PsvTPpxyu3sgbl1yTjzx1KGA5brERy71auOLSZxnw==" workbookSaltValue="F5pmma0erBuK+g92WbNRVQ==" workbookSpinCount="100000" lockStructure="1"/>
  <bookViews>
    <workbookView xWindow="-120" yWindow="-120" windowWidth="29040" windowHeight="15720" tabRatio="935" xr2:uid="{00000000-000D-0000-FFFF-FFFF00000000}"/>
  </bookViews>
  <sheets>
    <sheet name="INFOS" sheetId="16" r:id="rId1"/>
    <sheet name="1-Identification" sheetId="1" r:id="rId2"/>
    <sheet name="2-Relevé dépenses" sheetId="5" r:id="rId3"/>
    <sheet name="3-Déclaration de créance" sheetId="8" r:id="rId4"/>
    <sheet name="Synthèse" sheetId="10" r:id="rId5"/>
    <sheet name="C3" sheetId="13" state="hidden" r:id="rId6"/>
    <sheet name="Plan ord." sheetId="12" state="hidden" r:id="rId7"/>
    <sheet name="C5" sheetId="30" state="hidden" r:id="rId8"/>
    <sheet name="PUBLI" sheetId="32" state="hidden" r:id="rId9"/>
    <sheet name="LISTE" sheetId="19" state="hidden" r:id="rId10"/>
    <sheet name="infos-COM_SUPRA" sheetId="31" state="hidden" r:id="rId11"/>
  </sheets>
  <definedNames>
    <definedName name="_xlnm._FilterDatabase" localSheetId="2" hidden="1">'2-Relevé dépenses'!#REF!</definedName>
    <definedName name="C_3_Cellules_BLEUES">'C3'!$I$12,'C3'!$C$19:$D$19,'C3'!$G$18,'C3'!$I$18:$J$18,'C3'!$D$24:$D$26,'C3'!$C$33:$J$33,'C3'!$G$37,'C3'!$G$37,'C3'!$G$37,'C3'!$C$45:$D$45</definedName>
    <definedName name="DATE_DEB_CONV">'1-Identification'!$B$6</definedName>
    <definedName name="DATE_FIN_CONV">'1-Identification'!$B$7</definedName>
    <definedName name="DC_N°">'1-Identification'!$F$3</definedName>
    <definedName name="DC_TOT_DECL">'3-Déclaration de créance'!$D$22</definedName>
    <definedName name="GT">'C3'!$D$18</definedName>
    <definedName name="IDENTIF_ADRESSE">'1-Identification'!$F$21</definedName>
    <definedName name="IDENTIF_ADRESSE_CP">'1-Identification'!$F$22</definedName>
    <definedName name="IDENTIF_ADRESSE_LOC">'1-Identification'!$F$23</definedName>
    <definedName name="IDENTIF_AGT_CIV">'1-Identification'!$F$11</definedName>
    <definedName name="IDENTIF_AGT_EMAIL">'1-Identification'!$F$14</definedName>
    <definedName name="IDENTIF_AGT_NOM">'1-Identification'!$F$12</definedName>
    <definedName name="IDENTIF_AGT_SERVICE">'1-Identification'!$F$15</definedName>
    <definedName name="IDENTIF_AGT_TEL">'1-Identification'!$F$13</definedName>
    <definedName name="IDENTIF_BCE">'1-Identification'!$B$12</definedName>
    <definedName name="IDENTIF_BUDG_AB_CONV">'1-Identification'!$E$29</definedName>
    <definedName name="IDENTIF_BUDG_PROGRAMME_CONV">'1-Identification'!$F$29</definedName>
    <definedName name="IDENTIF_COMPTE_BIC">'1-Identification'!$B$14</definedName>
    <definedName name="IDENTIF_COMPTE_COM">'1-Identification'!$B$15</definedName>
    <definedName name="IDENTIF_COMPTE_N°IBAN">'1-Identification'!$B$13</definedName>
    <definedName name="IDENTIF_COMPTE_OUVERT_NOM_DE">'1-Identification'!$B$16</definedName>
    <definedName name="IDENTIF_DEB_DC">'1-Identification'!$F$4</definedName>
    <definedName name="IDENTIF_Durée_de_la_DC_en_mois">'1-Identification'!$F$6</definedName>
    <definedName name="IDENTIF_FIN_DC">'1-Identification'!$F$5</definedName>
    <definedName name="IDENTIF_LEGALE">'1-Identification'!$B$24</definedName>
    <definedName name="IDENTIF_MONTANT_AUTRES_PROJETS">'1-Identification'!$B$23</definedName>
    <definedName name="IDENTIF_MONTANT_PROJET">'1-Identification'!$B$22</definedName>
    <definedName name="IDENTIF_MONTANT_SUBSIDE">'1-Identification'!$B$21</definedName>
    <definedName name="IDENTIF_NOM_PROJET">'1-Identification'!$B$5</definedName>
    <definedName name="IDENTIF_NOM_REQUERANT">'1-Identification'!$B$11</definedName>
    <definedName name="IDENTIF_TAUX_DE_FINANCEMENT">'1-Identification'!$B$8</definedName>
    <definedName name="IDENTIF_TYPE_SUBS">'1-Identification'!$B$4</definedName>
    <definedName name="IDENTIF_VISA_CONV">'1-Identification'!$B$25</definedName>
    <definedName name="LISTE_ACRONYME">LISTE!$C$2:$C$6</definedName>
    <definedName name="LISTE_AG_COMPTA">LISTE!$I$1:$I$2</definedName>
    <definedName name="LISTE_AG_TECH">LISTE!$D$1:$D$3</definedName>
    <definedName name="LISTE_CIV">LISTE!$B$1:$B$3</definedName>
    <definedName name="LISTE_Commune_Supra_INV">'infos-COM_SUPRA'!$A$1:$A$178</definedName>
    <definedName name="LISTE_direct_induit">LISTE!$N$2:$N$3</definedName>
    <definedName name="LISTE_EMAIL">LISTE!$G$2:$G$6</definedName>
    <definedName name="LISTE_EMAIL_GT">LISTE!$O$1:$O$3</definedName>
    <definedName name="LISTE_EMAIL_GT_1">LISTE!$O$2</definedName>
    <definedName name="LISTE_EMAIL_GT_2">LISTE!$O$3</definedName>
    <definedName name="LISTE_FINALE">LISTE!$H$3</definedName>
    <definedName name="LISTE_FONCT_DETAIL">LISTE!$B$1:$B$8</definedName>
    <definedName name="LISTE_INTERMEDIAIRE">LISTE!$H$2</definedName>
    <definedName name="LISTE_LEQUEL_PUBLI">LISTE!$D$10:$D$14</definedName>
    <definedName name="LISTE_MAT">LISTE!$J$2</definedName>
    <definedName name="LISTE_MAT_SS_TRAIT">LISTE!$J$1:$J$3</definedName>
    <definedName name="LISTE_MOIS">LISTE!$L$1:$L$13</definedName>
    <definedName name="LISTE_N°DC">LISTE!$H$1:$H$11</definedName>
    <definedName name="LISTE_NON">LISTE!$A$3</definedName>
    <definedName name="LISTE_OUI">LISTE!$A$2</definedName>
    <definedName name="LISTE_OUI_NON">LISTE!$A$1:$A$3</definedName>
    <definedName name="LISTE_SS_TRAITANT">LISTE!$J$3</definedName>
    <definedName name="LISTE_TEL">LISTE!$F$2:$F$6</definedName>
    <definedName name="LISTE_TEL_GT">LISTE!$P$1:$P$3</definedName>
    <definedName name="LISTE_TEL_GT_1">LISTE!$P$2</definedName>
    <definedName name="LISTE_TEL_GT_2">LISTE!$P$3</definedName>
    <definedName name="LISTE_TVA">LISTE!$K$1:$K$3</definedName>
    <definedName name="MONTANT_DC_C3_FONDS_ROULEMENT_JUSTIFIE">'C3'!$D$39</definedName>
    <definedName name="MONTANT_DC_C3_SOLDE_DESENGAGE">'C3'!$G$37</definedName>
    <definedName name="MONTANT_DC_C3_TOT_LIQUIDE">'C3'!$D$37</definedName>
    <definedName name="MONTANT_TOT_MAT_ACC">'2-Relevé dépenses'!$K$25</definedName>
    <definedName name="MONTANT_TOT_MAT_DECL">'2-Relevé dépenses'!$H$25</definedName>
    <definedName name="PL_ORDO_DC1">'Plan ord.'!$C$7</definedName>
    <definedName name="PL_ORDO_DC2">'Plan ord.'!$C$8</definedName>
    <definedName name="REL_CELLULES_BLEUES">'2-Relevé dépenses'!$K$5:$K$24,'2-Relevé dépenses'!$M$5:$O$24,'2-Relevé dépenses'!#REF!,'2-Relevé dépenses'!#REF!,'2-Relevé dépenses'!#REF!</definedName>
    <definedName name="REL_CELLULES_JAUNES">'2-Relevé dépenses'!$A$5:$C$24,'2-Relevé dépenses'!#REF!,'2-Relevé dépenses'!#REF!</definedName>
    <definedName name="REL_DEP_DETAIL_RUB_ACCEPT">'2-Relevé dépenses'!$M$5:$M$24</definedName>
    <definedName name="REL_DEP_DETAIL_RUB_DECL">'2-Relevé dépenses'!$A$5:$A$24</definedName>
    <definedName name="REL_DEP_DETAIL_TOT_ACCEPT">'2-Relevé dépenses'!$K$5:$K$24</definedName>
    <definedName name="REL_DEP_DETAIL_TOT_DECL">'2-Relevé dépenses'!$H$5:$H$24</definedName>
    <definedName name="Sara">LISTE!$D$3</definedName>
    <definedName name="SYNT_A_REMBOURSER">Synthèse!$L$21</definedName>
    <definedName name="SYNT_BUDGET_100">Synthèse!$C$11</definedName>
    <definedName name="SYNTH_ACC_1_100">Synthèse!$E$11</definedName>
    <definedName name="SYNTH_ACC_2_100">Synthèse!$G$11</definedName>
    <definedName name="SYNTH_DECL_1_100">Synthèse!$D$11</definedName>
    <definedName name="SYNTH_DECL_2_100">Synthèse!$F$11</definedName>
    <definedName name="SYNTH_DIFF_1">Synthèse!$E$16</definedName>
    <definedName name="SYNTH_DIFF_2">Synthèse!$G$16</definedName>
    <definedName name="SYNTH_DIFF_TOT">Synthèse!$J$16</definedName>
    <definedName name="SYNTH_FR">Synthèse!$C$20</definedName>
    <definedName name="SYNTH_FR_JUSTIF_1">Synthèse!$E$21</definedName>
    <definedName name="SYNTH_FR_JUSTIF_2">Synthèse!$G$21</definedName>
    <definedName name="SYNTH_FR_SOLDE_1">Synthèse!$E$22</definedName>
    <definedName name="SYNTH_FR_SOLDE_1_2">Synthèse!$J$21</definedName>
    <definedName name="SYNTH_FR_SOLDE_2">Synthèse!$G$22</definedName>
    <definedName name="SYNTH_MAT_ACC_1">Synthèse!$E$8</definedName>
    <definedName name="SYNTH_MAT_ACC_2">Synthèse!$G$8</definedName>
    <definedName name="SYNTH_MAT_DECL_1">Synthèse!$D$8</definedName>
    <definedName name="SYNTH_MAT_DECL_2">Synthèse!$F$8</definedName>
    <definedName name="SYNTH_MONTANT_LIQUIDE_1">Synthèse!$E$18</definedName>
    <definedName name="SYNTH_MONTANT_LIQUIDE_2">Synthèse!$G$18</definedName>
    <definedName name="SYNTH_SOLDE">Synthèse!$L$18</definedName>
    <definedName name="SYNTH_SST_ACC_1">Synthèse!$E$10</definedName>
    <definedName name="SYNTH_SST_ACC_2">Synthèse!$G$10</definedName>
    <definedName name="SYNTH_SST_DECL_1">Synthèse!$D$10</definedName>
    <definedName name="SYNTH_SST_DECL_2">Synthèse!$F$10</definedName>
    <definedName name="SYNTH_SUBSIDE">Synthèse!$C$14</definedName>
    <definedName name="SYNTH_SUBSIDE_SOLDE">Synthèse!$L$14</definedName>
    <definedName name="SYNTH_TOT_ACC_100">Synthèse!$J$11</definedName>
    <definedName name="SYNTH_TOT_DC_ACC">Synthèse!$J$14</definedName>
    <definedName name="SYNTH_TOT_DC_ACC_1">Synthèse!$E$14</definedName>
    <definedName name="SYNTH_TOT_DC_ACC_2">Synthèse!$G$14</definedName>
    <definedName name="SYNTH_TOT_DC_DECL">Synthèse!$I$14</definedName>
    <definedName name="SYNTH_TOT_DC_DECL_1">Synthèse!$D$14</definedName>
    <definedName name="SYNTH_TOT_DC_DECL_2">Synthèse!$F$14</definedName>
    <definedName name="SYNTH_TOT_DECL_100">Synthèse!$I$11</definedName>
    <definedName name="SYNTH_TOT_LIQUIDE_1_2">Synthèse!$J$18</definedName>
    <definedName name="SYNTH_TOT_MAT_ACC">Synthèse!$J$8</definedName>
    <definedName name="SYNTH_TOT_MAT_DECL">Synthèse!$I$8</definedName>
    <definedName name="SYNTH_TOT_SST_ACC">Synthèse!$J$10</definedName>
    <definedName name="SYNTH_TOT_SST_DECL">Synthèse!$I$10</definedName>
    <definedName name="TAB_POLLEC_20_INV">'infos-COM_SUPRA'!$A$1:$N$178</definedName>
    <definedName name="TAB3_RELEV_DEP">'2-Relevé dépenses'!$A$4:$O$24</definedName>
    <definedName name="TVA">'1-Identification'!$B$17</definedName>
    <definedName name="VOS_REF">'3-Déclaration de créance'!$B$12</definedName>
    <definedName name="Z_C3F58662_020B_4E56_B390_38D4A953D070_.wvu.PrintArea" localSheetId="1" hidden="1">'1-Identification'!$A$1:$F$31</definedName>
    <definedName name="Z_C3F58662_020B_4E56_B390_38D4A953D070_.wvu.PrintArea" localSheetId="2" hidden="1">'2-Relevé dépenses'!$A$1:$C$24,'2-Relevé dépenses'!#REF!</definedName>
    <definedName name="Z_C3F58662_020B_4E56_B390_38D4A953D070_.wvu.PrintArea" localSheetId="3" hidden="1">'3-Déclaration de créance'!$A$1:$E$42</definedName>
    <definedName name="Z_C3F58662_020B_4E56_B390_38D4A953D070_.wvu.PrintArea" localSheetId="5" hidden="1">'C3'!$B$1:$J$45</definedName>
    <definedName name="Z_C3F58662_020B_4E56_B390_38D4A953D070_.wvu.PrintArea" localSheetId="4" hidden="1">Synthèse!$B$1:$L$22</definedName>
    <definedName name="Zélie">LISTE!$D$2</definedName>
    <definedName name="_xlnm.Print_Area" localSheetId="1">'1-Identification'!$A$1:$F$31</definedName>
    <definedName name="_xlnm.Print_Area" localSheetId="2">'2-Relevé dépenses'!$A$1:$C$24,'2-Relevé dépenses'!#REF!</definedName>
    <definedName name="_xlnm.Print_Area" localSheetId="3">'3-Déclaration de créance'!$A$1:$E$42</definedName>
    <definedName name="_xlnm.Print_Area" localSheetId="5">'C3'!$B$1:$J$45</definedName>
    <definedName name="_xlnm.Print_Area" localSheetId="7">'C5'!$A$1:$J$26</definedName>
    <definedName name="_xlnm.Print_Area" localSheetId="6">'Plan ord.'!$A$1:$L$11</definedName>
    <definedName name="_xlnm.Print_Area" localSheetId="4">Synthèse!$B$1:$L$22</definedName>
  </definedNames>
  <calcPr calcId="191029" fullPrecision="0"/>
  <customWorkbookViews>
    <customWorkbookView name="dc1" guid="{C3F58662-020B-4E56-B390-38D4A953D070}" includeHiddenRowCol="0" maximized="1" xWindow="1" yWindow="1" windowWidth="1596" windowHeight="675" tabRatio="674" activeSheetId="1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5" l="1"/>
  <c r="K6" i="5"/>
  <c r="K7" i="5"/>
  <c r="K8" i="5"/>
  <c r="CD2" i="32"/>
  <c r="AC2" i="32"/>
  <c r="CC2" i="32"/>
  <c r="CG2" i="32"/>
  <c r="CF2" i="32"/>
  <c r="CE2" i="32"/>
  <c r="C2" i="32" l="1"/>
  <c r="B2" i="32"/>
  <c r="A2" i="32"/>
  <c r="CB2" i="32"/>
  <c r="BC2" i="32"/>
  <c r="BB2" i="32"/>
  <c r="AD2" i="32"/>
  <c r="AB2" i="32"/>
  <c r="AA2" i="32"/>
  <c r="X2" i="32"/>
  <c r="V2" i="32"/>
  <c r="T2" i="32"/>
  <c r="S2" i="32"/>
  <c r="Q2" i="32"/>
  <c r="P2" i="32"/>
  <c r="O2" i="32"/>
  <c r="N2" i="32"/>
  <c r="L2" i="32"/>
  <c r="K2" i="32"/>
  <c r="J2" i="32"/>
  <c r="I2" i="32"/>
  <c r="H2" i="32"/>
  <c r="C44" i="13" l="1"/>
  <c r="D37" i="13"/>
  <c r="AH2" i="32" s="1"/>
  <c r="F23" i="1"/>
  <c r="G2" i="32" s="1"/>
  <c r="F22" i="1"/>
  <c r="F2" i="32" s="1"/>
  <c r="F21" i="1"/>
  <c r="E2" i="32" s="1"/>
  <c r="A8" i="8"/>
  <c r="F1" i="10"/>
  <c r="F3" i="10"/>
  <c r="D3" i="10"/>
  <c r="D1" i="10"/>
  <c r="F10" i="10"/>
  <c r="BH2" i="32" s="1"/>
  <c r="F8" i="10"/>
  <c r="G8" i="10"/>
  <c r="G10" i="10"/>
  <c r="BF2" i="32" s="1"/>
  <c r="M6" i="5"/>
  <c r="M7" i="5"/>
  <c r="M8" i="5"/>
  <c r="M9" i="5"/>
  <c r="M10" i="5"/>
  <c r="M11" i="5"/>
  <c r="M12" i="5"/>
  <c r="M13" i="5"/>
  <c r="M14" i="5"/>
  <c r="M15" i="5"/>
  <c r="M16" i="5"/>
  <c r="M17" i="5"/>
  <c r="M18" i="5"/>
  <c r="M19" i="5"/>
  <c r="M20" i="5"/>
  <c r="M21" i="5"/>
  <c r="M22" i="5"/>
  <c r="M23" i="5"/>
  <c r="M24" i="5"/>
  <c r="D10" i="10"/>
  <c r="BG2" i="32" s="1"/>
  <c r="D8" i="10"/>
  <c r="A9" i="8" l="1"/>
  <c r="A10" i="8"/>
  <c r="AY2" i="32"/>
  <c r="BA2" i="32"/>
  <c r="AZ2" i="32"/>
  <c r="B29" i="8"/>
  <c r="C4" i="12" l="1"/>
  <c r="H25" i="5"/>
  <c r="L11" i="5"/>
  <c r="L12" i="5"/>
  <c r="L13" i="5"/>
  <c r="L19" i="5"/>
  <c r="L20" i="5"/>
  <c r="L21" i="5"/>
  <c r="L6" i="5"/>
  <c r="L7" i="5"/>
  <c r="L8" i="5"/>
  <c r="K9" i="5"/>
  <c r="L9" i="5" s="1"/>
  <c r="K10" i="5"/>
  <c r="L10" i="5" s="1"/>
  <c r="K11" i="5"/>
  <c r="K12" i="5"/>
  <c r="K13" i="5"/>
  <c r="K14" i="5"/>
  <c r="L14" i="5" s="1"/>
  <c r="K15" i="5"/>
  <c r="L15" i="5" s="1"/>
  <c r="K16" i="5"/>
  <c r="L16" i="5" s="1"/>
  <c r="K17" i="5"/>
  <c r="L17" i="5" s="1"/>
  <c r="K18" i="5"/>
  <c r="L18" i="5" s="1"/>
  <c r="K19" i="5"/>
  <c r="K20" i="5"/>
  <c r="K21" i="5"/>
  <c r="K22" i="5"/>
  <c r="L22" i="5" s="1"/>
  <c r="K23" i="5"/>
  <c r="L23" i="5" s="1"/>
  <c r="K24" i="5"/>
  <c r="L24" i="5" s="1"/>
  <c r="AJ2" i="32" l="1"/>
  <c r="B25" i="1"/>
  <c r="B24" i="1"/>
  <c r="B21" i="1"/>
  <c r="B13" i="1"/>
  <c r="R2" i="32" s="1"/>
  <c r="B12" i="1"/>
  <c r="M2" i="32" s="1"/>
  <c r="N24" i="31"/>
  <c r="N35" i="31"/>
  <c r="N71" i="31"/>
  <c r="N72" i="31"/>
  <c r="N63" i="31"/>
  <c r="N83" i="31"/>
  <c r="N84" i="31"/>
  <c r="N122" i="31"/>
  <c r="N130" i="31"/>
  <c r="N131" i="31"/>
  <c r="N132" i="31"/>
  <c r="N3" i="31"/>
  <c r="N4" i="31"/>
  <c r="N5" i="31"/>
  <c r="N6" i="31"/>
  <c r="N7" i="31"/>
  <c r="N8" i="31"/>
  <c r="N9" i="31"/>
  <c r="N10" i="31"/>
  <c r="N11" i="31"/>
  <c r="N12" i="31"/>
  <c r="N13" i="31"/>
  <c r="N14" i="31"/>
  <c r="N15" i="31"/>
  <c r="N16" i="31"/>
  <c r="N17" i="31"/>
  <c r="N18" i="31"/>
  <c r="N19" i="31"/>
  <c r="N20" i="31"/>
  <c r="N21" i="31"/>
  <c r="N22" i="31"/>
  <c r="N23" i="31"/>
  <c r="N25" i="31"/>
  <c r="N26" i="31"/>
  <c r="N27" i="31"/>
  <c r="N28" i="31"/>
  <c r="N29" i="31"/>
  <c r="N30" i="31"/>
  <c r="N31" i="31"/>
  <c r="N32" i="31"/>
  <c r="N33" i="31"/>
  <c r="N34"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4" i="31"/>
  <c r="N65" i="31"/>
  <c r="N66" i="31"/>
  <c r="N67" i="31"/>
  <c r="N68" i="31"/>
  <c r="N69" i="31"/>
  <c r="N70" i="31"/>
  <c r="N73" i="31"/>
  <c r="N74" i="31"/>
  <c r="N75" i="31"/>
  <c r="N76" i="31"/>
  <c r="N77" i="31"/>
  <c r="N78" i="31"/>
  <c r="N79" i="31"/>
  <c r="N80" i="31"/>
  <c r="N81" i="31"/>
  <c r="N82"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3" i="31"/>
  <c r="N124" i="31"/>
  <c r="N125" i="31"/>
  <c r="N126" i="31"/>
  <c r="N127" i="31"/>
  <c r="N128" i="31"/>
  <c r="N129" i="31"/>
  <c r="N133" i="31"/>
  <c r="N134" i="31"/>
  <c r="N135" i="31"/>
  <c r="N136" i="31"/>
  <c r="N137" i="31"/>
  <c r="N138" i="31"/>
  <c r="N139" i="31"/>
  <c r="N140" i="31"/>
  <c r="N141" i="31"/>
  <c r="N142" i="31"/>
  <c r="N143" i="31"/>
  <c r="N144" i="31"/>
  <c r="N145" i="31"/>
  <c r="N146" i="31"/>
  <c r="N147" i="31"/>
  <c r="N148" i="31"/>
  <c r="N149" i="31"/>
  <c r="N150" i="31"/>
  <c r="N151" i="31"/>
  <c r="N152" i="31"/>
  <c r="N153" i="31"/>
  <c r="N154" i="31"/>
  <c r="N155" i="31"/>
  <c r="N156" i="31"/>
  <c r="N157" i="31"/>
  <c r="N158" i="31"/>
  <c r="N159" i="31"/>
  <c r="N160" i="31"/>
  <c r="N161" i="31"/>
  <c r="N162" i="31"/>
  <c r="N163" i="31"/>
  <c r="N164" i="31"/>
  <c r="N165" i="31"/>
  <c r="N166" i="31"/>
  <c r="N167" i="31"/>
  <c r="N168" i="31"/>
  <c r="N169" i="31"/>
  <c r="N170" i="31"/>
  <c r="N171" i="31"/>
  <c r="N172" i="31"/>
  <c r="N173" i="31"/>
  <c r="N174" i="31"/>
  <c r="N175" i="31"/>
  <c r="N176" i="31"/>
  <c r="N177" i="31"/>
  <c r="N178" i="31"/>
  <c r="N2" i="31"/>
  <c r="Z2" i="32" l="1"/>
  <c r="B22" i="1"/>
  <c r="W2" i="32"/>
  <c r="B18" i="8"/>
  <c r="C37" i="13"/>
  <c r="AE2" i="32"/>
  <c r="C11" i="30"/>
  <c r="C5" i="12"/>
  <c r="C6" i="12" s="1"/>
  <c r="C16" i="13"/>
  <c r="C14" i="10" l="1"/>
  <c r="C20" i="10" s="1"/>
  <c r="Y2" i="32"/>
  <c r="B14" i="8"/>
  <c r="C11" i="10" l="1"/>
  <c r="AN2" i="32" s="1"/>
  <c r="AR2" i="32"/>
  <c r="BI2" i="32"/>
  <c r="D11" i="30"/>
  <c r="D22" i="30"/>
  <c r="C8" i="12"/>
  <c r="AL2" i="32" s="1"/>
  <c r="C7" i="12"/>
  <c r="AK2" i="32" s="1"/>
  <c r="D16" i="13"/>
  <c r="B30" i="8"/>
  <c r="C13" i="13"/>
  <c r="B17" i="8"/>
  <c r="F11" i="10"/>
  <c r="BY2" i="32" s="1"/>
  <c r="I10" i="10"/>
  <c r="BU2" i="32" s="1"/>
  <c r="M5" i="5"/>
  <c r="L13" i="10"/>
  <c r="J13" i="10"/>
  <c r="I13" i="10"/>
  <c r="C3" i="10"/>
  <c r="C1" i="10"/>
  <c r="D13" i="10"/>
  <c r="E13" i="10"/>
  <c r="F13" i="10"/>
  <c r="G13" i="10"/>
  <c r="D8" i="30"/>
  <c r="D7" i="30"/>
  <c r="C3" i="12"/>
  <c r="C13" i="10"/>
  <c r="B28" i="8"/>
  <c r="C12" i="13" s="1"/>
  <c r="B27" i="8"/>
  <c r="C11" i="13" s="1"/>
  <c r="B26" i="8"/>
  <c r="C10" i="13" s="1"/>
  <c r="I10" i="13"/>
  <c r="B23" i="8"/>
  <c r="B21" i="8"/>
  <c r="D16" i="8"/>
  <c r="B16" i="8"/>
  <c r="F6" i="1"/>
  <c r="U2" i="32" s="1"/>
  <c r="C9" i="13"/>
  <c r="B10" i="13"/>
  <c r="B11" i="13"/>
  <c r="B13" i="13"/>
  <c r="G10" i="13"/>
  <c r="C8" i="13"/>
  <c r="C7" i="13"/>
  <c r="E10" i="10" l="1"/>
  <c r="BE2" i="32" s="1"/>
  <c r="E8" i="10"/>
  <c r="F14" i="10"/>
  <c r="BP2" i="32" s="1"/>
  <c r="L5" i="5"/>
  <c r="K25" i="5"/>
  <c r="J18" i="10"/>
  <c r="BQ2" i="32" l="1"/>
  <c r="G18" i="30"/>
  <c r="AI2" i="32"/>
  <c r="AX2" i="32"/>
  <c r="J10" i="10"/>
  <c r="G11" i="10"/>
  <c r="L18" i="10"/>
  <c r="BD2" i="32" l="1"/>
  <c r="G37" i="13"/>
  <c r="L10" i="10"/>
  <c r="BT2" i="32"/>
  <c r="G14" i="10"/>
  <c r="BM2" i="32" s="1"/>
  <c r="BW2" i="32"/>
  <c r="D11" i="10"/>
  <c r="D14" i="10" l="1"/>
  <c r="BX2" i="32"/>
  <c r="J8" i="10"/>
  <c r="E11" i="10"/>
  <c r="I8" i="10"/>
  <c r="E14" i="10" l="1"/>
  <c r="BL2" i="32" s="1"/>
  <c r="BV2" i="32"/>
  <c r="BR2" i="32"/>
  <c r="BS2" i="32"/>
  <c r="D22" i="8"/>
  <c r="BO2" i="32"/>
  <c r="D21" i="10"/>
  <c r="D22" i="10" s="1"/>
  <c r="I11" i="10"/>
  <c r="CA2" i="32" s="1"/>
  <c r="E21" i="10" l="1"/>
  <c r="E16" i="10"/>
  <c r="AO2" i="32" s="1"/>
  <c r="I12" i="13"/>
  <c r="D2" i="32"/>
  <c r="J11" i="10"/>
  <c r="BZ2" i="32" s="1"/>
  <c r="E22" i="10" l="1"/>
  <c r="AU2" i="32" s="1"/>
  <c r="AS2" i="32"/>
  <c r="L8" i="10"/>
  <c r="I14" i="10"/>
  <c r="BN2" i="32" s="1"/>
  <c r="G16" i="10" l="1"/>
  <c r="G21" i="10"/>
  <c r="D39" i="13" s="1"/>
  <c r="AF2" i="32" s="1"/>
  <c r="J21" i="10" l="1"/>
  <c r="AV2" i="32" s="1"/>
  <c r="AT2" i="32"/>
  <c r="J16" i="10"/>
  <c r="AQ2" i="32" s="1"/>
  <c r="AP2" i="32"/>
  <c r="L11" i="10"/>
  <c r="J14" i="10"/>
  <c r="G22" i="10"/>
  <c r="AW2" i="32" s="1"/>
  <c r="L21" i="10" l="1"/>
  <c r="AM2" i="32" s="1"/>
  <c r="BK2" i="32"/>
  <c r="G17" i="30"/>
  <c r="L14" i="10"/>
  <c r="BJ2" i="32" s="1"/>
  <c r="G19" i="30" l="1"/>
  <c r="AG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135432</author>
  </authors>
  <commentList>
    <comment ref="F4" authorId="0" shapeId="0" xr:uid="{00000000-0006-0000-0400-000002000000}">
      <text>
        <r>
          <rPr>
            <sz val="12"/>
            <color indexed="81"/>
            <rFont val="Calibri"/>
            <family val="2"/>
            <scheme val="minor"/>
          </rPr>
          <t>Si le projet entre dans le champs d'application de la TVA, indiquer dans la colonne "Total déclaré", les montant HTVA, dans le cas contraire indiquer le montant de la facture TVAC et le cas échéant, joindre le justificatif  de payement de la TVA.</t>
        </r>
        <r>
          <rPr>
            <sz val="11"/>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Piccirilli Sara</author>
  </authors>
  <commentList>
    <comment ref="G37" authorId="0" shapeId="0" xr:uid="{00000000-0006-0000-0800-000001000000}">
      <text>
        <r>
          <rPr>
            <sz val="12"/>
            <color indexed="81"/>
            <rFont val="Tahoma"/>
            <family val="2"/>
          </rPr>
          <t xml:space="preserve">
Montant à modifier si il ne s'agit pas de la DC finale</t>
        </r>
      </text>
    </comment>
  </commentList>
</comments>
</file>

<file path=xl/sharedStrings.xml><?xml version="1.0" encoding="utf-8"?>
<sst xmlns="http://schemas.openxmlformats.org/spreadsheetml/2006/main" count="2380" uniqueCount="1223">
  <si>
    <t>N° BCE :</t>
  </si>
  <si>
    <t>Déclaration de créance n° :</t>
  </si>
  <si>
    <t>Remarque éventuelle :</t>
  </si>
  <si>
    <t>5100 JAMBES</t>
  </si>
  <si>
    <t xml:space="preserve">au </t>
  </si>
  <si>
    <t>Vos Réf. :</t>
  </si>
  <si>
    <t xml:space="preserve">Cette somme est payable au compte : </t>
  </si>
  <si>
    <t>Signature</t>
  </si>
  <si>
    <t>Annexes :</t>
  </si>
  <si>
    <t>BIC :</t>
  </si>
  <si>
    <t xml:space="preserve">Fait à </t>
  </si>
  <si>
    <t xml:space="preserve"> le</t>
  </si>
  <si>
    <t>Pour la période du :</t>
  </si>
  <si>
    <t>Département de l'Energie et du Bâtiment durable 
Direction de la Promotion de l'Energie durable</t>
  </si>
  <si>
    <t>DC1</t>
  </si>
  <si>
    <t>DC2</t>
  </si>
  <si>
    <t>Nom du projet :</t>
  </si>
  <si>
    <t>au</t>
  </si>
  <si>
    <t>Période des dépenses du :</t>
  </si>
  <si>
    <t>au :</t>
  </si>
  <si>
    <t>Période du</t>
  </si>
  <si>
    <t>Commentaire bénéficiaire</t>
  </si>
  <si>
    <t>MONTANTS DECLARES</t>
  </si>
  <si>
    <t>MONTANTS ACCEPTES</t>
  </si>
  <si>
    <t>TOTAL GENERAL</t>
  </si>
  <si>
    <t>Taux de subventionnement</t>
  </si>
  <si>
    <t>TOTAL CUMULE</t>
  </si>
  <si>
    <t>Sous-rubrique budgétaire</t>
  </si>
  <si>
    <t>SOLDE</t>
  </si>
  <si>
    <t>Requalification sous-rubrique</t>
  </si>
  <si>
    <t>Veuillez sélectionner :</t>
  </si>
  <si>
    <t>Oui</t>
  </si>
  <si>
    <t>Non</t>
  </si>
  <si>
    <t>Fonds de roulement</t>
  </si>
  <si>
    <t>Nom du requérant :</t>
  </si>
  <si>
    <t>Agent traitant :</t>
  </si>
  <si>
    <t>Directeur : Frédéric DOUILLET</t>
  </si>
  <si>
    <t>Note à Muriel Hoogtoel</t>
  </si>
  <si>
    <t>Correspondante budgétaire</t>
  </si>
  <si>
    <t xml:space="preserve"> Subvention   </t>
  </si>
  <si>
    <t>Marché</t>
  </si>
  <si>
    <t>Échéance:</t>
  </si>
  <si>
    <t xml:space="preserve">Date + signature : </t>
  </si>
  <si>
    <t>La facture / déclaration de créance est conforme au bon de commande</t>
  </si>
  <si>
    <t xml:space="preserve">Type :        </t>
  </si>
  <si>
    <t xml:space="preserve">d’un montant déclaré de :                       </t>
  </si>
  <si>
    <t>Certifié sincère et véritable à la somme de (Montant en lettres) :</t>
  </si>
  <si>
    <t>Gestionnaire technique :</t>
  </si>
  <si>
    <t>Nom du projet :</t>
  </si>
  <si>
    <t>RUBRIQUES BUDGÉTAIRES</t>
  </si>
  <si>
    <t xml:space="preserve">Veuillez sélectionner : </t>
  </si>
  <si>
    <t xml:space="preserve">Pascal LEHANCE </t>
  </si>
  <si>
    <t xml:space="preserve">déclare par la présente qu’il est dû à </t>
  </si>
  <si>
    <t xml:space="preserve">N° Visa  </t>
  </si>
  <si>
    <t>Budget</t>
  </si>
  <si>
    <t xml:space="preserve">DÉCLARATION DE CRÉANCE </t>
  </si>
  <si>
    <t xml:space="preserve">Raison de la révision </t>
  </si>
  <si>
    <t>IBAN :</t>
  </si>
  <si>
    <t>Communication sur le compte :</t>
  </si>
  <si>
    <t>ouvert au nom de :</t>
  </si>
  <si>
    <t>en date du :</t>
  </si>
  <si>
    <t xml:space="preserve">ou </t>
  </si>
  <si>
    <t>INFORMATIONS GÉNÉRALES SUR LE PROJET</t>
  </si>
  <si>
    <t>TOTAL ACCEPTÉ</t>
  </si>
  <si>
    <t>Votre organisme est-il assujetti à la TVA dans le cadre de ce projet ?</t>
  </si>
  <si>
    <t xml:space="preserve">Un solde de </t>
  </si>
  <si>
    <t>Les cellules grises contiennent des formules</t>
  </si>
  <si>
    <t>HTVA</t>
  </si>
  <si>
    <t>TVAC</t>
  </si>
  <si>
    <t>par la Région wallonne, le montant de  (€) :</t>
  </si>
  <si>
    <t>Montant total liquidé par DC :</t>
  </si>
  <si>
    <t>Fonds de roulement liquidé :</t>
  </si>
  <si>
    <t xml:space="preserve">Les documents suivants, prévus par l'arrêté, la convention ou le bon de commande ont été remis et approuvés </t>
  </si>
  <si>
    <t>Comment compléter ce fichier ?</t>
  </si>
  <si>
    <t>Fonds de roulement justifié par DC :</t>
  </si>
  <si>
    <t>III : ANALYSE FINANCIÈRE</t>
  </si>
  <si>
    <t>II : ANALYSE TECHNIQUE</t>
  </si>
  <si>
    <t xml:space="preserve">I: INFORMATIONS GÉNÉRALES </t>
  </si>
  <si>
    <t>Transmis à l’agent traitant le:</t>
  </si>
  <si>
    <t>Communication :</t>
  </si>
  <si>
    <t xml:space="preserve"> RAPPORT DE VÉRIFICATION TECHNIQUE (À JOINDRE À LA DÉCLARATION DE CRÉANCE ET TABLEAU D’ANALYSE POUR LES SUBVENTIONS)</t>
  </si>
  <si>
    <t>Fonds de roulement justifié :</t>
  </si>
  <si>
    <t>Remarques :</t>
  </si>
  <si>
    <t>Agent comptable :</t>
  </si>
  <si>
    <t>IV : PLAN D'ORDONANCEMENT</t>
  </si>
  <si>
    <t>Convention :</t>
  </si>
  <si>
    <t>Différence Tot. accepté et déclaré</t>
  </si>
  <si>
    <t xml:space="preserve"> TVAC ou HTVA?</t>
  </si>
  <si>
    <t>Différence total accepté/déclaré :</t>
  </si>
  <si>
    <t>Durée de la DC en mois :</t>
  </si>
  <si>
    <t>Isabelle PIERRARD</t>
  </si>
  <si>
    <t xml:space="preserve">(Nom de l'organisme) </t>
  </si>
  <si>
    <t>Je soussigné (Prénom, Nom),</t>
  </si>
  <si>
    <t>(Fonction) :</t>
  </si>
  <si>
    <t>IV : LIQUIDATION(S)</t>
  </si>
  <si>
    <t>V : DÉSENGAGEMENT</t>
  </si>
  <si>
    <t xml:space="preserve">N° de visa </t>
  </si>
  <si>
    <t xml:space="preserve">Montant à liquider </t>
  </si>
  <si>
    <t>Nom des bénéficiaires</t>
  </si>
  <si>
    <t xml:space="preserve">Total de la subvention </t>
  </si>
  <si>
    <t>Le plan d'ordonancement est transmis dans un tableau en annexe</t>
  </si>
  <si>
    <t xml:space="preserve">Communication sur le compte : </t>
  </si>
  <si>
    <t xml:space="preserve">ouvert au nom de : </t>
  </si>
  <si>
    <t>N° de compte BIC :</t>
  </si>
  <si>
    <t>Janvier</t>
  </si>
  <si>
    <t>Février</t>
  </si>
  <si>
    <t>Mars</t>
  </si>
  <si>
    <t>Avril</t>
  </si>
  <si>
    <t>Mai</t>
  </si>
  <si>
    <t>Juin</t>
  </si>
  <si>
    <t>Juillet</t>
  </si>
  <si>
    <t>Août</t>
  </si>
  <si>
    <t>Septembre</t>
  </si>
  <si>
    <t>Octobre</t>
  </si>
  <si>
    <t>Novembre</t>
  </si>
  <si>
    <t>Décembre</t>
  </si>
  <si>
    <t>N° visa</t>
  </si>
  <si>
    <t>Visa initial</t>
  </si>
  <si>
    <t>RECAPITULATIF POUR LE PLAN D'ORDONNANCEMENT</t>
  </si>
  <si>
    <t>Solde Fonds de roulement (à justifier):</t>
  </si>
  <si>
    <t>sera à désengager si le bénéficiaire ne se manifeste pas dans le mois à dater de la réception  du rapport de vérification comptable.</t>
  </si>
  <si>
    <t>DC  du</t>
  </si>
  <si>
    <t>Objet : Clôture dossier comptable- C5-désengagement/remboursement</t>
  </si>
  <si>
    <t>bénéficiare en date du :</t>
  </si>
  <si>
    <t xml:space="preserve">Qu'un montant de </t>
  </si>
  <si>
    <t xml:space="preserve">Signature : </t>
  </si>
  <si>
    <t>Transmis à la compta  le:</t>
  </si>
  <si>
    <t>Que des justificatifs on été founis pour un montant total de :</t>
  </si>
  <si>
    <r>
      <rPr>
        <b/>
        <sz val="11"/>
        <color theme="1"/>
        <rFont val="Calibri"/>
        <family val="2"/>
      </rPr>
      <t xml:space="preserve">Le gestionnaire technique </t>
    </r>
    <r>
      <rPr>
        <sz val="11"/>
        <color theme="1"/>
        <rFont val="Calibri"/>
        <family val="2"/>
      </rPr>
      <t xml:space="preserve">a examiné l'ensenble des pièces justificatives, a envoyé la lettre de clôture au </t>
    </r>
  </si>
  <si>
    <r>
      <t xml:space="preserve"> </t>
    </r>
    <r>
      <rPr>
        <u/>
        <sz val="11"/>
        <color theme="1"/>
        <rFont val="Calibri"/>
        <family val="2"/>
      </rPr>
      <t>et déclare :</t>
    </r>
  </si>
  <si>
    <r>
      <t xml:space="preserve"> doit être </t>
    </r>
    <r>
      <rPr>
        <u/>
        <sz val="11"/>
        <color theme="1"/>
        <rFont val="Calibri"/>
        <family val="2"/>
      </rPr>
      <t>désengagé</t>
    </r>
  </si>
  <si>
    <r>
      <t xml:space="preserve"> doit être </t>
    </r>
    <r>
      <rPr>
        <u/>
        <sz val="11"/>
        <color theme="1"/>
        <rFont val="Calibri"/>
        <family val="2"/>
      </rPr>
      <t>récupéré</t>
    </r>
  </si>
  <si>
    <t xml:space="preserve">Nom du bénéficiare : </t>
  </si>
  <si>
    <t xml:space="preserve">TOTAL DÉCLARÉ </t>
  </si>
  <si>
    <t>Facture du 
(Date JJ/MM/AA)</t>
  </si>
  <si>
    <t>Rue des brigades d'Irlande, 1</t>
  </si>
  <si>
    <t>Date de début du subside :</t>
  </si>
  <si>
    <t>Sous-traitance</t>
  </si>
  <si>
    <t>Tableau de vérification  des dépenses (réservé au SPW)</t>
  </si>
  <si>
    <t>BUDGET subside</t>
  </si>
  <si>
    <t>Date maximale de fin du subside :</t>
  </si>
  <si>
    <t xml:space="preserve">Visa n° : </t>
  </si>
  <si>
    <t xml:space="preserve">pour </t>
  </si>
  <si>
    <t xml:space="preserve">Modèle de déclaration de créance </t>
  </si>
  <si>
    <t>Objet :</t>
  </si>
  <si>
    <t xml:space="preserve">Dossier </t>
  </si>
  <si>
    <t>Numéro d'entreprise (BCE)</t>
  </si>
  <si>
    <r>
      <t>Le gestionnaire technique a examiné les pièces justificatives et déclare que leur objet et leur montant sont conformes aux indications de l'arrêté ou de la convention</t>
    </r>
    <r>
      <rPr>
        <b/>
        <sz val="9"/>
        <color theme="1"/>
        <rFont val="Calibri"/>
        <family val="2"/>
      </rPr>
      <t xml:space="preserve"> et joint le formulaire C4 (=4-Synthèse)</t>
    </r>
  </si>
  <si>
    <t>MONTANT SUBVENTIONNE (DÉCLARÉ ET ACCEPTÉ) PAR LE SPW</t>
  </si>
  <si>
    <t>Les cellules bleues sont complétées par le SPW</t>
  </si>
  <si>
    <t xml:space="preserve">3) Une fois l'ensemble des rubriques complétées, imprimez la déclaration de créance et faites la signer  </t>
  </si>
  <si>
    <t xml:space="preserve">le rapport financier en format Excel  </t>
  </si>
  <si>
    <t xml:space="preserve">la déclaration de créance signée en format PDF </t>
  </si>
  <si>
    <t>le rapport d'activité complété et ses annexes</t>
  </si>
  <si>
    <t>2) Complétez les feuilles jaunes du fichier dans l'odre croissant</t>
  </si>
  <si>
    <t xml:space="preserve">1) Renommez le fichier de la façon suivante (en adaptant à votre situation les parties en italique): </t>
  </si>
  <si>
    <t xml:space="preserve">Taux de financement </t>
  </si>
  <si>
    <t>Voir la liste des annexes requises dans le Rapport d'activité</t>
  </si>
  <si>
    <r>
      <t xml:space="preserve">4) Télécharchez les documents suivants sur le </t>
    </r>
    <r>
      <rPr>
        <b/>
        <u/>
        <sz val="11"/>
        <rFont val="Calibri"/>
        <family val="2"/>
      </rPr>
      <t xml:space="preserve"> guichet des pouvoirs locaux (https://guichet.pouvoirslocaux.wallonie.be/)</t>
    </r>
  </si>
  <si>
    <t>POLLEC 2020 Projet</t>
  </si>
  <si>
    <t xml:space="preserve">N° attribué à la pièce justificative </t>
  </si>
  <si>
    <t>Matériel/Equipement</t>
  </si>
  <si>
    <t>Sous-traitance (hors matériel)</t>
  </si>
  <si>
    <t>1: Matériel</t>
  </si>
  <si>
    <t>2 : Sous-traitance</t>
  </si>
  <si>
    <r>
      <rPr>
        <b/>
        <u/>
        <sz val="11"/>
        <color theme="1"/>
        <rFont val="Calibri"/>
        <family val="2"/>
      </rPr>
      <t>ATTENTION</t>
    </r>
    <r>
      <rPr>
        <sz val="11"/>
        <color theme="1"/>
        <rFont val="Calibri"/>
        <family val="2"/>
      </rPr>
      <t xml:space="preserve"> : VOUS NE DEVEZ REMPLIR QUE LES CELLULES</t>
    </r>
    <r>
      <rPr>
        <u/>
        <sz val="11"/>
        <color theme="1"/>
        <rFont val="Calibri"/>
        <family val="2"/>
      </rPr>
      <t xml:space="preserve"> </t>
    </r>
    <r>
      <rPr>
        <b/>
        <u/>
        <sz val="11"/>
        <rFont val="Calibri"/>
        <family val="2"/>
      </rPr>
      <t xml:space="preserve">JAUNES </t>
    </r>
    <r>
      <rPr>
        <sz val="11"/>
        <color theme="1"/>
        <rFont val="Calibri"/>
        <family val="2"/>
      </rPr>
      <t>DES FEUILLES 1 à 3.
LES CELLULES EN GRIS CONTIENNENT DES FORMULES.
LES CELLULES EN BLEU SONT REMPLIES PAR LA DGO4.</t>
    </r>
  </si>
  <si>
    <t xml:space="preserve">Objet : </t>
  </si>
  <si>
    <t xml:space="preserve"> DECLARATION DE CREANCE-POLLEC 2020-Projet</t>
  </si>
  <si>
    <t>Si autre(s) projet(s) : Part (en €)  du subside attribué à ce(s)  projet(s)</t>
  </si>
  <si>
    <t>Type de candidature</t>
  </si>
  <si>
    <t>Montant du subside (si X à AA : ok)</t>
  </si>
  <si>
    <t>N° de compte
volet 2</t>
  </si>
  <si>
    <t>N°BCE</t>
  </si>
  <si>
    <t>AB V2</t>
  </si>
  <si>
    <t>N° AM V2</t>
  </si>
  <si>
    <t>Visa V2</t>
  </si>
  <si>
    <t>adresse</t>
  </si>
  <si>
    <t>CP</t>
  </si>
  <si>
    <t>Localite</t>
  </si>
  <si>
    <t>Amay</t>
  </si>
  <si>
    <t>Andenne</t>
  </si>
  <si>
    <t>Ans</t>
  </si>
  <si>
    <t>Anthisnes</t>
  </si>
  <si>
    <t>Antoing</t>
  </si>
  <si>
    <t>Arlon</t>
  </si>
  <si>
    <t>Assesse</t>
  </si>
  <si>
    <t>Ath</t>
  </si>
  <si>
    <t>Attert</t>
  </si>
  <si>
    <t>Aubange</t>
  </si>
  <si>
    <t>Aywaille</t>
  </si>
  <si>
    <t>Bastogne</t>
  </si>
  <si>
    <t>V1+V2</t>
  </si>
  <si>
    <t>V2</t>
  </si>
  <si>
    <t>BE06 0910 1021 3422</t>
  </si>
  <si>
    <t>0207.330.471</t>
  </si>
  <si>
    <t>BE49 0910 0051 8371</t>
  </si>
  <si>
    <t>0207.258.514</t>
  </si>
  <si>
    <t>BE53 0910 0040 9853</t>
  </si>
  <si>
    <t>0207.338.092</t>
  </si>
  <si>
    <t>BE95 0910 0041 0358</t>
  </si>
  <si>
    <t xml:space="preserve">0216.693.545 </t>
  </si>
  <si>
    <t>BE85 0910 0065 6606</t>
  </si>
  <si>
    <t>0207.306.717</t>
  </si>
  <si>
    <t>BE82 0910 0049 8668</t>
  </si>
  <si>
    <t>0206.524.876</t>
  </si>
  <si>
    <t>BE67 0910 0051 9987</t>
  </si>
  <si>
    <t xml:space="preserve">0207.350.762 </t>
  </si>
  <si>
    <t>BE19 0910 0035 7212</t>
  </si>
  <si>
    <t>0207.281.476</t>
  </si>
  <si>
    <t>BE91 0910 0049 9476</t>
  </si>
  <si>
    <t xml:space="preserve">0207.380.456 </t>
  </si>
  <si>
    <t>BE36 0910 0049 9981</t>
  </si>
  <si>
    <t xml:space="preserve">0207.380.555 </t>
  </si>
  <si>
    <t>BE53 0000 0199 3853</t>
  </si>
  <si>
    <t xml:space="preserve">0207.338.686 </t>
  </si>
  <si>
    <t>BE56 0910 0050 0688</t>
  </si>
  <si>
    <t>0206.524.975</t>
  </si>
  <si>
    <t>II_63.02</t>
  </si>
  <si>
    <t>INV_6</t>
  </si>
  <si>
    <t>INV_1</t>
  </si>
  <si>
    <t>INV_5</t>
  </si>
  <si>
    <t>20/20482</t>
  </si>
  <si>
    <t>20/20485</t>
  </si>
  <si>
    <t>20/20481</t>
  </si>
  <si>
    <t>Chaussée Freddy Terwagne, 76</t>
  </si>
  <si>
    <t>AMAY</t>
  </si>
  <si>
    <t>Place des Tilleuls, 1</t>
  </si>
  <si>
    <t>ANDENNE</t>
  </si>
  <si>
    <t>Esplanade de l'Hôtel communal, 1</t>
  </si>
  <si>
    <t>ANS</t>
  </si>
  <si>
    <t>Cour d'Omalius 1</t>
  </si>
  <si>
    <t>ANTHISNES</t>
  </si>
  <si>
    <t>chemin de St-Druon 1</t>
  </si>
  <si>
    <t>ANTOING</t>
  </si>
  <si>
    <t>Rue Paul Reuter, 8</t>
  </si>
  <si>
    <t>ARLON</t>
  </si>
  <si>
    <t>Esplanade des Citoyens, 4</t>
  </si>
  <si>
    <t>ASSESSE</t>
  </si>
  <si>
    <t>Rue de Pintamont, 54</t>
  </si>
  <si>
    <t>ATH</t>
  </si>
  <si>
    <t>voie de la Liberté 107</t>
  </si>
  <si>
    <t>ATTERT</t>
  </si>
  <si>
    <t>Rue Haute, 22</t>
  </si>
  <si>
    <t>ATHUS</t>
  </si>
  <si>
    <t>Parc Louis Thiry - rue de La Heid 8</t>
  </si>
  <si>
    <t>AYWAILLE</t>
  </si>
  <si>
    <t>Rue du Vivier, 58</t>
  </si>
  <si>
    <t>BASTOGNE</t>
  </si>
  <si>
    <t>Beauraing</t>
  </si>
  <si>
    <t>Bernissart</t>
  </si>
  <si>
    <t>Bertogne</t>
  </si>
  <si>
    <t>Bertrix</t>
  </si>
  <si>
    <t>Bouillon</t>
  </si>
  <si>
    <t>Braine-l'Alleud</t>
  </si>
  <si>
    <t>Braine-le-Château</t>
  </si>
  <si>
    <t>Braives</t>
  </si>
  <si>
    <t>Brunehaut</t>
  </si>
  <si>
    <t>Burdinne</t>
  </si>
  <si>
    <t>Celles</t>
  </si>
  <si>
    <t>BE08 0910 0052 2213</t>
  </si>
  <si>
    <t>0207.394.116</t>
  </si>
  <si>
    <t>BE26 0910 0035 8929</t>
  </si>
  <si>
    <t>0207.279.397</t>
  </si>
  <si>
    <t>BE45 0910 0050 0789</t>
  </si>
  <si>
    <t>0207.382.733</t>
  </si>
  <si>
    <t>BE12 0910 0050 1092</t>
  </si>
  <si>
    <t xml:space="preserve">0206.567.042 </t>
  </si>
  <si>
    <t>BE21 0910 0050 1803</t>
  </si>
  <si>
    <t>0206.544.969</t>
  </si>
  <si>
    <t>BE04 0910 0013 6031</t>
  </si>
  <si>
    <t xml:space="preserve">0207.312.952 </t>
  </si>
  <si>
    <t>BE55 0910 0013 7344</t>
  </si>
  <si>
    <t xml:space="preserve">0207.315.229 </t>
  </si>
  <si>
    <t>BE98 0910 0041 3893</t>
  </si>
  <si>
    <t xml:space="preserve">0207.375.310 </t>
  </si>
  <si>
    <t>BE07 0910 0036 2666</t>
  </si>
  <si>
    <t>0216.692.951</t>
  </si>
  <si>
    <t>BE32 091 0004144 02</t>
  </si>
  <si>
    <t xml:space="preserve">0207.353.831 </t>
  </si>
  <si>
    <t>BE71 0910 0036 2969</t>
  </si>
  <si>
    <t xml:space="preserve">0207.308.596 </t>
  </si>
  <si>
    <t>Place de Seurre 3-5</t>
  </si>
  <si>
    <t>BEAURAING</t>
  </si>
  <si>
    <t>rue du Fraity 76</t>
  </si>
  <si>
    <t>BERNISSART</t>
  </si>
  <si>
    <t>rue Grande 33 bte 2</t>
  </si>
  <si>
    <t>BERTOGNE</t>
  </si>
  <si>
    <t>Rue de la Gare, 38</t>
  </si>
  <si>
    <t>BERTRIX</t>
  </si>
  <si>
    <t>Place Ducale, 1</t>
  </si>
  <si>
    <t>BOUILLON</t>
  </si>
  <si>
    <t>Avenue du 21 juillet, 1</t>
  </si>
  <si>
    <t>BRAINE-L'ALLEUD</t>
  </si>
  <si>
    <t>rue de la Libération 9</t>
  </si>
  <si>
    <t>BRAINE-LE-CHATEAU</t>
  </si>
  <si>
    <t>Rue du Cornuchamp 5</t>
  </si>
  <si>
    <t>BRAIVES</t>
  </si>
  <si>
    <t>Rue Wibaut Bouchart, 11</t>
  </si>
  <si>
    <t>BLEHARIES</t>
  </si>
  <si>
    <t>Rue des Ecoles, 3</t>
  </si>
  <si>
    <t>BURDINNE</t>
  </si>
  <si>
    <t>Rue Parfait, 14</t>
  </si>
  <si>
    <t>CELLES</t>
  </si>
  <si>
    <t>Charleroi</t>
  </si>
  <si>
    <t>Chastre</t>
  </si>
  <si>
    <t>Chaudfontaine</t>
  </si>
  <si>
    <t>Chaumont-Gistoux</t>
  </si>
  <si>
    <t>Chièvres</t>
  </si>
  <si>
    <t>BE85 0910 0036 6306</t>
  </si>
  <si>
    <t>0207.310.774</t>
  </si>
  <si>
    <t>BE18 0910 0013 9465</t>
  </si>
  <si>
    <t>0216.689.189</t>
  </si>
  <si>
    <t>BE52 0910 0041 5109</t>
  </si>
  <si>
    <t>0207.339.973</t>
  </si>
  <si>
    <t>BE71 0910 0013 9869</t>
  </si>
  <si>
    <t>0207.274.647</t>
  </si>
  <si>
    <t>BE55 0910 0037 0144</t>
  </si>
  <si>
    <t>0207.316.714</t>
  </si>
  <si>
    <t>place Charles II 14-15</t>
  </si>
  <si>
    <t>CHARLEROI</t>
  </si>
  <si>
    <t>Avenue du Castillon 71</t>
  </si>
  <si>
    <t>CHASTRE</t>
  </si>
  <si>
    <t>avenue du Centenaire 14</t>
  </si>
  <si>
    <t>EMBOURG</t>
  </si>
  <si>
    <t>Rue Colleau, 2</t>
  </si>
  <si>
    <t>CHAUMONT-GISTOUX</t>
  </si>
  <si>
    <t>Rue du Grand Vivier, 2</t>
  </si>
  <si>
    <t>CHIEVRES</t>
  </si>
  <si>
    <t>Chiny</t>
  </si>
  <si>
    <t>Ciney</t>
  </si>
  <si>
    <t>Clavier</t>
  </si>
  <si>
    <t>Comines-Warneton</t>
  </si>
  <si>
    <t>Courcelles</t>
  </si>
  <si>
    <t>BE63 0910 0050 2308</t>
  </si>
  <si>
    <t>0207.348.584</t>
  </si>
  <si>
    <t>BE48 0910 0052 3627</t>
  </si>
  <si>
    <t>0206.701.753</t>
  </si>
  <si>
    <t>BE72 091 00041 5816</t>
  </si>
  <si>
    <t>0207.355.118</t>
  </si>
  <si>
    <t>BE03 0910 0037 4184</t>
  </si>
  <si>
    <t>0207.293.651</t>
  </si>
  <si>
    <t>BE34 0910 0037 4790</t>
  </si>
  <si>
    <t xml:space="preserve">0207.280.387 </t>
  </si>
  <si>
    <t>INV_8</t>
  </si>
  <si>
    <t>20/20480</t>
  </si>
  <si>
    <t>Rue du Faing, 10</t>
  </si>
  <si>
    <t>JAMOIGNE</t>
  </si>
  <si>
    <t>rue du Centre 35</t>
  </si>
  <si>
    <t>CINEY</t>
  </si>
  <si>
    <t>Rue Forville, 1</t>
  </si>
  <si>
    <t>CLAVIER</t>
  </si>
  <si>
    <t>Place Sainte-Anne, 21</t>
  </si>
  <si>
    <t>COMINES-WARNETON</t>
  </si>
  <si>
    <t>Rue Jean Jaurès, 2</t>
  </si>
  <si>
    <t>COURCELLES</t>
  </si>
  <si>
    <t>Couvin</t>
  </si>
  <si>
    <t>Dalhem</t>
  </si>
  <si>
    <t>Daverdisse</t>
  </si>
  <si>
    <t>Dinant</t>
  </si>
  <si>
    <t>Dison</t>
  </si>
  <si>
    <t>Donceel</t>
  </si>
  <si>
    <t>Durbuy</t>
  </si>
  <si>
    <t>Ecaussinnes</t>
  </si>
  <si>
    <t>Eghezée</t>
  </si>
  <si>
    <t>Ellezelles</t>
  </si>
  <si>
    <t>Enghien</t>
  </si>
  <si>
    <t>BE35 0910 0052 4637</t>
  </si>
  <si>
    <t>0206.626.925</t>
  </si>
  <si>
    <t>BE81 0910 0041 6624</t>
  </si>
  <si>
    <t>0207.340.468</t>
  </si>
  <si>
    <t>BE41 0910 0050 2510</t>
  </si>
  <si>
    <t xml:space="preserve">0206.565.656 </t>
  </si>
  <si>
    <t>BE77 0910 0052 5142</t>
  </si>
  <si>
    <t>0206.702.050</t>
  </si>
  <si>
    <t>BE46 0910 0041 7836</t>
  </si>
  <si>
    <t>0206.644.444</t>
  </si>
  <si>
    <t>BE24 0910 0041 8038</t>
  </si>
  <si>
    <t>0207.376.102</t>
  </si>
  <si>
    <t>BE72 0910 0050 3116</t>
  </si>
  <si>
    <t>0207.386.196</t>
  </si>
  <si>
    <t>BE19 0910 0037 6612</t>
  </si>
  <si>
    <t>0216.691.961</t>
  </si>
  <si>
    <t>BE40 910 0052 7263</t>
  </si>
  <si>
    <t xml:space="preserve">0207.359.967 </t>
  </si>
  <si>
    <t>BE83 0910 0037 6915</t>
  </si>
  <si>
    <t>0207.312.259</t>
  </si>
  <si>
    <t>BE72 0910 0037 7016</t>
  </si>
  <si>
    <t>0206.667.606</t>
  </si>
  <si>
    <t>INV_2</t>
  </si>
  <si>
    <t>20/20486</t>
  </si>
  <si>
    <t>avenue de la Libération 2</t>
  </si>
  <si>
    <t>COUVIN</t>
  </si>
  <si>
    <t>rue de Maestricht 7</t>
  </si>
  <si>
    <t>BERNEAU</t>
  </si>
  <si>
    <t>Grand Place 1</t>
  </si>
  <si>
    <t>HAUT-FAYS</t>
  </si>
  <si>
    <t>rue Grande 112</t>
  </si>
  <si>
    <t>DINANT</t>
  </si>
  <si>
    <t>Rue Albert Ier, 66</t>
  </si>
  <si>
    <t>DISON</t>
  </si>
  <si>
    <t>Rue Caquin, 4</t>
  </si>
  <si>
    <t>DONCEEL</t>
  </si>
  <si>
    <t>Basse Cour, 13</t>
  </si>
  <si>
    <t>BARVAUX</t>
  </si>
  <si>
    <t>Grand-Place, 3</t>
  </si>
  <si>
    <t>ECAUSSINNES</t>
  </si>
  <si>
    <t>Route de Gembloux, 43</t>
  </si>
  <si>
    <t>EGHEZEE</t>
  </si>
  <si>
    <t>Rue Saint Mortier, 14</t>
  </si>
  <si>
    <t>ELLEZELLES</t>
  </si>
  <si>
    <t>Avenue Reine Astrid, 18b</t>
  </si>
  <si>
    <t>ENGHIEN</t>
  </si>
  <si>
    <t>Estaimpuis</t>
  </si>
  <si>
    <t>Estinnes</t>
  </si>
  <si>
    <t>Etalle</t>
  </si>
  <si>
    <t>Fauvillers</t>
  </si>
  <si>
    <t>Fernelmont</t>
  </si>
  <si>
    <t>Ferrières</t>
  </si>
  <si>
    <t>Flémalle</t>
  </si>
  <si>
    <t>Fléron</t>
  </si>
  <si>
    <t>Fleurus</t>
  </si>
  <si>
    <t>Floreffe</t>
  </si>
  <si>
    <t>Florennes</t>
  </si>
  <si>
    <t>Florenville</t>
  </si>
  <si>
    <t>Fontaine-l'Evêque</t>
  </si>
  <si>
    <t>Frameries</t>
  </si>
  <si>
    <t>Frasnes-Lez-Anvaing</t>
  </si>
  <si>
    <t>Gembloux</t>
  </si>
  <si>
    <t>Genappe</t>
  </si>
  <si>
    <t>Gerpinnes</t>
  </si>
  <si>
    <t>Gesves</t>
  </si>
  <si>
    <t>Gouvy</t>
  </si>
  <si>
    <t>Grâce-Hollogne</t>
  </si>
  <si>
    <t>Grez-Doiceau</t>
  </si>
  <si>
    <t>Habay</t>
  </si>
  <si>
    <t>Hamoir</t>
  </si>
  <si>
    <t>Hannut</t>
  </si>
  <si>
    <t>Hastière</t>
  </si>
  <si>
    <t>Havelange</t>
  </si>
  <si>
    <t>BE81 0910 0037 7824</t>
  </si>
  <si>
    <t xml:space="preserve">0207.309.091 </t>
  </si>
  <si>
    <t>BE48 0910 0037 8127</t>
  </si>
  <si>
    <t>0216.692.159</t>
  </si>
  <si>
    <t>BE48 0910 0050 4227</t>
  </si>
  <si>
    <t>0207.348.782</t>
  </si>
  <si>
    <t>BE15 0910 0050 4530</t>
  </si>
  <si>
    <t xml:space="preserve">0207.383.129 </t>
  </si>
  <si>
    <t>BE29 0910 0052 7364</t>
  </si>
  <si>
    <t>0216.697.307</t>
  </si>
  <si>
    <t>BE51 0910 0042 0462</t>
  </si>
  <si>
    <t xml:space="preserve">0207.333.837 </t>
  </si>
  <si>
    <t xml:space="preserve">BE69 0910 0042 2078 </t>
  </si>
  <si>
    <t xml:space="preserve">0216.694.337 </t>
  </si>
  <si>
    <t>BE58 0910 0042 2179</t>
  </si>
  <si>
    <t>0207.341.557</t>
  </si>
  <si>
    <t xml:space="preserve">BE57 0910 0037 8935 </t>
  </si>
  <si>
    <t>0207.313.348</t>
  </si>
  <si>
    <t>BE93 0910 0052 7667</t>
  </si>
  <si>
    <t>0207.355.811</t>
  </si>
  <si>
    <t>BE71 0910 0052 7869</t>
  </si>
  <si>
    <t>0206.703.040</t>
  </si>
  <si>
    <t>BE90 0910 0050 4732</t>
  </si>
  <si>
    <t>0207.348.980</t>
  </si>
  <si>
    <t>BE86 0910 0038 0450</t>
  </si>
  <si>
    <t>0207.284.347</t>
  </si>
  <si>
    <t>BE31 0910 0038 0955</t>
  </si>
  <si>
    <t>0207.287.713</t>
  </si>
  <si>
    <t>BE20 0910 0038 1056</t>
  </si>
  <si>
    <t>0216.690.773</t>
  </si>
  <si>
    <t>BE34 0910 0052 9990</t>
  </si>
  <si>
    <t>0216.697.505</t>
  </si>
  <si>
    <t>BE57 0910 0014 6135</t>
  </si>
  <si>
    <t>0207.274.350</t>
  </si>
  <si>
    <t>BE40 0910 0038 1763</t>
  </si>
  <si>
    <t>0207.282.169</t>
  </si>
  <si>
    <t>BE54 0910 0053 0697</t>
  </si>
  <si>
    <t>0207.362.343</t>
  </si>
  <si>
    <t>BE35 0910 0050 5237</t>
  </si>
  <si>
    <t>0216.695.525</t>
  </si>
  <si>
    <t>BE89 0910 0042 2785</t>
  </si>
  <si>
    <t>0207.691.747</t>
  </si>
  <si>
    <t>BE88 0910 0014 6741</t>
  </si>
  <si>
    <t>0207.227.731</t>
  </si>
  <si>
    <t xml:space="preserve">BE02 0910 0050 5540 </t>
  </si>
  <si>
    <t>0216.696.317</t>
  </si>
  <si>
    <t>BE23 0910 0042 3391</t>
  </si>
  <si>
    <t>0207.333.441</t>
  </si>
  <si>
    <t>BE54 0910 0042 3997</t>
  </si>
  <si>
    <t>0207.376.991</t>
  </si>
  <si>
    <t>BE19 0910 0053 1812</t>
  </si>
  <si>
    <t>0216.696.713</t>
  </si>
  <si>
    <t>BE72 0910 0053 2216</t>
  </si>
  <si>
    <t>0207.396.490</t>
  </si>
  <si>
    <t>INV_7</t>
  </si>
  <si>
    <t>20/20479</t>
  </si>
  <si>
    <t>rue de Berne 4</t>
  </si>
  <si>
    <t>ESTAIMPUIS</t>
  </si>
  <si>
    <t>Chaussée Brunehault, 232</t>
  </si>
  <si>
    <t>ESTINNES-AU-MONT</t>
  </si>
  <si>
    <t>Rue du Moulin 15</t>
  </si>
  <si>
    <t>ETALLE</t>
  </si>
  <si>
    <t>Place Communale 312</t>
  </si>
  <si>
    <t>FAUVILLERS</t>
  </si>
  <si>
    <t>Rue Goffin, 2</t>
  </si>
  <si>
    <t>NOVILLE-LES-BOIS</t>
  </si>
  <si>
    <t>Place de Chablis, 21</t>
  </si>
  <si>
    <t>FERRIERES</t>
  </si>
  <si>
    <t>Grand'Route, 287</t>
  </si>
  <si>
    <t>FLEMALLE-HAUTE</t>
  </si>
  <si>
    <t>Rue François Lapierre 19</t>
  </si>
  <si>
    <t>FLERON</t>
  </si>
  <si>
    <t>Chemin de Mons, 61</t>
  </si>
  <si>
    <t>FLEURUS</t>
  </si>
  <si>
    <t>Rue Emile Romedenne, 9 -11</t>
  </si>
  <si>
    <t>FLOREFFE</t>
  </si>
  <si>
    <t>Place de l'hôtel de ville, 1</t>
  </si>
  <si>
    <t>FLORENNES</t>
  </si>
  <si>
    <t>rue du Château 5</t>
  </si>
  <si>
    <t>FLORENVILLE</t>
  </si>
  <si>
    <t>Rue du Château, 1</t>
  </si>
  <si>
    <t>FONTAINE-L'EVÊQUE</t>
  </si>
  <si>
    <t>Rue Archimède, 1</t>
  </si>
  <si>
    <t>FRAMERIES</t>
  </si>
  <si>
    <t>Place de l'Hôtel de Ville, 1</t>
  </si>
  <si>
    <t>FRASNES-LEZ-ANVAING</t>
  </si>
  <si>
    <t>Parc d'Epinal, 2</t>
  </si>
  <si>
    <t>GEMBLOUX</t>
  </si>
  <si>
    <t>Espace 2000, 3</t>
  </si>
  <si>
    <t>GENAPPE</t>
  </si>
  <si>
    <t>Avenue Reine Astrid, 11</t>
  </si>
  <si>
    <t>GERPINNES</t>
  </si>
  <si>
    <t>chaussée de Gramptinne 112</t>
  </si>
  <si>
    <t>GESVES</t>
  </si>
  <si>
    <t>Bovigny, 59</t>
  </si>
  <si>
    <t>GOUVY</t>
  </si>
  <si>
    <t>Rue de l'Hôtel communal, 2</t>
  </si>
  <si>
    <t>GRÂCE-HOLLOGNE</t>
  </si>
  <si>
    <t>Place Ernest Dubois, 1</t>
  </si>
  <si>
    <t>GREZ-DOICEAU</t>
  </si>
  <si>
    <t>Rue du Châtelet, 2</t>
  </si>
  <si>
    <t>HABAY-LA-NEUVE</t>
  </si>
  <si>
    <t>Rue de Tohogne, 14</t>
  </si>
  <si>
    <t>HAMOIR</t>
  </si>
  <si>
    <t>Rue de Landen, 23</t>
  </si>
  <si>
    <t>HANNUT</t>
  </si>
  <si>
    <t>Avenue G. Stinglhamber, 6</t>
  </si>
  <si>
    <t>HASTIERE-LAVAUX</t>
  </si>
  <si>
    <t>Rue de la Station, 99</t>
  </si>
  <si>
    <t>HAVELANGE</t>
  </si>
  <si>
    <t>Herbeumont</t>
  </si>
  <si>
    <t>BE55 0910 0050 5944</t>
  </si>
  <si>
    <t>0206.565.953</t>
  </si>
  <si>
    <t xml:space="preserve">Le Vivy, 13 </t>
  </si>
  <si>
    <t>HERBEUMONT</t>
  </si>
  <si>
    <t>Herve</t>
  </si>
  <si>
    <t>Hotton</t>
  </si>
  <si>
    <t>Houffalize</t>
  </si>
  <si>
    <t>Huy</t>
  </si>
  <si>
    <t>Ittre</t>
  </si>
  <si>
    <t>Jalhay</t>
  </si>
  <si>
    <t>Jodoigne</t>
  </si>
  <si>
    <t>La Bruyère</t>
  </si>
  <si>
    <t>La Hulpe</t>
  </si>
  <si>
    <t>La Louvière</t>
  </si>
  <si>
    <t>La Roche-en-Ardenne</t>
  </si>
  <si>
    <t>Lasne</t>
  </si>
  <si>
    <t>Léglise</t>
  </si>
  <si>
    <t>Lens</t>
  </si>
  <si>
    <t>Les Bons Villers</t>
  </si>
  <si>
    <t>Lessines</t>
  </si>
  <si>
    <t>Libin</t>
  </si>
  <si>
    <t>Libramont-Chevigny</t>
  </si>
  <si>
    <t>Liège</t>
  </si>
  <si>
    <t>BE97 0910 0042 8849</t>
  </si>
  <si>
    <t>0207.371.647</t>
  </si>
  <si>
    <t>BE97 0910 0050 6449</t>
  </si>
  <si>
    <t>0206.544.474</t>
  </si>
  <si>
    <t>BE64 0910 0050 6752</t>
  </si>
  <si>
    <t>0206.700.862</t>
  </si>
  <si>
    <t>BE86 0910 0042 8950</t>
  </si>
  <si>
    <t>0207.334.332</t>
  </si>
  <si>
    <t>BE72 0910 0015 3916</t>
  </si>
  <si>
    <t>0207.279.793</t>
  </si>
  <si>
    <t>BE71 0910 0043 0869</t>
  </si>
  <si>
    <t>0207.402.628</t>
  </si>
  <si>
    <t>BE33 0910 0015 6946</t>
  </si>
  <si>
    <t>0216.379.185</t>
  </si>
  <si>
    <t>BE79 0910 0053 3933</t>
  </si>
  <si>
    <t>0216.697.802</t>
  </si>
  <si>
    <t>BE36 0910 0016 0481</t>
  </si>
  <si>
    <t>0207.282.268</t>
  </si>
  <si>
    <t>BE78 0910 0036 4086</t>
  </si>
  <si>
    <t>0871.429.489</t>
  </si>
  <si>
    <t>BE20 0910 0050 7156</t>
  </si>
  <si>
    <t>0206.578.722</t>
  </si>
  <si>
    <t>BE23 0910 0016 1491</t>
  </si>
  <si>
    <t>0216.689.585</t>
  </si>
  <si>
    <t>BE40 0910 0050 7863</t>
  </si>
  <si>
    <t>0206.567.339</t>
  </si>
  <si>
    <t>BE48 0910 0038 7827</t>
  </si>
  <si>
    <t>0207.290.681</t>
  </si>
  <si>
    <t>BE68 0910 0038 85 34</t>
  </si>
  <si>
    <t xml:space="preserve">0216.691.169 </t>
  </si>
  <si>
    <t>BE86 0910 0039 0150</t>
  </si>
  <si>
    <t xml:space="preserve">0207.297.116 </t>
  </si>
  <si>
    <t>BE82 0910 0050 8368</t>
  </si>
  <si>
    <t>0206.564.963</t>
  </si>
  <si>
    <t>BE60 0910 0050 8570</t>
  </si>
  <si>
    <t>0216.696.119</t>
  </si>
  <si>
    <t>BE14 0110 0043 2283</t>
  </si>
  <si>
    <t>0207.343.933</t>
  </si>
  <si>
    <t>INV_3</t>
  </si>
  <si>
    <t>INV_9</t>
  </si>
  <si>
    <t>20/20483</t>
  </si>
  <si>
    <t>20/20478</t>
  </si>
  <si>
    <t>Place Marie-Thérèse, 3</t>
  </si>
  <si>
    <t>HERVE</t>
  </si>
  <si>
    <t>Rue des Ecoles, 50</t>
  </si>
  <si>
    <t>HOTTON</t>
  </si>
  <si>
    <t>Rue de Schaerbeek, 1</t>
  </si>
  <si>
    <t>HOUFFALIZE</t>
  </si>
  <si>
    <t>Grand-Place, 1</t>
  </si>
  <si>
    <t>HUY</t>
  </si>
  <si>
    <t>Rue de la Planchette, 2</t>
  </si>
  <si>
    <t>ITTRE</t>
  </si>
  <si>
    <t>Rue de la Fagne, 46</t>
  </si>
  <si>
    <t>JALHAY</t>
  </si>
  <si>
    <t>Rue du Château, 13</t>
  </si>
  <si>
    <t>JODOIGNE</t>
  </si>
  <si>
    <t>Rue des Dames Blanches 1</t>
  </si>
  <si>
    <t>RHISNES</t>
  </si>
  <si>
    <t>Rue des Combattants, 59</t>
  </si>
  <si>
    <t>LA HULPE</t>
  </si>
  <si>
    <t>Place Communale, 1</t>
  </si>
  <si>
    <t>LA LOUVIERE</t>
  </si>
  <si>
    <t>Place du Marché, 1</t>
  </si>
  <si>
    <t>LA ROCHE-EN-ARDENNE</t>
  </si>
  <si>
    <t>Place communale, 1</t>
  </si>
  <si>
    <t>LASNE</t>
  </si>
  <si>
    <t>Rue du Chaudfour, 2</t>
  </si>
  <si>
    <t>LEGLISE</t>
  </si>
  <si>
    <t>Place de la Trinité, 1</t>
  </si>
  <si>
    <t>LENS</t>
  </si>
  <si>
    <t>Place de Frasnes, 1</t>
  </si>
  <si>
    <t>FRASNES-LEZ-GOSSELIES</t>
  </si>
  <si>
    <t>Grand'Place, 12</t>
  </si>
  <si>
    <t>LESSINES</t>
  </si>
  <si>
    <t>Rue du Commerce, 14</t>
  </si>
  <si>
    <t>LIBIN</t>
  </si>
  <si>
    <t>Place Communale, 9</t>
  </si>
  <si>
    <t>LIBRAMONT-CHEVIGNY</t>
  </si>
  <si>
    <t>Place du Marché, 2</t>
  </si>
  <si>
    <t>LIEGE</t>
  </si>
  <si>
    <t>Malmedy</t>
  </si>
  <si>
    <t>Manhay</t>
  </si>
  <si>
    <t>Marche-en-Famenne</t>
  </si>
  <si>
    <t>Marchin</t>
  </si>
  <si>
    <t>Martelange</t>
  </si>
  <si>
    <t>Meix-devant-Virton</t>
  </si>
  <si>
    <t>Messancy</t>
  </si>
  <si>
    <t>Modave</t>
  </si>
  <si>
    <t>Momignies</t>
  </si>
  <si>
    <t>Mons</t>
  </si>
  <si>
    <t>BE33 0910 0814 0046</t>
  </si>
  <si>
    <t>0206.700.763</t>
  </si>
  <si>
    <t>BE91 0910 0050 9176</t>
  </si>
  <si>
    <t>0216.695.921</t>
  </si>
  <si>
    <t>BE25 0910 0050 9782</t>
  </si>
  <si>
    <t>0207.347.891</t>
  </si>
  <si>
    <t>BE75 0910 0043 8751</t>
  </si>
  <si>
    <t>0207.334.035</t>
  </si>
  <si>
    <t>BE78 0910 0051 0186</t>
  </si>
  <si>
    <t>0207.381.446</t>
  </si>
  <si>
    <t>BE45 0910 0051 0489</t>
  </si>
  <si>
    <t>0207.391.443</t>
  </si>
  <si>
    <t>BE12 0910 0051 0792</t>
  </si>
  <si>
    <t>0207.381.644</t>
  </si>
  <si>
    <t>BE53 0910 0043 8953</t>
  </si>
  <si>
    <t>0207.334.134</t>
  </si>
  <si>
    <t>BE05 0910 0039 2675</t>
  </si>
  <si>
    <t>0207.303.054</t>
  </si>
  <si>
    <t xml:space="preserve">BE19 0910 0039 3012 </t>
  </si>
  <si>
    <t>0207.656.808</t>
  </si>
  <si>
    <t>Rue Jules Steinbach, 1</t>
  </si>
  <si>
    <t>MALMEDY</t>
  </si>
  <si>
    <t>Voie de la Libération, 4</t>
  </si>
  <si>
    <t>MANHAY</t>
  </si>
  <si>
    <t>Boulevard du Midi, 22</t>
  </si>
  <si>
    <t>MARCHE-EN-FAMENNE</t>
  </si>
  <si>
    <t>Rue Joseph Wauters, 1A</t>
  </si>
  <si>
    <t>MARCHIN</t>
  </si>
  <si>
    <t>chemin du Moulin 1</t>
  </si>
  <si>
    <t>MARTELANGE</t>
  </si>
  <si>
    <t>Rue de Gérouville, 5</t>
  </si>
  <si>
    <t>MEIX-DEVANT-VIRTON</t>
  </si>
  <si>
    <t>Grand Rue, 100</t>
  </si>
  <si>
    <t>MESSANCY</t>
  </si>
  <si>
    <t>Place Georges Hubin, 1-3</t>
  </si>
  <si>
    <t>MODAVE</t>
  </si>
  <si>
    <t>MOMIGNIES</t>
  </si>
  <si>
    <t>Grand Place 22</t>
  </si>
  <si>
    <t>MONS</t>
  </si>
  <si>
    <t>Mouscron</t>
  </si>
  <si>
    <t>Musson</t>
  </si>
  <si>
    <t>Namur</t>
  </si>
  <si>
    <t>Nassogne</t>
  </si>
  <si>
    <t>Neufchâteau</t>
  </si>
  <si>
    <t>Neupré</t>
  </si>
  <si>
    <t>Nivelles</t>
  </si>
  <si>
    <t>Orp-Jauche</t>
  </si>
  <si>
    <t>Ottignies-Louvain-la-Neuve</t>
  </si>
  <si>
    <t>Ouffet</t>
  </si>
  <si>
    <t>Oupeye</t>
  </si>
  <si>
    <t>Paliseul</t>
  </si>
  <si>
    <t>Pecq</t>
  </si>
  <si>
    <t>Pepinster</t>
  </si>
  <si>
    <t>Péruwelz</t>
  </si>
  <si>
    <t>BE35 0910 0039 8537</t>
  </si>
  <si>
    <t>0207.294.443</t>
  </si>
  <si>
    <t>BE87 0910 0051 0994</t>
  </si>
  <si>
    <t>0207.391.641</t>
  </si>
  <si>
    <t>BE79 0910 0618 9033</t>
  </si>
  <si>
    <t>0207.362.739</t>
  </si>
  <si>
    <t>BE54 0910 0051 1297</t>
  </si>
  <si>
    <t>0207.401.935</t>
  </si>
  <si>
    <t xml:space="preserve">BE32 0910 0051 1402 </t>
  </si>
  <si>
    <t>0206.543.781</t>
  </si>
  <si>
    <t>BE09 0910 0043 9357</t>
  </si>
  <si>
    <t>0216.694.535</t>
  </si>
  <si>
    <t>BE05 0910 0016 9575 </t>
  </si>
  <si>
    <t>0206.642.563</t>
  </si>
  <si>
    <t>BE23 0910 0017 1191</t>
  </si>
  <si>
    <t>0216.689.783</t>
  </si>
  <si>
    <t>BE87 0910 0017 1494</t>
  </si>
  <si>
    <t>0216.689.981</t>
  </si>
  <si>
    <t>BE05 0910 0044 1175</t>
  </si>
  <si>
    <t>0207.334.728</t>
  </si>
  <si>
    <t>BE69 0910 0044 1478</t>
  </si>
  <si>
    <t>0207.345.418</t>
  </si>
  <si>
    <t xml:space="preserve">BE63 0910 0051 2008 </t>
  </si>
  <si>
    <t>0206.566.052</t>
  </si>
  <si>
    <t xml:space="preserve">BE33 0910 0039 9446 </t>
  </si>
  <si>
    <t>0207.332.352</t>
  </si>
  <si>
    <t>BE45 0910 0044 2589</t>
  </si>
  <si>
    <t>0206.621.282</t>
  </si>
  <si>
    <t>BE97 0910 0039 9749</t>
  </si>
  <si>
    <t>0207.148.250</t>
  </si>
  <si>
    <t>Rue de Courtrai, 63</t>
  </si>
  <si>
    <t>MOUSCRON</t>
  </si>
  <si>
    <t>Place de l'Abbé Goffinet, 1</t>
  </si>
  <si>
    <t>MUSSON</t>
  </si>
  <si>
    <t>Esplanade de l'Hôtel de Ville, 1</t>
  </si>
  <si>
    <t>NAMUR</t>
  </si>
  <si>
    <t>place Communale</t>
  </si>
  <si>
    <t>NASSOGNE</t>
  </si>
  <si>
    <t>NEUFCHATEAU</t>
  </si>
  <si>
    <t>rue des Deux Eglises 16</t>
  </si>
  <si>
    <t>ROTHEUX-RIMIERE</t>
  </si>
  <si>
    <t>Place Albert 1er, 2</t>
  </si>
  <si>
    <t>NIVELLES</t>
  </si>
  <si>
    <t>Place Communale 1</t>
  </si>
  <si>
    <t>ORP-JAUCHE</t>
  </si>
  <si>
    <t>Espace du Coeur de Ville, 2</t>
  </si>
  <si>
    <t>OTTIGNIES-LOUVAIN-LA-NEUVE</t>
  </si>
  <si>
    <t>rue du Village 3</t>
  </si>
  <si>
    <t>OUFFET</t>
  </si>
  <si>
    <t>Rue des Ecoles, 4</t>
  </si>
  <si>
    <t>Oupeye (Haccourt)</t>
  </si>
  <si>
    <t>Grand-Place 1</t>
  </si>
  <si>
    <t>PALISEUL</t>
  </si>
  <si>
    <t>Rue des Déportés, 10</t>
  </si>
  <si>
    <t>PECQ</t>
  </si>
  <si>
    <t>rue Neuve, 35</t>
  </si>
  <si>
    <t>PEPINSTER</t>
  </si>
  <si>
    <t>rue Albert Ier 35</t>
  </si>
  <si>
    <t>PERUWELZ</t>
  </si>
  <si>
    <t>Philippeville</t>
  </si>
  <si>
    <t>Plombières</t>
  </si>
  <si>
    <t>Pont-à-celles</t>
  </si>
  <si>
    <t>Profondeville</t>
  </si>
  <si>
    <t>Quaregnon</t>
  </si>
  <si>
    <t>BE49 0910 0053 7771</t>
  </si>
  <si>
    <t>0206.626.331</t>
  </si>
  <si>
    <t>BE65 0910 0044 3296</t>
  </si>
  <si>
    <t>0216.695.129</t>
  </si>
  <si>
    <t>BE84 0910 0040 0759</t>
  </si>
  <si>
    <t>0207.283.654</t>
  </si>
  <si>
    <t>BE91 0910 0053 8276</t>
  </si>
  <si>
    <t>0207.372.043</t>
  </si>
  <si>
    <t>BE51 0910 0040 1062</t>
  </si>
  <si>
    <t>0207.291.572</t>
  </si>
  <si>
    <t>Place d'Armes, 12</t>
  </si>
  <si>
    <t>PHILIPPEVILLE</t>
  </si>
  <si>
    <t>place du 3ème Millénaire 1</t>
  </si>
  <si>
    <t>PLOMBIERES</t>
  </si>
  <si>
    <t>Place Communale 22</t>
  </si>
  <si>
    <t>PONT-A-CELLES</t>
  </si>
  <si>
    <t>Chaussée de Dinant, 2</t>
  </si>
  <si>
    <t>PROFONDEVILLE</t>
  </si>
  <si>
    <t>QUAREGNON</t>
  </si>
  <si>
    <t>Rendeux</t>
  </si>
  <si>
    <t>Rixensart</t>
  </si>
  <si>
    <t>Rochefort</t>
  </si>
  <si>
    <t>Rouvroy</t>
  </si>
  <si>
    <t>Rumes</t>
  </si>
  <si>
    <t>Sainte-Ode</t>
  </si>
  <si>
    <t>Saint-Georges-sur-Meuse</t>
  </si>
  <si>
    <t>Saint-Ghislain</t>
  </si>
  <si>
    <t>Saint-Hubert</t>
  </si>
  <si>
    <t>Saint-Léger</t>
  </si>
  <si>
    <t>Sambreville</t>
  </si>
  <si>
    <t>Seraing</t>
  </si>
  <si>
    <t>Silly</t>
  </si>
  <si>
    <t>Sivry-Rance</t>
  </si>
  <si>
    <t>Soignies</t>
  </si>
  <si>
    <t>Somme-Leuze</t>
  </si>
  <si>
    <t>Soumagne</t>
  </si>
  <si>
    <t>Spa</t>
  </si>
  <si>
    <t>Sprimont</t>
  </si>
  <si>
    <t>Stavelot</t>
  </si>
  <si>
    <t>BE30 0910 0051 2311</t>
  </si>
  <si>
    <t>0207.387.978</t>
  </si>
  <si>
    <t>BE13 0910 0017 5639</t>
  </si>
  <si>
    <t>0207.277.617</t>
  </si>
  <si>
    <t>BE58 0910 0053 8579</t>
  </si>
  <si>
    <t>0206.706.109</t>
  </si>
  <si>
    <t>BE08 0910 0051 2513</t>
  </si>
  <si>
    <t>0216.696.515</t>
  </si>
  <si>
    <t>BE27 0910 0040 2173</t>
  </si>
  <si>
    <t>0207.355.019</t>
  </si>
  <si>
    <t>BE39 0910 0051 3119</t>
  </si>
  <si>
    <t>0216.695.723</t>
  </si>
  <si>
    <t>BE64 0910 1187 5152</t>
  </si>
  <si>
    <t>0207.379.466</t>
  </si>
  <si>
    <t>BE69 0910 0040 2678</t>
  </si>
  <si>
    <t>0207.292.463</t>
  </si>
  <si>
    <t>BE81 0910 0051 3523</t>
  </si>
  <si>
    <t>0206.564.666</t>
  </si>
  <si>
    <t>BE59 0910 0051 3826</t>
  </si>
  <si>
    <t>0207.392.433</t>
  </si>
  <si>
    <t>BE65 0910 0052 0896</t>
  </si>
  <si>
    <t>0216.697.109</t>
  </si>
  <si>
    <t xml:space="preserve">BE48 0910 0044 6027 </t>
  </si>
  <si>
    <t>0207.347.002</t>
  </si>
  <si>
    <t xml:space="preserve">BE89 0910 0040 3385 </t>
  </si>
  <si>
    <t>0207.410.645</t>
  </si>
  <si>
    <t>BE98 0910 0040 4193</t>
  </si>
  <si>
    <t>0216.692.753</t>
  </si>
  <si>
    <t>BE76 0910 0040 4395</t>
  </si>
  <si>
    <t>0207.298.995</t>
  </si>
  <si>
    <t>BE98 0910 0053 9993</t>
  </si>
  <si>
    <t>0207.399.757</t>
  </si>
  <si>
    <t>BE79 09100044 6633</t>
  </si>
  <si>
    <t>0207.347.396</t>
  </si>
  <si>
    <t>BE02 0910 0044 7340</t>
  </si>
  <si>
    <t>0206.768.366</t>
  </si>
  <si>
    <t>BE75 0910 0044 8451</t>
  </si>
  <si>
    <t>0207.347.495</t>
  </si>
  <si>
    <t>BE73 0910 0044 9360</t>
  </si>
  <si>
    <t>0207.403.915</t>
  </si>
  <si>
    <t>INV_4</t>
  </si>
  <si>
    <t>20/20484</t>
  </si>
  <si>
    <t>rue de Hotton 1</t>
  </si>
  <si>
    <t>RENDEUX</t>
  </si>
  <si>
    <t>avenue de Mérode 75</t>
  </si>
  <si>
    <t>RIXENSART</t>
  </si>
  <si>
    <t>place Albert Ier 1</t>
  </si>
  <si>
    <t>ROCHEFORT</t>
  </si>
  <si>
    <t>rue du 8 Septembre 41</t>
  </si>
  <si>
    <t>DAMPICOURT</t>
  </si>
  <si>
    <t>Place 1</t>
  </si>
  <si>
    <t>RUMES</t>
  </si>
  <si>
    <t>Rue des Trois Ponts, 46</t>
  </si>
  <si>
    <t>SAINTE-ODE</t>
  </si>
  <si>
    <t>Rue Albert 1er, 16</t>
  </si>
  <si>
    <t>SAINT-GEORGES-SUR-MEUSE</t>
  </si>
  <si>
    <t>Rue de Chièvres, 17</t>
  </si>
  <si>
    <t>TERTRE</t>
  </si>
  <si>
    <t>SAINT-HUBERT</t>
  </si>
  <si>
    <t>Rue du Château 19</t>
  </si>
  <si>
    <t>SAINT-LEGER</t>
  </si>
  <si>
    <t>Grand Place</t>
  </si>
  <si>
    <t>SAMBREVILLE</t>
  </si>
  <si>
    <t>Place Communale 8</t>
  </si>
  <si>
    <t>SERAING</t>
  </si>
  <si>
    <t>Place Communale 18</t>
  </si>
  <si>
    <t>SILLY</t>
  </si>
  <si>
    <t>Grand Place 2</t>
  </si>
  <si>
    <t>SIVRY-RANCE</t>
  </si>
  <si>
    <t>Place Verte 32</t>
  </si>
  <si>
    <t>SOIGNIES</t>
  </si>
  <si>
    <t>rue du Centre 1</t>
  </si>
  <si>
    <t>BAILLONVILLE</t>
  </si>
  <si>
    <t>Avenue de la Coopération 38</t>
  </si>
  <si>
    <t>SOUMAGNE</t>
  </si>
  <si>
    <t>Rue de l'Hôtel de Ville 44</t>
  </si>
  <si>
    <t>SPA</t>
  </si>
  <si>
    <t>Rue du Centre, 1</t>
  </si>
  <si>
    <t>SPRIMONT</t>
  </si>
  <si>
    <t>Place Saint Remacle, 32</t>
  </si>
  <si>
    <t>STAVELOT</t>
  </si>
  <si>
    <t>Tellin</t>
  </si>
  <si>
    <t>Tenneville</t>
  </si>
  <si>
    <t>BE90 0910 0051 4432</t>
  </si>
  <si>
    <t>0207.391.344</t>
  </si>
  <si>
    <t>BE46 0910 0051 4836</t>
  </si>
  <si>
    <t>0206.578.821</t>
  </si>
  <si>
    <t>rue de la Libération 45</t>
  </si>
  <si>
    <t>TELLIN</t>
  </si>
  <si>
    <t>route de Bastogne 1</t>
  </si>
  <si>
    <t>TENNEVILLE</t>
  </si>
  <si>
    <t>Tinlot</t>
  </si>
  <si>
    <t>Tintigny</t>
  </si>
  <si>
    <t>Tournai</t>
  </si>
  <si>
    <t>Tubize</t>
  </si>
  <si>
    <t>Vaux-sur-Sûre</t>
  </si>
  <si>
    <t>Verlaine</t>
  </si>
  <si>
    <t>Verviers</t>
  </si>
  <si>
    <t>Vielsalm</t>
  </si>
  <si>
    <t>Villers-la-Ville</t>
  </si>
  <si>
    <t>Villers-le-Bouillet</t>
  </si>
  <si>
    <t>Viroinval</t>
  </si>
  <si>
    <t>Virton</t>
  </si>
  <si>
    <t>Visé</t>
  </si>
  <si>
    <t>Waimes</t>
  </si>
  <si>
    <t>Walhain</t>
  </si>
  <si>
    <t>Wanze</t>
  </si>
  <si>
    <t>Waremme</t>
  </si>
  <si>
    <t>Wasseiges</t>
  </si>
  <si>
    <t>Waterloo</t>
  </si>
  <si>
    <t>Wavre</t>
  </si>
  <si>
    <t>Welkenraedt</t>
  </si>
  <si>
    <t>Wellin</t>
  </si>
  <si>
    <t>Yvoir</t>
  </si>
  <si>
    <t>BE80 0971 6645 0077</t>
  </si>
  <si>
    <t>0216.693.941</t>
  </si>
  <si>
    <t>BE13 0910 0051 5139</t>
  </si>
  <si>
    <t>0207.392.928</t>
  </si>
  <si>
    <t>BE90 0910 0040 7732</t>
  </si>
  <si>
    <t>0207.354.920</t>
  </si>
  <si>
    <t>BE23 091 00019 0591</t>
  </si>
  <si>
    <t>0207.314.041</t>
  </si>
  <si>
    <t>BE77 0910 0051 5442</t>
  </si>
  <si>
    <t>0207.691.846</t>
  </si>
  <si>
    <t>BE78 0910 0045 1986</t>
  </si>
  <si>
    <t>0207.336.213</t>
  </si>
  <si>
    <t>BE34 0910 0045 2390</t>
  </si>
  <si>
    <t>0206.644.741</t>
  </si>
  <si>
    <t>BE44 0910 0051 5745</t>
  </si>
  <si>
    <t>0207.384.812</t>
  </si>
  <si>
    <t>BE30 0910 0019 2211</t>
  </si>
  <si>
    <t>0207.275.538</t>
  </si>
  <si>
    <t>BE17 0910 0045 5121</t>
  </si>
  <si>
    <t>0207.336.708</t>
  </si>
  <si>
    <t>BE32 0910 0054 0502</t>
  </si>
  <si>
    <t>0216.761.742</t>
  </si>
  <si>
    <t>BE53 0910 0051 6553</t>
  </si>
  <si>
    <t>0206.524.777</t>
  </si>
  <si>
    <t>BE35 0910 0045 6737</t>
  </si>
  <si>
    <t>0207.369.271</t>
  </si>
  <si>
    <t>BE13 0910 0045 6939</t>
  </si>
  <si>
    <t>0207.403.222</t>
  </si>
  <si>
    <t>BE59 0910 0019 3726</t>
  </si>
  <si>
    <t>0216.690.575</t>
  </si>
  <si>
    <t>BE88 0910 0045 7141</t>
  </si>
  <si>
    <t>0207.337.104</t>
  </si>
  <si>
    <t>BE44 0910 0045 7545</t>
  </si>
  <si>
    <t>0207.380.159</t>
  </si>
  <si>
    <t>BE42 0910 0045 8454</t>
  </si>
  <si>
    <t>0207.380.258</t>
  </si>
  <si>
    <t>BE48 0910 0019 3827</t>
  </si>
  <si>
    <t>0207.277.122</t>
  </si>
  <si>
    <t>BE35 0910 0019 4837</t>
  </si>
  <si>
    <t>0207.316.021</t>
  </si>
  <si>
    <t>BE20 0910 0045 8656</t>
  </si>
  <si>
    <t>0206.621.975</t>
  </si>
  <si>
    <t>BE93 0910 0051 7967</t>
  </si>
  <si>
    <t>0206.565.755</t>
  </si>
  <si>
    <t>BE28 0910 0054 2320</t>
  </si>
  <si>
    <t>0206.706.604</t>
  </si>
  <si>
    <t>rue du Centre 19</t>
  </si>
  <si>
    <t>TINLOT</t>
  </si>
  <si>
    <t>Grand-Rue 76</t>
  </si>
  <si>
    <t>TINTIGNY</t>
  </si>
  <si>
    <t>rue de l'Enclos Saint-Martin 52</t>
  </si>
  <si>
    <t>TOURNAI</t>
  </si>
  <si>
    <t>TUBIZE</t>
  </si>
  <si>
    <t>Chaussée de Neufchâteau, 36</t>
  </si>
  <si>
    <t>VAUX-SUR-SÛRE</t>
  </si>
  <si>
    <t>Vinâve des Stréats 32</t>
  </si>
  <si>
    <t>VERLAINE</t>
  </si>
  <si>
    <t>place du Marché 55</t>
  </si>
  <si>
    <t>VERVIERS</t>
  </si>
  <si>
    <t>rue de l'Hôtel de Ville 5</t>
  </si>
  <si>
    <t>VIELSALM</t>
  </si>
  <si>
    <t>Rue de Marbais, 37</t>
  </si>
  <si>
    <t>VILLERS-LA-VILLE</t>
  </si>
  <si>
    <t>rue des Marronniers 16</t>
  </si>
  <si>
    <t>VILLERS-LE-BOUILLET</t>
  </si>
  <si>
    <t>Parc Communal, 1</t>
  </si>
  <si>
    <t>NISMES</t>
  </si>
  <si>
    <t>rue C. Magnette 17</t>
  </si>
  <si>
    <t>VIRTON</t>
  </si>
  <si>
    <t>rue des Récollets 1</t>
  </si>
  <si>
    <t>VISE</t>
  </si>
  <si>
    <t>place Baudouin 1</t>
  </si>
  <si>
    <t>WAIMES</t>
  </si>
  <si>
    <t>WALHAIN</t>
  </si>
  <si>
    <t>Chaussée de Wavre, 39</t>
  </si>
  <si>
    <t>WANZE</t>
  </si>
  <si>
    <t>Rue Joseph Wauters, 2</t>
  </si>
  <si>
    <t>WAREMME</t>
  </si>
  <si>
    <t>Rue du Baron d'Obin, 219</t>
  </si>
  <si>
    <t>WASSEIGES</t>
  </si>
  <si>
    <t>Rue François Libert, 28</t>
  </si>
  <si>
    <t>WATERLOO</t>
  </si>
  <si>
    <t>place de l'Hôtel de Ville</t>
  </si>
  <si>
    <t>WAVRE</t>
  </si>
  <si>
    <t>rue de l'Ecole 8</t>
  </si>
  <si>
    <t>WELKENRAEDT</t>
  </si>
  <si>
    <t>WELLIN</t>
  </si>
  <si>
    <t>Rue de l'Hôtel de Ville, 1</t>
  </si>
  <si>
    <t>YVOIR</t>
  </si>
  <si>
    <t>AM</t>
  </si>
  <si>
    <t>Date AM V1 et v3</t>
  </si>
  <si>
    <t>Ref AM V1</t>
  </si>
  <si>
    <t>Arrêté ministériel POLLEC 2020_</t>
  </si>
  <si>
    <t xml:space="preserve"> du 02-12-2020</t>
  </si>
  <si>
    <t>Sélectionner Commune/Supra</t>
  </si>
  <si>
    <t>Bureau économique de la Province de Namur</t>
  </si>
  <si>
    <t>Commission de gestion du Parc naturel de Gaume</t>
  </si>
  <si>
    <t>Groupe d'action Local du Pays des condruses</t>
  </si>
  <si>
    <t>Groupe d'action Local du Pays des Tiges et Chavée</t>
  </si>
  <si>
    <t>Gal Pays de l'Ourthe</t>
  </si>
  <si>
    <t>IDETA</t>
  </si>
  <si>
    <t>in BW scrl intercommunale</t>
  </si>
  <si>
    <t>Pays de Famenne Asbl</t>
  </si>
  <si>
    <t>Province de Hainaut</t>
  </si>
  <si>
    <t>Province de Liège</t>
  </si>
  <si>
    <t>Province du Luxembourg</t>
  </si>
  <si>
    <t>BE84 0910 0169 0859</t>
  </si>
  <si>
    <t>BE26 0910 2139 8229</t>
  </si>
  <si>
    <t>BE52 3631 6341 2809</t>
  </si>
  <si>
    <t>BE94 3630 5929 5314</t>
  </si>
  <si>
    <t>BE22 0682 5095 0747</t>
  </si>
  <si>
    <t>BE98 0910 1956 1693</t>
  </si>
  <si>
    <t>BE37 1922 0888 8128</t>
  </si>
  <si>
    <t>BE98 0682 4627 9993</t>
  </si>
  <si>
    <t>BE17 0910 1073 7121</t>
  </si>
  <si>
    <t>BE36 0910 1013 2081</t>
  </si>
  <si>
    <t>BE67 0910 0056 8487</t>
  </si>
  <si>
    <t>0219.802.592</t>
  </si>
  <si>
    <t>0859.743.068</t>
  </si>
  <si>
    <t>0808.647.923</t>
  </si>
  <si>
    <t>0480.394.379</t>
  </si>
  <si>
    <t>0476.741.538</t>
  </si>
  <si>
    <t>0241.098.844</t>
  </si>
  <si>
    <t>0200.362.210</t>
  </si>
  <si>
    <t>0889.964.013</t>
  </si>
  <si>
    <t>0207.656.610</t>
  </si>
  <si>
    <t xml:space="preserve">0207.725.104 </t>
  </si>
  <si>
    <t>0207.725.401</t>
  </si>
  <si>
    <t>II_63.05</t>
  </si>
  <si>
    <t>II_53.01</t>
  </si>
  <si>
    <t>II_63.03</t>
  </si>
  <si>
    <t>SUPRA_INV_2</t>
  </si>
  <si>
    <t>SUPRA_INV_1</t>
  </si>
  <si>
    <t>SUPRA_INV_3</t>
  </si>
  <si>
    <t>20/20872</t>
  </si>
  <si>
    <t>20/20839</t>
  </si>
  <si>
    <t>20/20487 </t>
  </si>
  <si>
    <t>Avenue du Sergent Vrithoff 2</t>
  </si>
  <si>
    <t>Rue Camille Joset, 1</t>
  </si>
  <si>
    <t>ROSSIGNOL</t>
  </si>
  <si>
    <t>Rue de la Charmille 16</t>
  </si>
  <si>
    <t>Rue de la pichelotte 9D</t>
  </si>
  <si>
    <t xml:space="preserve">Bardonwez 2 </t>
  </si>
  <si>
    <t>Quai Saint Brice 35</t>
  </si>
  <si>
    <t xml:space="preserve">10, Rue de la Religion </t>
  </si>
  <si>
    <t>Rue Saint Laurent 14</t>
  </si>
  <si>
    <t>Rue verte, 13</t>
  </si>
  <si>
    <t>Place Saint-Lambert,18A</t>
  </si>
  <si>
    <t>Place Léopold, 1</t>
  </si>
  <si>
    <t xml:space="preserve">N° BCE* : </t>
  </si>
  <si>
    <t xml:space="preserve">N° de compte IBAN* : </t>
  </si>
  <si>
    <t>Base légale*</t>
  </si>
  <si>
    <t>N° Visa*</t>
  </si>
  <si>
    <t>Téléphone :</t>
  </si>
  <si>
    <t>Email :</t>
  </si>
  <si>
    <t>Service :</t>
  </si>
  <si>
    <t>SUBSIDE</t>
  </si>
  <si>
    <t>COORDONNÉES DU CORRESPONDANT COMPTABLE </t>
  </si>
  <si>
    <r>
      <t xml:space="preserve">BÉNÉFICIAIRE 
</t>
    </r>
    <r>
      <rPr>
        <b/>
        <i/>
        <u/>
        <sz val="11"/>
        <color theme="0" tint="-0.499984740745262"/>
        <rFont val="Calibri"/>
        <family val="2"/>
      </rPr>
      <t>* merci de vérifier les informations pré-encodées s'affichant une fois le nom du bénéficiaire sélectionné</t>
    </r>
  </si>
  <si>
    <t>Poste mis en œuvre en interne ou sous-traité</t>
  </si>
  <si>
    <t>Description</t>
  </si>
  <si>
    <t>Nom du sous-traitant</t>
  </si>
  <si>
    <t>Interne</t>
  </si>
  <si>
    <t>1-intermédiaire</t>
  </si>
  <si>
    <t>2-finale</t>
  </si>
  <si>
    <t>Attention: compléter la déclaration de créance de manière dactylographiée (sinon celle-ci sera refusée)</t>
  </si>
  <si>
    <t>Rapport financier</t>
  </si>
  <si>
    <t>POLLEC 2020</t>
  </si>
  <si>
    <t>Type de frais</t>
  </si>
  <si>
    <t>Frais directs</t>
  </si>
  <si>
    <t>Frais induits</t>
  </si>
  <si>
    <t>Volet 2 Invest: Guide des dépenses éligibles</t>
  </si>
  <si>
    <t>Pour rappel, vous trouverez le guide des dépenses éligibles pour le Volet 2 Investissement ici:</t>
  </si>
  <si>
    <t>Investissement</t>
  </si>
  <si>
    <t>Version</t>
  </si>
  <si>
    <t xml:space="preserve">TABLEAU RÉCAPITULATIF DC </t>
  </si>
  <si>
    <t>DC n°1</t>
  </si>
  <si>
    <t>Civilité :</t>
  </si>
  <si>
    <t>Madame</t>
  </si>
  <si>
    <t>Nom  :</t>
  </si>
  <si>
    <t>Part (en €) du  subside attribué à ce projet (information obligatoire)</t>
  </si>
  <si>
    <t>Veuillez sélectionner</t>
  </si>
  <si>
    <t>Monsieur</t>
  </si>
  <si>
    <t>Gestionnaire Technique</t>
  </si>
  <si>
    <t>Zélie Mulders</t>
  </si>
  <si>
    <t>Sara Piccirilli</t>
  </si>
  <si>
    <t>Email GT</t>
  </si>
  <si>
    <t>zelie.mulders@spw.wallonie.be</t>
  </si>
  <si>
    <t>sara.piccirilli@spw.wallonie.be</t>
  </si>
  <si>
    <t>+3281/48.64.14</t>
  </si>
  <si>
    <t>+3281/48.63.41</t>
  </si>
  <si>
    <t>Tel GT</t>
  </si>
  <si>
    <t>Montant total du subside reçu*</t>
  </si>
  <si>
    <r>
      <t xml:space="preserve">BUDGET
</t>
    </r>
    <r>
      <rPr>
        <b/>
        <i/>
        <u/>
        <sz val="11"/>
        <color theme="0" tint="-0.499984740745262"/>
        <rFont val="Calibri"/>
        <family val="2"/>
      </rPr>
      <t>* merci de vérifier les informations pré-encodées s'affichant une fois le nom du bénéficiaire sélectionné</t>
    </r>
    <r>
      <rPr>
        <b/>
        <u/>
        <sz val="14"/>
        <color theme="1"/>
        <rFont val="Calibri"/>
        <family val="2"/>
      </rPr>
      <t xml:space="preserve">
</t>
    </r>
    <r>
      <rPr>
        <i/>
        <u/>
        <sz val="11"/>
        <color theme="1" tint="0.34998626667073579"/>
        <rFont val="Calibri"/>
        <family val="2"/>
      </rPr>
      <t xml:space="preserve">** </t>
    </r>
    <r>
      <rPr>
        <b/>
        <i/>
        <u/>
        <sz val="11"/>
        <color theme="1" tint="0.34998626667073579"/>
        <rFont val="Calibri"/>
        <family val="2"/>
      </rPr>
      <t>Par défaut, on considère, un projet par subside, si vous avez plusieurs projets, merci de modifier les informations reprises en cellule B22 et B23</t>
    </r>
  </si>
  <si>
    <t>DC N°2</t>
  </si>
  <si>
    <t>adresse* :</t>
  </si>
  <si>
    <t>CP* :</t>
  </si>
  <si>
    <t>Localité* :</t>
  </si>
  <si>
    <r>
      <t xml:space="preserve">ADRESSE
</t>
    </r>
    <r>
      <rPr>
        <b/>
        <u/>
        <sz val="11"/>
        <color theme="1" tint="0.499984740745262"/>
        <rFont val="Calibri"/>
        <family val="2"/>
      </rPr>
      <t>* merci de vérifier les informations pré-encodées s'affichant une fois le nom du bénéficiaire sélectionné</t>
    </r>
  </si>
  <si>
    <t>Référence légale</t>
  </si>
  <si>
    <t xml:space="preserve"> Rapport d'activité</t>
  </si>
  <si>
    <t>Pièces jutificatives</t>
  </si>
  <si>
    <t>Livrables prévus dans l'AM</t>
  </si>
  <si>
    <t>IDENTIF_ADRESSE</t>
  </si>
  <si>
    <t>DATE_DEB_CONV</t>
  </si>
  <si>
    <t>DATE_FIN_CONV</t>
  </si>
  <si>
    <t>DC_N°</t>
  </si>
  <si>
    <t>DC_TOT_DECL</t>
  </si>
  <si>
    <t>IDENTIF_ADRESSE_CP</t>
  </si>
  <si>
    <t>IDENTIF_ADRESSE_LOC</t>
  </si>
  <si>
    <t>IDENTIF_AGT_CIV</t>
  </si>
  <si>
    <t>IDENTIF_AGT_EMAIL</t>
  </si>
  <si>
    <t>IDENTIF_AGT_NOM</t>
  </si>
  <si>
    <t>IDENTIF_AGT_SERVICE</t>
  </si>
  <si>
    <t>IDENTIF_AGT_TEL</t>
  </si>
  <si>
    <t>IDENTIF_BCE</t>
  </si>
  <si>
    <t>IDENTIF_BUDG_AB_CONV</t>
  </si>
  <si>
    <t>IDENTIF_BUDG_PROGRAMME_CONV</t>
  </si>
  <si>
    <t>IDENTIF_COMPTE_BIC</t>
  </si>
  <si>
    <t>IDENTIF_COMPTE_COM</t>
  </si>
  <si>
    <t>IDENTIF_COMPTE_N°IBAN</t>
  </si>
  <si>
    <t>IDENTIF_COMPTE_OUVERT_NOM_DE</t>
  </si>
  <si>
    <t>IDENTIF_DEB_DC</t>
  </si>
  <si>
    <t>IDENTIF_Durée_de_la_DC_en_mois</t>
  </si>
  <si>
    <t>IDENTIF_FIN_DC</t>
  </si>
  <si>
    <t>IDENTIF_LEGALE</t>
  </si>
  <si>
    <t>IDENTIF_MONTANT_AUTRES_PROJETS</t>
  </si>
  <si>
    <t>IDENTIF_MONTANT_PROJET</t>
  </si>
  <si>
    <t>IDENTIF_MONTANT_SUBSIDE</t>
  </si>
  <si>
    <t>IDENTIF_NOM_PROJET</t>
  </si>
  <si>
    <t>IDENTIF_NOM_REQUERANT</t>
  </si>
  <si>
    <t>IDENTIF_TAUX_DE_FINANCEMENT</t>
  </si>
  <si>
    <t>IDENTIF_TYPE_SUBS</t>
  </si>
  <si>
    <t>IDENTIF_VISA_CONV</t>
  </si>
  <si>
    <t>MONTANT_DC_C3_FONDS_ROULEMENT_JUSTIFIE</t>
  </si>
  <si>
    <t>MONTANT_DC_C3_SOLDE_DESENGAGE</t>
  </si>
  <si>
    <t>MONTANT_DC_C3_TOT_LIQUIDE</t>
  </si>
  <si>
    <t>MONTANT_TOT_MAT_ACC</t>
  </si>
  <si>
    <t>MONTANT_TOT_MAT_DECL</t>
  </si>
  <si>
    <t>PL_ORDO_DC1</t>
  </si>
  <si>
    <t>PL_ORDO_DC2</t>
  </si>
  <si>
    <t>SYNT_A_REMBOURSER</t>
  </si>
  <si>
    <t>SYNT_BUDGET_100</t>
  </si>
  <si>
    <t>SYNTH_DIFF_1</t>
  </si>
  <si>
    <t>SYNTH_DIFF_2</t>
  </si>
  <si>
    <t>SYNTH_DIFF_TOT</t>
  </si>
  <si>
    <t>SYNTH_FR</t>
  </si>
  <si>
    <t>SYNTH_FR_JUSTIF_1</t>
  </si>
  <si>
    <t>SYNTH_FR_JUSTIF_2</t>
  </si>
  <si>
    <t>SYNTH_FR_SOLDE_1</t>
  </si>
  <si>
    <t>SYNTH_FR_SOLDE_1_2</t>
  </si>
  <si>
    <t>SYNTH_FR_SOLDE_2</t>
  </si>
  <si>
    <t>SYNTH_MAT_ACC_1</t>
  </si>
  <si>
    <t>SYNTH_MAT_ACC_2</t>
  </si>
  <si>
    <t>SYNTH_MAT_DECL_1</t>
  </si>
  <si>
    <t>SYNTH_MAT_DECL_2</t>
  </si>
  <si>
    <t>SYNTH_MONTANT_LIQUIDE_1</t>
  </si>
  <si>
    <t>SYNTH_MONTANT_LIQUIDE_2</t>
  </si>
  <si>
    <t>SYNTH_SOLDE</t>
  </si>
  <si>
    <t>SYNTH_SST_ACC_1</t>
  </si>
  <si>
    <t>SYNTH_SST_ACC_2</t>
  </si>
  <si>
    <t>SYNTH_SST_DECL_1</t>
  </si>
  <si>
    <t>SYNTH_SST_DECL_2</t>
  </si>
  <si>
    <t>SYNTH_SUBSIDE</t>
  </si>
  <si>
    <t>SYNTH_SUBSIDE_SOLDE</t>
  </si>
  <si>
    <t>SYNTH_TOT_DC_ACC</t>
  </si>
  <si>
    <t>SYNTH_TOT_DC_ACC_1</t>
  </si>
  <si>
    <t>SYNTH_TOT_DC_ACC_2</t>
  </si>
  <si>
    <t>SYNTH_TOT_DC_DECL</t>
  </si>
  <si>
    <t>SYNTH_TOT_DC_DECL_1</t>
  </si>
  <si>
    <t>SYNTH_TOT_DC_DECL_2</t>
  </si>
  <si>
    <t>SYNTH_TOT_LIQUIDE_1_2</t>
  </si>
  <si>
    <t>SYNTH_TOT_MAT_ACC</t>
  </si>
  <si>
    <t>SYNTH_TOT_MAT_DECL</t>
  </si>
  <si>
    <t>SYNTH_TOT_SST_ACC</t>
  </si>
  <si>
    <t>SYNTH_TOT_SST_DECL</t>
  </si>
  <si>
    <t>SYTNH_ACC_1_100</t>
  </si>
  <si>
    <t>SYTNH_ACC_2_100</t>
  </si>
  <si>
    <t>SYTNH_DECL_1_100</t>
  </si>
  <si>
    <t>SYTNH_DECL_2_100</t>
  </si>
  <si>
    <t>SYTNH_TOT_ACC_100</t>
  </si>
  <si>
    <t>SYTNH_TOT_DECL_100</t>
  </si>
  <si>
    <t>TVA</t>
  </si>
  <si>
    <t>VOS_REF</t>
  </si>
  <si>
    <t xml:space="preserve">raison révision frais </t>
  </si>
  <si>
    <t>GT</t>
  </si>
  <si>
    <t>TEL_GT</t>
  </si>
  <si>
    <t>EMAIL</t>
  </si>
  <si>
    <r>
      <t>DC_finale_POLLEC20_NOM-DU-PROJET_</t>
    </r>
    <r>
      <rPr>
        <i/>
        <sz val="11"/>
        <color theme="1"/>
        <rFont val="Calibri"/>
        <family val="2"/>
      </rPr>
      <t>Nom du bénéficiaire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</si>
</sst>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quot;€&quot;* #,##0.00_);_(&quot;€&quot;* \(#,##0.00\);_(&quot;€&quot;* &quot;-&quot;??_);_(@_)"/>
    <numFmt numFmtId="165" formatCode="#,##0.00\ &quot;€&quot;"/>
    <numFmt numFmtId="166" formatCode="[$-80C]dd\-mmm\-yy;@"/>
    <numFmt numFmtId="167" formatCode="_-* #,##0.00\ [$€-40C]_-;\-* #,##0.00\ [$€-40C]_-;_-* &quot;-&quot;??\ [$€-40C]_-;_-@_-"/>
    <numFmt numFmtId="168" formatCode="_-* #,##0.00\ [$€-80C]_-;\-* #,##0.00\ [$€-80C]_-;_-* &quot;-&quot;??\ [$€-80C]_-;_-@_-"/>
    <numFmt numFmtId="169" formatCode="dd/mm/yy;@"/>
  </numFmts>
  <fonts count="87"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font>
    <font>
      <b/>
      <u/>
      <sz val="11"/>
      <color theme="1"/>
      <name val="Calibri"/>
      <family val="2"/>
    </font>
    <font>
      <b/>
      <sz val="12"/>
      <color theme="1"/>
      <name val="Calibri"/>
      <family val="2"/>
    </font>
    <font>
      <sz val="11"/>
      <color rgb="FF000000"/>
      <name val="Calibri"/>
      <family val="2"/>
    </font>
    <font>
      <sz val="12"/>
      <color theme="1"/>
      <name val="Calibri"/>
      <family val="2"/>
    </font>
    <font>
      <sz val="11"/>
      <name val="Calibri"/>
      <family val="2"/>
    </font>
    <font>
      <u/>
      <sz val="11"/>
      <color theme="1"/>
      <name val="Calibri"/>
      <family val="2"/>
    </font>
    <font>
      <b/>
      <sz val="11"/>
      <name val="Calibri"/>
      <family val="2"/>
    </font>
    <font>
      <b/>
      <sz val="14"/>
      <color theme="1"/>
      <name val="Calibri"/>
      <family val="2"/>
    </font>
    <font>
      <sz val="12"/>
      <name val="Calibri"/>
      <family val="2"/>
    </font>
    <font>
      <b/>
      <sz val="10"/>
      <color theme="1"/>
      <name val="Calibri"/>
      <family val="2"/>
    </font>
    <font>
      <b/>
      <sz val="10"/>
      <name val="Calibri"/>
      <family val="2"/>
    </font>
    <font>
      <sz val="11"/>
      <color theme="1"/>
      <name val="Calibri"/>
      <family val="2"/>
    </font>
    <font>
      <sz val="10"/>
      <color theme="1"/>
      <name val="Calibri"/>
      <family val="2"/>
    </font>
    <font>
      <sz val="14"/>
      <name val="Calibri"/>
      <family val="2"/>
    </font>
    <font>
      <sz val="10"/>
      <name val="Calibri"/>
      <family val="2"/>
    </font>
    <font>
      <sz val="10"/>
      <color theme="1" tint="0.499984740745262"/>
      <name val="Calibri"/>
      <family val="2"/>
    </font>
    <font>
      <sz val="10"/>
      <color theme="0" tint="-0.499984740745262"/>
      <name val="Calibri"/>
      <family val="2"/>
    </font>
    <font>
      <b/>
      <u/>
      <sz val="11"/>
      <name val="Calibri"/>
      <family val="2"/>
    </font>
    <font>
      <sz val="11"/>
      <color rgb="FF050000"/>
      <name val="Calibri"/>
      <family val="2"/>
    </font>
    <font>
      <sz val="11"/>
      <color theme="0"/>
      <name val="Calibri"/>
      <family val="2"/>
    </font>
    <font>
      <b/>
      <sz val="18"/>
      <color indexed="8"/>
      <name val="Calibri"/>
      <family val="2"/>
    </font>
    <font>
      <sz val="14"/>
      <color theme="1"/>
      <name val="Calibri"/>
      <family val="2"/>
    </font>
    <font>
      <b/>
      <sz val="9"/>
      <color theme="1"/>
      <name val="Calibri"/>
      <family val="2"/>
    </font>
    <font>
      <sz val="9"/>
      <name val="Calibri"/>
      <family val="2"/>
    </font>
    <font>
      <sz val="16"/>
      <color theme="1"/>
      <name val="Calibri"/>
      <family val="2"/>
    </font>
    <font>
      <b/>
      <sz val="18"/>
      <color rgb="FF050000"/>
      <name val="Calibri"/>
      <family val="2"/>
    </font>
    <font>
      <sz val="16"/>
      <color theme="1" tint="0.499984740745262"/>
      <name val="Calibri"/>
      <family val="2"/>
    </font>
    <font>
      <sz val="12"/>
      <color theme="0"/>
      <name val="Calibri"/>
      <family val="2"/>
    </font>
    <font>
      <b/>
      <u/>
      <sz val="14"/>
      <color theme="1"/>
      <name val="Calibri"/>
      <family val="2"/>
    </font>
    <font>
      <b/>
      <u/>
      <sz val="14"/>
      <name val="Calibri"/>
      <family val="2"/>
    </font>
    <font>
      <sz val="12"/>
      <color indexed="81"/>
      <name val="Tahoma"/>
      <family val="2"/>
    </font>
    <font>
      <b/>
      <u/>
      <sz val="9"/>
      <color theme="1"/>
      <name val="Calibri"/>
      <family val="2"/>
    </font>
    <font>
      <sz val="9"/>
      <color theme="1"/>
      <name val="Calibri"/>
      <family val="2"/>
    </font>
    <font>
      <sz val="9"/>
      <color theme="0"/>
      <name val="Calibri"/>
      <family val="2"/>
    </font>
    <font>
      <b/>
      <sz val="9"/>
      <name val="Calibri"/>
      <family val="2"/>
    </font>
    <font>
      <sz val="9"/>
      <color theme="0" tint="-0.499984740745262"/>
      <name val="Calibri"/>
      <family val="2"/>
    </font>
    <font>
      <sz val="9"/>
      <color rgb="FFFF0000"/>
      <name val="Calibri"/>
      <family val="2"/>
    </font>
    <font>
      <sz val="12"/>
      <color theme="1"/>
      <name val="Calibri"/>
      <family val="2"/>
      <scheme val="minor"/>
    </font>
    <font>
      <sz val="12"/>
      <name val="Calibri"/>
      <family val="2"/>
      <scheme val="minor"/>
    </font>
    <font>
      <b/>
      <sz val="12"/>
      <color theme="1"/>
      <name val="Calibri"/>
      <family val="2"/>
      <scheme val="minor"/>
    </font>
    <font>
      <b/>
      <sz val="12"/>
      <name val="Calibri"/>
      <family val="2"/>
      <scheme val="minor"/>
    </font>
    <font>
      <b/>
      <u/>
      <sz val="9"/>
      <color rgb="FFFF0000"/>
      <name val="Calibri"/>
      <family val="2"/>
    </font>
    <font>
      <sz val="9"/>
      <color indexed="81"/>
      <name val="Tahoma"/>
      <family val="2"/>
    </font>
    <font>
      <sz val="10"/>
      <color rgb="FF000000"/>
      <name val="Calibri"/>
      <family val="2"/>
    </font>
    <font>
      <sz val="11"/>
      <color rgb="FFFF0000"/>
      <name val="Calibri"/>
      <family val="2"/>
    </font>
    <font>
      <sz val="8"/>
      <name val="Calibri"/>
      <family val="2"/>
    </font>
    <font>
      <b/>
      <sz val="10"/>
      <color theme="5" tint="-0.249977111117893"/>
      <name val="Calibri"/>
      <family val="2"/>
    </font>
    <font>
      <b/>
      <i/>
      <sz val="12"/>
      <color theme="1"/>
      <name val="Calibri"/>
      <family val="2"/>
      <scheme val="minor"/>
    </font>
    <font>
      <b/>
      <u/>
      <sz val="12"/>
      <color theme="1"/>
      <name val="Calibri"/>
      <family val="2"/>
      <scheme val="minor"/>
    </font>
    <font>
      <b/>
      <sz val="10"/>
      <color theme="1"/>
      <name val="Calibri"/>
      <family val="2"/>
      <scheme val="minor"/>
    </font>
    <font>
      <sz val="10"/>
      <color rgb="FF0070C0"/>
      <name val="Calibri"/>
      <family val="2"/>
      <scheme val="minor"/>
    </font>
    <font>
      <b/>
      <sz val="10"/>
      <color theme="0" tint="-0.34998626667073579"/>
      <name val="Calibri"/>
      <family val="2"/>
      <scheme val="minor"/>
    </font>
    <font>
      <sz val="10"/>
      <color theme="1"/>
      <name val="Calibri"/>
      <family val="2"/>
      <scheme val="minor"/>
    </font>
    <font>
      <b/>
      <sz val="10"/>
      <name val="Calibri"/>
      <family val="2"/>
      <scheme val="minor"/>
    </font>
    <font>
      <sz val="10"/>
      <color theme="1" tint="0.499984740745262"/>
      <name val="Calibri"/>
      <family val="2"/>
      <scheme val="minor"/>
    </font>
    <font>
      <sz val="10"/>
      <name val="Calibri"/>
      <family val="2"/>
      <scheme val="minor"/>
    </font>
    <font>
      <sz val="10"/>
      <color theme="0" tint="-0.499984740745262"/>
      <name val="Calibri"/>
      <family val="2"/>
      <scheme val="minor"/>
    </font>
    <font>
      <sz val="10"/>
      <color theme="0" tint="-0.34998626667073579"/>
      <name val="Calibri"/>
      <family val="2"/>
      <scheme val="minor"/>
    </font>
    <font>
      <sz val="10"/>
      <color theme="1" tint="0.34998626667073579"/>
      <name val="Calibri"/>
      <family val="2"/>
      <scheme val="minor"/>
    </font>
    <font>
      <sz val="10"/>
      <color theme="0" tint="-0.249977111117893"/>
      <name val="Calibri"/>
      <family val="2"/>
      <scheme val="minor"/>
    </font>
    <font>
      <sz val="10"/>
      <color theme="8" tint="-0.249977111117893"/>
      <name val="Calibri"/>
      <family val="2"/>
      <scheme val="minor"/>
    </font>
    <font>
      <sz val="10"/>
      <color theme="9" tint="-0.249977111117893"/>
      <name val="Calibri"/>
      <family val="2"/>
      <scheme val="minor"/>
    </font>
    <font>
      <b/>
      <sz val="10"/>
      <color theme="1" tint="0.34998626667073579"/>
      <name val="Calibri"/>
      <family val="2"/>
      <scheme val="minor"/>
    </font>
    <font>
      <b/>
      <sz val="10"/>
      <color theme="8" tint="-0.249977111117893"/>
      <name val="Calibri"/>
      <family val="2"/>
      <scheme val="minor"/>
    </font>
    <font>
      <sz val="10"/>
      <color theme="0"/>
      <name val="Calibri"/>
      <family val="2"/>
      <scheme val="minor"/>
    </font>
    <font>
      <b/>
      <sz val="11"/>
      <name val="Calibri"/>
      <family val="2"/>
      <scheme val="minor"/>
    </font>
    <font>
      <i/>
      <sz val="11"/>
      <color theme="1"/>
      <name val="Calibri"/>
      <family val="2"/>
    </font>
    <font>
      <sz val="11"/>
      <color indexed="81"/>
      <name val="Tahoma"/>
      <family val="2"/>
    </font>
    <font>
      <sz val="12"/>
      <color indexed="81"/>
      <name val="Calibri"/>
      <family val="2"/>
      <scheme val="minor"/>
    </font>
    <font>
      <b/>
      <u/>
      <sz val="16"/>
      <color theme="1"/>
      <name val="Calibri"/>
      <family val="2"/>
      <scheme val="minor"/>
    </font>
    <font>
      <b/>
      <i/>
      <u/>
      <sz val="11"/>
      <color theme="0" tint="-0.499984740745262"/>
      <name val="Calibri"/>
      <family val="2"/>
    </font>
    <font>
      <sz val="11"/>
      <color theme="1" tint="0.499984740745262"/>
      <name val="Calibri"/>
      <family val="2"/>
    </font>
    <font>
      <b/>
      <sz val="10"/>
      <color rgb="FF000000"/>
      <name val="Calibri"/>
      <family val="2"/>
    </font>
    <font>
      <b/>
      <sz val="11"/>
      <color rgb="FFFF0000"/>
      <name val="Calibri"/>
      <family val="2"/>
    </font>
    <font>
      <u/>
      <sz val="11"/>
      <color theme="10"/>
      <name val="Calibri"/>
      <family val="2"/>
    </font>
    <font>
      <i/>
      <sz val="9"/>
      <color theme="1"/>
      <name val="Calibri"/>
      <family val="2"/>
      <scheme val="minor"/>
    </font>
    <font>
      <sz val="10"/>
      <color theme="1" tint="4.9989318521683403E-2"/>
      <name val="Calibri"/>
      <family val="2"/>
    </font>
    <font>
      <i/>
      <u/>
      <sz val="11"/>
      <color theme="1" tint="0.34998626667073579"/>
      <name val="Calibri"/>
      <family val="2"/>
    </font>
    <font>
      <b/>
      <i/>
      <u/>
      <sz val="11"/>
      <color theme="1" tint="0.34998626667073579"/>
      <name val="Calibri"/>
      <family val="2"/>
    </font>
    <font>
      <b/>
      <u/>
      <sz val="11"/>
      <color theme="1" tint="0.499984740745262"/>
      <name val="Calibri"/>
      <family val="2"/>
    </font>
    <font>
      <sz val="11"/>
      <color theme="1" tint="0.34998626667073579"/>
      <name val="Calibri"/>
      <family val="2"/>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249977111117893"/>
        <bgColor indexed="64"/>
      </patternFill>
    </fill>
    <fill>
      <patternFill patternType="solid">
        <fgColor theme="0"/>
        <bgColor indexed="64"/>
      </patternFill>
    </fill>
    <fill>
      <patternFill patternType="solid">
        <fgColor theme="0"/>
        <bgColor rgb="FF000000"/>
      </patternFill>
    </fill>
    <fill>
      <patternFill patternType="solid">
        <fgColor rgb="FF33CCFF"/>
        <bgColor indexed="64"/>
      </patternFill>
    </fill>
    <fill>
      <patternFill patternType="solid">
        <fgColor rgb="FFFFFFFF"/>
        <bgColor rgb="FF000000"/>
      </patternFill>
    </fill>
    <fill>
      <patternFill patternType="solid">
        <fgColor rgb="FF93CDDD"/>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99"/>
        <bgColor indexed="64"/>
      </patternFill>
    </fill>
  </fills>
  <borders count="63">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top/>
      <bottom/>
      <diagonal/>
    </border>
    <border>
      <left style="thin">
        <color auto="1"/>
      </left>
      <right/>
      <top style="thin">
        <color auto="1"/>
      </top>
      <bottom/>
      <diagonal/>
    </border>
    <border>
      <left style="thin">
        <color theme="0" tint="-0.14996795556505021"/>
      </left>
      <right/>
      <top/>
      <bottom style="thin">
        <color theme="0" tint="-0.14996795556505021"/>
      </bottom>
      <diagonal/>
    </border>
    <border>
      <left/>
      <right/>
      <top style="thin">
        <color theme="0" tint="-0.34998626667073579"/>
      </top>
      <bottom style="thin">
        <color theme="0" tint="-0.34998626667073579"/>
      </bottom>
      <diagonal/>
    </border>
    <border>
      <left style="medium">
        <color theme="0" tint="-0.14993743705557422"/>
      </left>
      <right/>
      <top style="medium">
        <color theme="0" tint="-0.14993743705557422"/>
      </top>
      <bottom style="thin">
        <color theme="0" tint="-0.14996795556505021"/>
      </bottom>
      <diagonal/>
    </border>
    <border>
      <left/>
      <right/>
      <top style="medium">
        <color theme="0" tint="-0.14993743705557422"/>
      </top>
      <bottom style="thin">
        <color theme="0" tint="-0.14996795556505021"/>
      </bottom>
      <diagonal/>
    </border>
    <border>
      <left style="medium">
        <color theme="0" tint="-0.14990691854609822"/>
      </left>
      <right style="thin">
        <color theme="0" tint="-0.14996795556505021"/>
      </right>
      <top/>
      <bottom/>
      <diagonal/>
    </border>
    <border>
      <left/>
      <right style="thin">
        <color theme="0" tint="-0.14996795556505021"/>
      </right>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3743705557422"/>
      </bottom>
      <diagonal/>
    </border>
    <border>
      <left style="thin">
        <color theme="0" tint="-0.34998626667073579"/>
      </left>
      <right style="thin">
        <color theme="0" tint="-0.14996795556505021"/>
      </right>
      <top/>
      <bottom/>
      <diagonal/>
    </border>
    <border>
      <left style="thin">
        <color theme="0" tint="-0.34998626667073579"/>
      </left>
      <right style="thin">
        <color theme="0" tint="-0.34998626667073579"/>
      </right>
      <top/>
      <bottom/>
      <diagonal/>
    </border>
    <border>
      <left/>
      <right style="thin">
        <color theme="0" tint="-0.14996795556505021"/>
      </right>
      <top/>
      <bottom style="thin">
        <color theme="0" tint="-0.149967955565050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theme="0" tint="-0.14990691854609822"/>
      </right>
      <top style="medium">
        <color theme="0" tint="-0.14993743705557422"/>
      </top>
      <bottom style="thin">
        <color theme="0" tint="-0.149967955565050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top style="medium">
        <color indexed="64"/>
      </top>
      <bottom style="medium">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thin">
        <color indexed="64"/>
      </top>
      <bottom style="thin">
        <color indexed="64"/>
      </bottom>
      <diagonal/>
    </border>
    <border>
      <left style="medium">
        <color rgb="FFD8D8D8"/>
      </left>
      <right style="thin">
        <color rgb="FFD8D8D8"/>
      </right>
      <top style="thin">
        <color rgb="FFD8D8D8"/>
      </top>
      <bottom/>
      <diagonal/>
    </border>
    <border>
      <left style="thin">
        <color theme="0" tint="-0.499984740745262"/>
      </left>
      <right/>
      <top style="thin">
        <color theme="0" tint="-0.14993743705557422"/>
      </top>
      <bottom style="thin">
        <color theme="0" tint="-0.14993743705557422"/>
      </bottom>
      <diagonal/>
    </border>
    <border>
      <left style="thin">
        <color theme="0" tint="-0.14996795556505021"/>
      </left>
      <right/>
      <top style="thin">
        <color theme="0" tint="-0.14996795556505021"/>
      </top>
      <bottom/>
      <diagonal/>
    </border>
    <border>
      <left/>
      <right/>
      <top/>
      <bottom style="thin">
        <color theme="0" tint="-0.14996795556505021"/>
      </bottom>
      <diagonal/>
    </border>
    <border>
      <left/>
      <right/>
      <top style="thin">
        <color indexed="64"/>
      </top>
      <bottom/>
      <diagonal/>
    </border>
    <border>
      <left/>
      <right/>
      <top/>
      <bottom style="thin">
        <color theme="1" tint="0.499984740745262"/>
      </bottom>
      <diagonal/>
    </border>
    <border>
      <left style="thin">
        <color theme="0" tint="-0.499984740745262"/>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s>
  <cellStyleXfs count="9">
    <xf numFmtId="0" fontId="0" fillId="0" borderId="0"/>
    <xf numFmtId="0" fontId="4" fillId="0" borderId="0"/>
    <xf numFmtId="0" fontId="3" fillId="0" borderId="0"/>
    <xf numFmtId="0" fontId="17" fillId="0" borderId="0"/>
    <xf numFmtId="0" fontId="2" fillId="0" borderId="0"/>
    <xf numFmtId="0" fontId="1" fillId="0" borderId="0"/>
    <xf numFmtId="0" fontId="1" fillId="0" borderId="0"/>
    <xf numFmtId="0" fontId="80" fillId="0" borderId="0" applyNumberFormat="0" applyFill="0" applyBorder="0" applyAlignment="0" applyProtection="0"/>
    <xf numFmtId="9" fontId="17" fillId="0" borderId="0" applyFont="0" applyFill="0" applyBorder="0" applyAlignment="0" applyProtection="0"/>
  </cellStyleXfs>
  <cellXfs count="496">
    <xf numFmtId="0" fontId="0" fillId="0" borderId="0" xfId="0"/>
    <xf numFmtId="0" fontId="25" fillId="0" borderId="0" xfId="0" applyFont="1" applyBorder="1" applyAlignment="1" applyProtection="1">
      <alignment wrapText="1"/>
    </xf>
    <xf numFmtId="0" fontId="0" fillId="0" borderId="0" xfId="0" applyProtection="1"/>
    <xf numFmtId="0" fontId="25" fillId="0" borderId="0" xfId="0" applyNumberFormat="1" applyFont="1" applyBorder="1" applyAlignment="1" applyProtection="1">
      <alignment horizontal="left" vertical="center" wrapText="1"/>
    </xf>
    <xf numFmtId="0" fontId="0" fillId="0" borderId="0" xfId="0" applyFont="1" applyProtection="1"/>
    <xf numFmtId="0" fontId="9" fillId="0" borderId="0" xfId="0" applyFont="1" applyBorder="1" applyProtection="1"/>
    <xf numFmtId="0" fontId="7" fillId="0" borderId="0" xfId="0" applyFont="1" applyAlignment="1" applyProtection="1"/>
    <xf numFmtId="0" fontId="7" fillId="0" borderId="0" xfId="0" applyFont="1" applyAlignment="1" applyProtection="1">
      <alignment horizontal="center"/>
    </xf>
    <xf numFmtId="0" fontId="10" fillId="0" borderId="0" xfId="0" applyFont="1" applyProtection="1"/>
    <xf numFmtId="0" fontId="0" fillId="0" borderId="0" xfId="0" applyBorder="1"/>
    <xf numFmtId="0" fontId="0" fillId="0" borderId="8" xfId="0" applyFont="1" applyBorder="1" applyAlignment="1" applyProtection="1"/>
    <xf numFmtId="0" fontId="0" fillId="0" borderId="0" xfId="0"/>
    <xf numFmtId="0" fontId="9" fillId="0" borderId="0" xfId="0" applyFont="1" applyProtection="1"/>
    <xf numFmtId="0" fontId="9" fillId="0" borderId="0" xfId="0" applyFont="1" applyAlignment="1" applyProtection="1">
      <alignment horizontal="center"/>
    </xf>
    <xf numFmtId="0" fontId="9" fillId="0" borderId="0" xfId="0" applyFont="1" applyAlignment="1" applyProtection="1">
      <alignment vertical="center"/>
    </xf>
    <xf numFmtId="0" fontId="33" fillId="0" borderId="0" xfId="0" applyNumberFormat="1" applyFont="1" applyProtection="1"/>
    <xf numFmtId="164" fontId="33" fillId="0" borderId="0" xfId="0" applyNumberFormat="1" applyFont="1" applyProtection="1"/>
    <xf numFmtId="0" fontId="33" fillId="0" borderId="0" xfId="0" applyFont="1" applyProtection="1"/>
    <xf numFmtId="0" fontId="10" fillId="0" borderId="0" xfId="0" applyFont="1"/>
    <xf numFmtId="0" fontId="25" fillId="0" borderId="0" xfId="0" applyFont="1" applyProtection="1"/>
    <xf numFmtId="0" fontId="10" fillId="6" borderId="0" xfId="0" applyFont="1" applyFill="1" applyBorder="1" applyAlignment="1" applyProtection="1">
      <alignment horizontal="left"/>
    </xf>
    <xf numFmtId="14" fontId="25" fillId="0" borderId="0" xfId="0" applyNumberFormat="1" applyFont="1" applyProtection="1"/>
    <xf numFmtId="0" fontId="0" fillId="0" borderId="5" xfId="0" applyBorder="1"/>
    <xf numFmtId="0" fontId="0" fillId="0" borderId="7" xfId="0" applyBorder="1"/>
    <xf numFmtId="0" fontId="37" fillId="6" borderId="0" xfId="0" applyFont="1" applyFill="1" applyBorder="1" applyAlignment="1" applyProtection="1">
      <alignment horizontal="left" vertical="center"/>
    </xf>
    <xf numFmtId="0" fontId="38" fillId="0" borderId="0" xfId="0" applyFont="1" applyBorder="1" applyProtection="1"/>
    <xf numFmtId="0" fontId="38" fillId="0" borderId="0" xfId="0" applyFont="1" applyBorder="1" applyAlignment="1" applyProtection="1">
      <alignment horizontal="right" indent="1"/>
    </xf>
    <xf numFmtId="0" fontId="39" fillId="0" borderId="0" xfId="0" applyFont="1" applyBorder="1" applyAlignment="1" applyProtection="1">
      <alignment wrapText="1"/>
    </xf>
    <xf numFmtId="0" fontId="28" fillId="0" borderId="0" xfId="0" applyFont="1" applyBorder="1" applyAlignment="1" applyProtection="1"/>
    <xf numFmtId="0" fontId="28" fillId="0" borderId="0" xfId="0" applyFont="1" applyBorder="1" applyAlignment="1" applyProtection="1">
      <alignment horizontal="center"/>
    </xf>
    <xf numFmtId="0" fontId="38" fillId="0" borderId="0" xfId="0" applyFont="1" applyBorder="1" applyAlignment="1" applyProtection="1">
      <alignment horizontal="right" vertical="center" wrapText="1" indent="1"/>
    </xf>
    <xf numFmtId="0" fontId="38" fillId="0" borderId="0" xfId="0" applyFont="1" applyProtection="1"/>
    <xf numFmtId="0" fontId="38" fillId="0" borderId="0" xfId="0" applyFont="1" applyAlignment="1" applyProtection="1">
      <alignment horizontal="right"/>
    </xf>
    <xf numFmtId="0" fontId="38" fillId="0" borderId="0" xfId="0" applyFont="1" applyBorder="1" applyAlignment="1" applyProtection="1">
      <alignment vertical="top" wrapText="1"/>
    </xf>
    <xf numFmtId="0" fontId="38" fillId="0" borderId="0" xfId="0" applyFont="1" applyBorder="1" applyAlignment="1" applyProtection="1">
      <alignment horizontal="right" vertical="top" wrapText="1" indent="1"/>
    </xf>
    <xf numFmtId="0" fontId="38" fillId="0" borderId="0" xfId="0" applyFont="1" applyBorder="1" applyAlignment="1" applyProtection="1">
      <alignment horizontal="right" vertical="top" wrapText="1"/>
    </xf>
    <xf numFmtId="0" fontId="38" fillId="0" borderId="0" xfId="0" applyFont="1" applyBorder="1" applyAlignment="1" applyProtection="1">
      <alignment horizontal="center" vertical="center" wrapText="1"/>
    </xf>
    <xf numFmtId="0" fontId="38" fillId="0" borderId="0" xfId="0" applyFont="1" applyBorder="1" applyAlignment="1" applyProtection="1">
      <alignment vertical="center" wrapText="1"/>
    </xf>
    <xf numFmtId="0" fontId="38" fillId="0" borderId="0" xfId="0" applyFont="1" applyBorder="1" applyAlignment="1" applyProtection="1">
      <alignment horizontal="right" vertical="center" wrapText="1"/>
    </xf>
    <xf numFmtId="0" fontId="37" fillId="0" borderId="0" xfId="0" applyFont="1" applyBorder="1" applyAlignment="1" applyProtection="1">
      <alignment horizontal="center"/>
    </xf>
    <xf numFmtId="0" fontId="38" fillId="0" borderId="0" xfId="0" applyFont="1" applyBorder="1" applyAlignment="1" applyProtection="1">
      <alignment wrapText="1"/>
    </xf>
    <xf numFmtId="0" fontId="38" fillId="0" borderId="0" xfId="0" applyFont="1" applyBorder="1" applyAlignment="1" applyProtection="1">
      <alignment vertical="center"/>
    </xf>
    <xf numFmtId="0" fontId="38" fillId="0" borderId="0" xfId="0" applyFont="1" applyBorder="1" applyAlignment="1" applyProtection="1">
      <alignment horizontal="right" vertical="center" indent="1"/>
    </xf>
    <xf numFmtId="0" fontId="37" fillId="6" borderId="0" xfId="0" applyFont="1" applyFill="1" applyBorder="1" applyAlignment="1" applyProtection="1">
      <alignment horizontal="left" vertical="top"/>
    </xf>
    <xf numFmtId="0" fontId="37" fillId="0" borderId="0" xfId="0" applyFont="1" applyBorder="1" applyAlignment="1" applyProtection="1">
      <alignment vertical="center"/>
    </xf>
    <xf numFmtId="0" fontId="38" fillId="0" borderId="0" xfId="0" applyFont="1" applyBorder="1" applyAlignment="1" applyProtection="1">
      <alignment horizontal="center"/>
    </xf>
    <xf numFmtId="0" fontId="38" fillId="0" borderId="0" xfId="0" applyFont="1" applyBorder="1" applyAlignment="1" applyProtection="1"/>
    <xf numFmtId="0" fontId="38" fillId="0" borderId="0" xfId="0" applyFont="1" applyBorder="1" applyAlignment="1" applyProtection="1">
      <alignment horizontal="right" vertical="center"/>
    </xf>
    <xf numFmtId="0" fontId="38" fillId="0" borderId="0" xfId="0" applyFont="1" applyBorder="1" applyAlignment="1" applyProtection="1">
      <alignment horizontal="center" vertical="center"/>
    </xf>
    <xf numFmtId="0" fontId="38" fillId="0" borderId="0" xfId="0" applyFont="1"/>
    <xf numFmtId="0" fontId="37" fillId="6" borderId="0" xfId="0" applyFont="1" applyFill="1" applyBorder="1" applyAlignment="1" applyProtection="1">
      <alignment vertical="center"/>
    </xf>
    <xf numFmtId="0" fontId="37" fillId="0" borderId="0" xfId="0" applyFont="1" applyAlignment="1" applyProtection="1">
      <alignment horizontal="right" vertical="center" indent="1"/>
    </xf>
    <xf numFmtId="0" fontId="28" fillId="0" borderId="0" xfId="0" applyFont="1" applyBorder="1" applyAlignment="1" applyProtection="1">
      <alignment horizontal="right" vertical="center" indent="1"/>
    </xf>
    <xf numFmtId="0" fontId="29" fillId="6" borderId="0" xfId="0" applyFont="1" applyFill="1" applyBorder="1" applyAlignment="1" applyProtection="1">
      <alignment vertical="center" wrapText="1"/>
    </xf>
    <xf numFmtId="164" fontId="42" fillId="6" borderId="0" xfId="0" applyNumberFormat="1" applyFont="1" applyFill="1" applyBorder="1" applyAlignment="1" applyProtection="1">
      <alignment horizontal="left" vertical="center" wrapText="1"/>
    </xf>
    <xf numFmtId="0" fontId="38" fillId="0" borderId="0" xfId="0" applyFont="1" applyAlignment="1" applyProtection="1"/>
    <xf numFmtId="0" fontId="38" fillId="0" borderId="0" xfId="0" applyFont="1" applyAlignment="1" applyProtection="1">
      <alignment vertical="center"/>
    </xf>
    <xf numFmtId="0" fontId="40" fillId="3" borderId="2" xfId="0" applyNumberFormat="1" applyFont="1" applyFill="1" applyBorder="1" applyAlignment="1" applyProtection="1">
      <alignment horizontal="center" vertical="center"/>
    </xf>
    <xf numFmtId="0" fontId="38" fillId="3" borderId="2" xfId="0" applyNumberFormat="1" applyFont="1" applyFill="1" applyBorder="1" applyAlignment="1" applyProtection="1">
      <alignment horizontal="center" vertical="center"/>
    </xf>
    <xf numFmtId="166" fontId="38" fillId="3" borderId="2" xfId="0" applyNumberFormat="1" applyFont="1" applyFill="1" applyBorder="1" applyAlignment="1" applyProtection="1">
      <alignment horizontal="right" vertical="center" wrapText="1"/>
    </xf>
    <xf numFmtId="166" fontId="38" fillId="3" borderId="2" xfId="0" applyNumberFormat="1" applyFont="1" applyFill="1" applyBorder="1" applyAlignment="1" applyProtection="1">
      <alignment vertical="center" wrapText="1"/>
    </xf>
    <xf numFmtId="14" fontId="38" fillId="8" borderId="2" xfId="0" applyNumberFormat="1" applyFont="1" applyFill="1" applyBorder="1" applyAlignment="1" applyProtection="1">
      <alignment vertical="center" wrapText="1"/>
      <protection locked="0"/>
    </xf>
    <xf numFmtId="0" fontId="38" fillId="8" borderId="9" xfId="0" applyFont="1" applyFill="1" applyBorder="1" applyAlignment="1" applyProtection="1">
      <alignment vertical="center"/>
    </xf>
    <xf numFmtId="0" fontId="38" fillId="0" borderId="0" xfId="0" applyFont="1" applyAlignment="1" applyProtection="1">
      <alignment horizontal="left" vertical="center"/>
    </xf>
    <xf numFmtId="0" fontId="14" fillId="0" borderId="0" xfId="0" applyFont="1" applyProtection="1"/>
    <xf numFmtId="0" fontId="14" fillId="0" borderId="0" xfId="0" applyFont="1" applyAlignment="1" applyProtection="1">
      <alignment vertical="center"/>
    </xf>
    <xf numFmtId="0" fontId="27" fillId="0" borderId="0" xfId="0" applyFont="1" applyBorder="1"/>
    <xf numFmtId="0" fontId="10" fillId="0" borderId="52" xfId="0" applyFont="1" applyBorder="1"/>
    <xf numFmtId="0" fontId="10" fillId="0" borderId="52" xfId="0" applyFont="1" applyBorder="1" applyAlignment="1">
      <alignment horizontal="center"/>
    </xf>
    <xf numFmtId="0" fontId="0" fillId="0" borderId="46" xfId="0" applyNumberFormat="1" applyFont="1" applyBorder="1" applyAlignment="1" applyProtection="1">
      <alignment horizontal="right"/>
    </xf>
    <xf numFmtId="0" fontId="43" fillId="0" borderId="47" xfId="0" applyNumberFormat="1" applyFont="1" applyBorder="1" applyAlignment="1" applyProtection="1">
      <alignment horizontal="center" vertical="center"/>
    </xf>
    <xf numFmtId="0" fontId="44" fillId="7" borderId="48" xfId="0" applyNumberFormat="1" applyFont="1" applyFill="1" applyBorder="1" applyAlignment="1" applyProtection="1">
      <alignment horizontal="right" vertical="center" wrapText="1"/>
    </xf>
    <xf numFmtId="0" fontId="43" fillId="3" borderId="45" xfId="0" applyNumberFormat="1" applyFont="1" applyFill="1" applyBorder="1" applyAlignment="1" applyProtection="1">
      <alignment horizontal="right" vertical="center"/>
    </xf>
    <xf numFmtId="0" fontId="0" fillId="0" borderId="46" xfId="0" applyNumberFormat="1" applyBorder="1" applyAlignment="1">
      <alignment horizontal="right"/>
    </xf>
    <xf numFmtId="0" fontId="0" fillId="0" borderId="51" xfId="0" applyNumberFormat="1" applyBorder="1" applyAlignment="1">
      <alignment horizontal="right"/>
    </xf>
    <xf numFmtId="164" fontId="38" fillId="0" borderId="0" xfId="0" applyNumberFormat="1" applyFont="1" applyProtection="1"/>
    <xf numFmtId="14" fontId="38" fillId="8" borderId="2" xfId="0" applyNumberFormat="1" applyFont="1" applyFill="1" applyBorder="1" applyAlignment="1" applyProtection="1">
      <alignment horizontal="center" vertical="center" wrapText="1"/>
      <protection locked="0"/>
    </xf>
    <xf numFmtId="0" fontId="0" fillId="0" borderId="0" xfId="0" applyFont="1" applyBorder="1" applyAlignment="1" applyProtection="1">
      <alignment vertical="center"/>
    </xf>
    <xf numFmtId="0" fontId="38" fillId="0" borderId="0" xfId="0" applyFont="1" applyBorder="1" applyAlignment="1" applyProtection="1">
      <alignment horizontal="right" vertical="center" wrapText="1"/>
    </xf>
    <xf numFmtId="0" fontId="0" fillId="0" borderId="0" xfId="0" applyAlignment="1"/>
    <xf numFmtId="0" fontId="42" fillId="3" borderId="2" xfId="0" applyNumberFormat="1" applyFont="1" applyFill="1" applyBorder="1" applyAlignment="1" applyProtection="1">
      <alignment horizontal="center" vertical="center"/>
    </xf>
    <xf numFmtId="0" fontId="47" fillId="0" borderId="0" xfId="0" applyFont="1" applyBorder="1" applyAlignment="1" applyProtection="1">
      <alignment horizontal="center"/>
    </xf>
    <xf numFmtId="0" fontId="0" fillId="0" borderId="0" xfId="0" applyFont="1" applyAlignment="1" applyProtection="1"/>
    <xf numFmtId="0" fontId="0" fillId="3" borderId="9" xfId="0" applyFont="1" applyFill="1" applyBorder="1" applyAlignment="1" applyProtection="1">
      <alignment vertical="top" wrapText="1"/>
    </xf>
    <xf numFmtId="0" fontId="0" fillId="0" borderId="0" xfId="0" applyFont="1" applyAlignment="1"/>
    <xf numFmtId="0" fontId="0" fillId="0" borderId="0" xfId="0" applyFont="1" applyFill="1" applyBorder="1" applyAlignment="1">
      <alignment horizontal="right"/>
    </xf>
    <xf numFmtId="0" fontId="18" fillId="0" borderId="0" xfId="0" applyFont="1" applyBorder="1" applyAlignment="1" applyProtection="1">
      <alignment vertical="center" wrapText="1"/>
    </xf>
    <xf numFmtId="44" fontId="41" fillId="3" borderId="2" xfId="0" applyNumberFormat="1" applyFont="1" applyFill="1" applyBorder="1" applyAlignment="1" applyProtection="1">
      <alignment horizontal="right" vertical="center" wrapText="1"/>
    </xf>
    <xf numFmtId="44" fontId="40" fillId="8" borderId="3" xfId="0" applyNumberFormat="1" applyFont="1" applyFill="1" applyBorder="1" applyAlignment="1" applyProtection="1">
      <alignment horizontal="center" vertical="center" wrapText="1"/>
      <protection locked="0"/>
    </xf>
    <xf numFmtId="44" fontId="38" fillId="3" borderId="2" xfId="0" applyNumberFormat="1" applyFont="1" applyFill="1" applyBorder="1" applyAlignment="1" applyProtection="1">
      <alignment horizontal="right" vertical="center" wrapText="1"/>
    </xf>
    <xf numFmtId="0" fontId="38" fillId="3" borderId="9" xfId="0" applyFont="1" applyFill="1" applyBorder="1" applyAlignment="1" applyProtection="1">
      <alignment horizontal="centerContinuous" vertical="top" wrapText="1"/>
    </xf>
    <xf numFmtId="0" fontId="38" fillId="3" borderId="3" xfId="0" applyFont="1" applyFill="1" applyBorder="1" applyAlignment="1" applyProtection="1">
      <alignment horizontal="centerContinuous" vertical="top" wrapText="1"/>
    </xf>
    <xf numFmtId="44" fontId="46" fillId="3" borderId="50" xfId="0" applyNumberFormat="1" applyFont="1" applyFill="1" applyBorder="1" applyAlignment="1" applyProtection="1">
      <alignment horizontal="right" vertical="center" wrapText="1"/>
    </xf>
    <xf numFmtId="44" fontId="0" fillId="0" borderId="47" xfId="0" applyNumberFormat="1" applyBorder="1"/>
    <xf numFmtId="44" fontId="0" fillId="0" borderId="11" xfId="0" applyNumberFormat="1" applyBorder="1"/>
    <xf numFmtId="0" fontId="0" fillId="8" borderId="3" xfId="0" applyFont="1" applyFill="1" applyBorder="1" applyAlignment="1" applyProtection="1">
      <alignment vertical="top" wrapText="1"/>
    </xf>
    <xf numFmtId="0" fontId="0" fillId="8" borderId="9" xfId="0" applyFont="1" applyFill="1" applyBorder="1" applyAlignment="1" applyProtection="1">
      <alignment vertical="top" wrapText="1"/>
    </xf>
    <xf numFmtId="44" fontId="0" fillId="3" borderId="3" xfId="0" applyNumberFormat="1" applyFont="1" applyFill="1" applyBorder="1" applyAlignment="1" applyProtection="1">
      <alignment vertical="top" wrapText="1"/>
    </xf>
    <xf numFmtId="0" fontId="19" fillId="6" borderId="0" xfId="0" applyFont="1" applyFill="1" applyBorder="1" applyAlignment="1" applyProtection="1">
      <alignment vertical="center" wrapText="1"/>
    </xf>
    <xf numFmtId="0" fontId="0" fillId="0" borderId="0" xfId="0" applyFont="1" applyBorder="1" applyProtection="1"/>
    <xf numFmtId="0" fontId="0" fillId="0" borderId="0" xfId="0" applyNumberFormat="1" applyFill="1" applyBorder="1" applyProtection="1"/>
    <xf numFmtId="0" fontId="15" fillId="0" borderId="0" xfId="0" applyFont="1" applyBorder="1" applyProtection="1"/>
    <xf numFmtId="0" fontId="18" fillId="0" borderId="0" xfId="0" applyFont="1" applyBorder="1" applyProtection="1"/>
    <xf numFmtId="0" fontId="27" fillId="0" borderId="0" xfId="0" applyFont="1" applyBorder="1" applyProtection="1"/>
    <xf numFmtId="0" fontId="17" fillId="0" borderId="0" xfId="0" applyFont="1" applyBorder="1" applyProtection="1"/>
    <xf numFmtId="0" fontId="18" fillId="6" borderId="0" xfId="0" applyFont="1" applyFill="1" applyBorder="1" applyProtection="1"/>
    <xf numFmtId="0" fontId="21" fillId="0" borderId="0" xfId="0" applyFont="1" applyBorder="1" applyProtection="1"/>
    <xf numFmtId="0" fontId="30" fillId="0" borderId="0" xfId="0" applyFont="1" applyBorder="1" applyProtection="1"/>
    <xf numFmtId="0" fontId="32" fillId="0" borderId="0" xfId="0" applyFont="1" applyBorder="1" applyProtection="1"/>
    <xf numFmtId="167" fontId="40" fillId="3" borderId="2" xfId="0" applyNumberFormat="1" applyFont="1" applyFill="1" applyBorder="1" applyAlignment="1" applyProtection="1">
      <alignment horizontal="right" vertical="center" wrapText="1"/>
    </xf>
    <xf numFmtId="0" fontId="5" fillId="6" borderId="5" xfId="0" applyFont="1" applyFill="1" applyBorder="1" applyAlignment="1" applyProtection="1">
      <alignment vertical="center" wrapText="1"/>
    </xf>
    <xf numFmtId="0" fontId="5" fillId="6" borderId="0" xfId="0" applyFont="1" applyFill="1" applyBorder="1" applyAlignment="1" applyProtection="1">
      <alignment vertical="center" wrapText="1"/>
    </xf>
    <xf numFmtId="0" fontId="5" fillId="6" borderId="7" xfId="0" applyFont="1" applyFill="1" applyBorder="1" applyAlignment="1" applyProtection="1">
      <alignment vertical="center" wrapText="1"/>
    </xf>
    <xf numFmtId="0" fontId="0" fillId="0" borderId="0" xfId="0" applyFont="1" applyBorder="1" applyAlignment="1" applyProtection="1">
      <alignment vertical="center"/>
    </xf>
    <xf numFmtId="0" fontId="0" fillId="0" borderId="7" xfId="0" applyFont="1" applyBorder="1" applyAlignment="1" applyProtection="1">
      <alignment vertical="center"/>
    </xf>
    <xf numFmtId="0" fontId="24" fillId="6" borderId="0" xfId="0" applyFont="1" applyFill="1" applyBorder="1" applyAlignment="1" applyProtection="1">
      <alignment vertical="center"/>
    </xf>
    <xf numFmtId="0" fontId="24" fillId="6" borderId="7" xfId="0" applyFont="1" applyFill="1" applyBorder="1" applyAlignment="1" applyProtection="1">
      <alignment vertical="center"/>
    </xf>
    <xf numFmtId="167" fontId="28" fillId="8" borderId="2" xfId="0" applyNumberFormat="1" applyFont="1" applyFill="1" applyBorder="1" applyAlignment="1" applyProtection="1">
      <alignment horizontal="left" vertical="center" wrapText="1"/>
      <protection locked="0"/>
    </xf>
    <xf numFmtId="0" fontId="0" fillId="12" borderId="0" xfId="0" applyFill="1"/>
    <xf numFmtId="168" fontId="0" fillId="12" borderId="0" xfId="0" applyNumberFormat="1" applyFill="1"/>
    <xf numFmtId="168" fontId="0" fillId="0" borderId="0" xfId="0" applyNumberFormat="1"/>
    <xf numFmtId="0" fontId="0" fillId="3" borderId="2" xfId="0" applyFill="1" applyBorder="1" applyAlignment="1" applyProtection="1">
      <alignment horizontal="right" vertical="center"/>
      <protection hidden="1"/>
    </xf>
    <xf numFmtId="49" fontId="45" fillId="0" borderId="49" xfId="0" applyNumberFormat="1" applyFont="1" applyFill="1" applyBorder="1" applyAlignment="1" applyProtection="1">
      <alignment horizontal="center" vertical="center"/>
    </xf>
    <xf numFmtId="168" fontId="77" fillId="13" borderId="2" xfId="0" applyNumberFormat="1" applyFont="1" applyFill="1" applyBorder="1" applyAlignment="1" applyProtection="1">
      <alignment horizontal="right" vertical="center" wrapText="1"/>
      <protection locked="0" hidden="1"/>
    </xf>
    <xf numFmtId="0" fontId="0" fillId="0" borderId="0" xfId="0" applyFont="1" applyBorder="1" applyProtection="1">
      <protection hidden="1"/>
    </xf>
    <xf numFmtId="0" fontId="60" fillId="0" borderId="0" xfId="0" applyFont="1" applyBorder="1" applyProtection="1">
      <protection hidden="1"/>
    </xf>
    <xf numFmtId="0" fontId="9" fillId="0" borderId="0" xfId="0" applyFont="1" applyBorder="1" applyProtection="1">
      <protection hidden="1"/>
    </xf>
    <xf numFmtId="0" fontId="15" fillId="0" borderId="0" xfId="0" applyFont="1" applyBorder="1" applyProtection="1">
      <protection hidden="1"/>
    </xf>
    <xf numFmtId="0" fontId="18" fillId="0" borderId="0" xfId="0" applyFont="1" applyBorder="1" applyProtection="1">
      <protection hidden="1"/>
    </xf>
    <xf numFmtId="0" fontId="27" fillId="0" borderId="0" xfId="0" applyFont="1" applyBorder="1" applyProtection="1">
      <protection hidden="1"/>
    </xf>
    <xf numFmtId="0" fontId="17" fillId="0" borderId="0" xfId="0" applyFont="1" applyBorder="1" applyProtection="1">
      <protection hidden="1"/>
    </xf>
    <xf numFmtId="0" fontId="0" fillId="0" borderId="0" xfId="0" applyProtection="1">
      <protection hidden="1"/>
    </xf>
    <xf numFmtId="0" fontId="18" fillId="6" borderId="0" xfId="0" applyFont="1" applyFill="1" applyBorder="1" applyProtection="1">
      <protection hidden="1"/>
    </xf>
    <xf numFmtId="164" fontId="60" fillId="0" borderId="0" xfId="0" applyNumberFormat="1" applyFont="1" applyBorder="1" applyProtection="1">
      <protection hidden="1"/>
    </xf>
    <xf numFmtId="0" fontId="7" fillId="0" borderId="0" xfId="0" applyFont="1" applyBorder="1" applyProtection="1"/>
    <xf numFmtId="0" fontId="22" fillId="0" borderId="0" xfId="0" applyFont="1" applyBorder="1" applyProtection="1"/>
    <xf numFmtId="168" fontId="0" fillId="13" borderId="2" xfId="0" applyNumberFormat="1" applyFill="1" applyBorder="1" applyAlignment="1" applyProtection="1">
      <alignment horizontal="right" vertical="center" wrapText="1"/>
      <protection locked="0" hidden="1"/>
    </xf>
    <xf numFmtId="0" fontId="20" fillId="6" borderId="2" xfId="0" applyFont="1" applyFill="1" applyBorder="1" applyAlignment="1" applyProtection="1">
      <alignment horizontal="right" vertical="center" wrapText="1"/>
    </xf>
    <xf numFmtId="0" fontId="20" fillId="6" borderId="2" xfId="0" applyFont="1" applyFill="1" applyBorder="1" applyAlignment="1" applyProtection="1">
      <alignment horizontal="center" vertical="center" wrapText="1"/>
    </xf>
    <xf numFmtId="0" fontId="20" fillId="6" borderId="0" xfId="0" applyFont="1" applyFill="1" applyBorder="1" applyAlignment="1" applyProtection="1">
      <alignment horizontal="center" vertical="center" wrapText="1"/>
    </xf>
    <xf numFmtId="0" fontId="0" fillId="0" borderId="0" xfId="0" applyBorder="1" applyAlignment="1">
      <alignment horizontal="center"/>
    </xf>
    <xf numFmtId="0" fontId="16" fillId="6" borderId="2" xfId="0" applyNumberFormat="1" applyFont="1" applyFill="1" applyBorder="1" applyAlignment="1" applyProtection="1">
      <alignment horizontal="left" vertical="center" wrapText="1"/>
    </xf>
    <xf numFmtId="0" fontId="16" fillId="6" borderId="2" xfId="0" applyNumberFormat="1" applyFont="1" applyFill="1" applyBorder="1" applyAlignment="1" applyProtection="1">
      <alignment horizontal="center" vertical="center" wrapText="1"/>
    </xf>
    <xf numFmtId="0" fontId="18" fillId="0" borderId="2" xfId="0" applyFont="1" applyBorder="1" applyAlignment="1">
      <alignment wrapText="1"/>
    </xf>
    <xf numFmtId="0" fontId="18" fillId="0" borderId="2" xfId="0" applyFont="1" applyFill="1" applyBorder="1" applyAlignment="1">
      <alignment wrapText="1"/>
    </xf>
    <xf numFmtId="0" fontId="20" fillId="6" borderId="2" xfId="0" applyFont="1" applyFill="1" applyBorder="1" applyAlignment="1" applyProtection="1">
      <alignment horizontal="left" wrapText="1"/>
    </xf>
    <xf numFmtId="0" fontId="20" fillId="0" borderId="2" xfId="0" applyFont="1" applyBorder="1" applyAlignment="1" applyProtection="1">
      <alignment wrapText="1"/>
    </xf>
    <xf numFmtId="0" fontId="18" fillId="0" borderId="2" xfId="0" applyFont="1" applyBorder="1" applyAlignment="1">
      <alignment horizontal="right" wrapText="1"/>
    </xf>
    <xf numFmtId="0" fontId="9" fillId="0" borderId="0" xfId="0" applyFont="1" applyBorder="1" applyAlignment="1" applyProtection="1">
      <alignment vertical="center"/>
      <protection hidden="1"/>
    </xf>
    <xf numFmtId="0" fontId="9" fillId="0" borderId="0" xfId="0" applyFont="1" applyBorder="1" applyAlignment="1" applyProtection="1">
      <alignment vertical="center"/>
    </xf>
    <xf numFmtId="0" fontId="0" fillId="0" borderId="0" xfId="0" applyAlignment="1">
      <alignment wrapText="1"/>
    </xf>
    <xf numFmtId="0" fontId="0" fillId="3" borderId="0" xfId="0" applyFill="1" applyAlignment="1">
      <alignment wrapText="1"/>
    </xf>
    <xf numFmtId="14" fontId="0" fillId="0" borderId="0" xfId="0" applyNumberFormat="1" applyAlignment="1">
      <alignment wrapText="1"/>
    </xf>
    <xf numFmtId="2" fontId="0" fillId="0" borderId="0" xfId="0" applyNumberFormat="1" applyAlignment="1">
      <alignment wrapText="1"/>
    </xf>
    <xf numFmtId="0" fontId="0" fillId="6" borderId="0" xfId="0" applyFill="1" applyAlignment="1">
      <alignment wrapText="1"/>
    </xf>
    <xf numFmtId="0" fontId="20" fillId="0" borderId="0" xfId="0" applyFont="1" applyAlignment="1">
      <alignment vertical="center" wrapText="1"/>
    </xf>
    <xf numFmtId="14" fontId="0" fillId="6" borderId="0" xfId="0" applyNumberFormat="1" applyFill="1" applyAlignment="1">
      <alignment wrapText="1"/>
    </xf>
    <xf numFmtId="9" fontId="0" fillId="6" borderId="0" xfId="8" applyFont="1" applyFill="1" applyAlignment="1">
      <alignment wrapText="1"/>
    </xf>
    <xf numFmtId="169" fontId="0" fillId="6" borderId="0" xfId="0" applyNumberFormat="1" applyFill="1" applyAlignment="1">
      <alignment wrapText="1"/>
    </xf>
    <xf numFmtId="0" fontId="79" fillId="0" borderId="0" xfId="0" applyFont="1" applyAlignment="1">
      <alignment vertical="center"/>
    </xf>
    <xf numFmtId="14" fontId="79" fillId="0" borderId="0" xfId="0" applyNumberFormat="1" applyFont="1" applyAlignment="1">
      <alignment horizontal="left" vertical="center"/>
    </xf>
    <xf numFmtId="0" fontId="0" fillId="0" borderId="0" xfId="0" applyBorder="1" applyAlignment="1">
      <alignment vertical="center"/>
    </xf>
    <xf numFmtId="0" fontId="31" fillId="4" borderId="40" xfId="0" applyFont="1" applyFill="1" applyBorder="1" applyAlignment="1" applyProtection="1">
      <alignment horizontal="left" vertical="center"/>
      <protection hidden="1"/>
    </xf>
    <xf numFmtId="0" fontId="31" fillId="4" borderId="1" xfId="0" applyFont="1" applyFill="1" applyBorder="1" applyAlignment="1" applyProtection="1">
      <alignment horizontal="left" vertical="center"/>
      <protection hidden="1"/>
    </xf>
    <xf numFmtId="0" fontId="31" fillId="4" borderId="1" xfId="0" applyFont="1" applyFill="1" applyBorder="1" applyAlignment="1" applyProtection="1">
      <alignment horizontal="centerContinuous" vertical="center" wrapText="1"/>
      <protection hidden="1"/>
    </xf>
    <xf numFmtId="0" fontId="31" fillId="4" borderId="1" xfId="0" applyFont="1" applyFill="1" applyBorder="1" applyAlignment="1" applyProtection="1">
      <alignment vertical="center" wrapText="1"/>
      <protection hidden="1"/>
    </xf>
    <xf numFmtId="0" fontId="0" fillId="0" borderId="0" xfId="0" applyFont="1" applyBorder="1" applyAlignment="1" applyProtection="1">
      <alignment vertical="center"/>
      <protection hidden="1"/>
    </xf>
    <xf numFmtId="0" fontId="12" fillId="6" borderId="0" xfId="0" applyNumberFormat="1" applyFont="1" applyFill="1" applyBorder="1" applyAlignment="1" applyProtection="1">
      <alignment horizontal="left" vertical="center"/>
      <protection hidden="1"/>
    </xf>
    <xf numFmtId="0" fontId="10" fillId="6" borderId="0" xfId="0" applyFont="1" applyFill="1" applyBorder="1" applyAlignment="1" applyProtection="1">
      <alignment vertical="center"/>
      <protection hidden="1"/>
    </xf>
    <xf numFmtId="0" fontId="25" fillId="6" borderId="0" xfId="0" applyFont="1" applyFill="1" applyBorder="1" applyAlignment="1" applyProtection="1">
      <alignment vertical="center"/>
      <protection hidden="1"/>
    </xf>
    <xf numFmtId="0" fontId="34" fillId="0" borderId="5" xfId="0" applyFont="1" applyBorder="1" applyAlignment="1" applyProtection="1">
      <alignment horizontal="left" vertical="center" wrapText="1"/>
      <protection hidden="1"/>
    </xf>
    <xf numFmtId="0" fontId="50" fillId="0" borderId="0" xfId="0" applyFont="1" applyBorder="1" applyAlignment="1" applyProtection="1">
      <alignment vertical="center"/>
      <protection hidden="1"/>
    </xf>
    <xf numFmtId="0" fontId="34" fillId="0" borderId="0" xfId="0" applyFont="1" applyBorder="1" applyAlignment="1" applyProtection="1">
      <alignment horizontal="left" vertical="center"/>
      <protection hidden="1"/>
    </xf>
    <xf numFmtId="0" fontId="0" fillId="0" borderId="0" xfId="0" applyAlignment="1" applyProtection="1">
      <alignment vertical="center"/>
      <protection hidden="1"/>
    </xf>
    <xf numFmtId="0" fontId="0" fillId="0" borderId="0" xfId="0" applyFont="1" applyBorder="1" applyAlignment="1" applyProtection="1">
      <alignment horizontal="left" vertical="center"/>
      <protection hidden="1"/>
    </xf>
    <xf numFmtId="0" fontId="10" fillId="6" borderId="0" xfId="0" applyFont="1" applyFill="1" applyAlignment="1" applyProtection="1">
      <alignment horizontal="right" vertical="center"/>
      <protection hidden="1"/>
    </xf>
    <xf numFmtId="0" fontId="10" fillId="6" borderId="0" xfId="0" applyFont="1" applyFill="1" applyAlignment="1" applyProtection="1">
      <alignment vertical="center"/>
      <protection hidden="1"/>
    </xf>
    <xf numFmtId="0" fontId="25" fillId="6" borderId="0" xfId="0" applyFont="1" applyFill="1" applyAlignment="1" applyProtection="1">
      <alignment vertical="center"/>
      <protection hidden="1"/>
    </xf>
    <xf numFmtId="0" fontId="0" fillId="0" borderId="5" xfId="0" applyBorder="1" applyAlignment="1" applyProtection="1">
      <alignment vertical="center"/>
      <protection hidden="1"/>
    </xf>
    <xf numFmtId="0" fontId="0" fillId="0" borderId="0" xfId="0" applyBorder="1" applyAlignment="1" applyProtection="1">
      <alignment vertical="center"/>
      <protection hidden="1"/>
    </xf>
    <xf numFmtId="0" fontId="0" fillId="0" borderId="2" xfId="0" applyBorder="1" applyAlignment="1" applyProtection="1">
      <alignment vertical="center"/>
      <protection hidden="1"/>
    </xf>
    <xf numFmtId="0" fontId="0" fillId="0" borderId="2" xfId="0" applyFont="1" applyBorder="1" applyAlignment="1" applyProtection="1">
      <alignment horizontal="right" vertical="center"/>
      <protection hidden="1"/>
    </xf>
    <xf numFmtId="0" fontId="0" fillId="0" borderId="53" xfId="0" applyFont="1" applyFill="1" applyBorder="1" applyAlignment="1" applyProtection="1">
      <alignment horizontal="right" vertical="center" wrapText="1"/>
      <protection hidden="1"/>
    </xf>
    <xf numFmtId="0" fontId="5" fillId="10" borderId="2" xfId="0" applyFont="1" applyFill="1" applyBorder="1" applyAlignment="1" applyProtection="1">
      <alignment horizontal="center" vertical="center" wrapText="1"/>
      <protection hidden="1"/>
    </xf>
    <xf numFmtId="0" fontId="0" fillId="0" borderId="3" xfId="0" applyBorder="1" applyAlignment="1" applyProtection="1">
      <alignment vertical="center"/>
      <protection hidden="1"/>
    </xf>
    <xf numFmtId="0" fontId="0" fillId="0" borderId="9" xfId="0" applyFont="1" applyBorder="1" applyAlignment="1" applyProtection="1">
      <alignment horizontal="right" vertical="center"/>
      <protection hidden="1"/>
    </xf>
    <xf numFmtId="0" fontId="10" fillId="0" borderId="53" xfId="0" applyFont="1" applyBorder="1" applyAlignment="1" applyProtection="1">
      <alignment horizontal="right" vertical="center" wrapText="1"/>
      <protection hidden="1"/>
    </xf>
    <xf numFmtId="14" fontId="10" fillId="10" borderId="2" xfId="0" applyNumberFormat="1" applyFont="1" applyFill="1" applyBorder="1" applyAlignment="1" applyProtection="1">
      <alignment horizontal="center" vertical="center" wrapText="1"/>
      <protection hidden="1"/>
    </xf>
    <xf numFmtId="0" fontId="0" fillId="0" borderId="53" xfId="0" applyBorder="1" applyAlignment="1" applyProtection="1">
      <alignment horizontal="right" vertical="center" wrapText="1"/>
      <protection hidden="1"/>
    </xf>
    <xf numFmtId="9" fontId="0" fillId="10" borderId="2" xfId="0" applyNumberFormat="1" applyFont="1" applyFill="1" applyBorder="1" applyAlignment="1" applyProtection="1">
      <alignment horizontal="center" vertical="center"/>
      <protection hidden="1"/>
    </xf>
    <xf numFmtId="0" fontId="0" fillId="0" borderId="58" xfId="0" applyBorder="1" applyAlignment="1" applyProtection="1">
      <alignment vertical="center"/>
      <protection hidden="1"/>
    </xf>
    <xf numFmtId="0" fontId="35" fillId="0" borderId="0" xfId="0" applyFont="1" applyBorder="1" applyAlignment="1" applyProtection="1">
      <alignment horizontal="left" vertical="center"/>
      <protection hidden="1"/>
    </xf>
    <xf numFmtId="0" fontId="10" fillId="0" borderId="2" xfId="0" applyFont="1" applyFill="1" applyBorder="1" applyAlignment="1" applyProtection="1">
      <alignment horizontal="right" vertical="center"/>
      <protection hidden="1"/>
    </xf>
    <xf numFmtId="0" fontId="0" fillId="0" borderId="9" xfId="0" applyBorder="1" applyAlignment="1" applyProtection="1">
      <alignment horizontal="right" vertical="center"/>
      <protection hidden="1"/>
    </xf>
    <xf numFmtId="0" fontId="77" fillId="0" borderId="2" xfId="0" applyFont="1" applyFill="1" applyBorder="1" applyAlignment="1" applyProtection="1">
      <alignment horizontal="right" vertical="center"/>
      <protection hidden="1"/>
    </xf>
    <xf numFmtId="0" fontId="0" fillId="0" borderId="2" xfId="0" applyBorder="1" applyAlignment="1" applyProtection="1">
      <alignment horizontal="right" vertical="center" wrapText="1"/>
      <protection hidden="1"/>
    </xf>
    <xf numFmtId="0" fontId="0" fillId="0" borderId="2" xfId="0" applyFont="1" applyBorder="1" applyAlignment="1" applyProtection="1">
      <alignment horizontal="right" vertical="center" wrapText="1"/>
      <protection hidden="1"/>
    </xf>
    <xf numFmtId="0" fontId="0" fillId="0" borderId="0" xfId="0" applyBorder="1" applyAlignment="1" applyProtection="1">
      <alignment horizontal="right" vertical="center"/>
      <protection hidden="1"/>
    </xf>
    <xf numFmtId="0" fontId="0" fillId="6" borderId="0" xfId="0" applyFont="1" applyFill="1" applyBorder="1" applyAlignment="1" applyProtection="1">
      <alignment vertical="center"/>
      <protection hidden="1"/>
    </xf>
    <xf numFmtId="0" fontId="77" fillId="0" borderId="2" xfId="0" applyFont="1" applyBorder="1" applyAlignment="1" applyProtection="1">
      <alignment horizontal="right" vertical="center" wrapText="1"/>
      <protection hidden="1"/>
    </xf>
    <xf numFmtId="0" fontId="86" fillId="0" borderId="9" xfId="0" applyFont="1" applyBorder="1" applyAlignment="1" applyProtection="1">
      <alignment horizontal="right" vertical="center"/>
      <protection hidden="1"/>
    </xf>
    <xf numFmtId="0" fontId="77" fillId="0" borderId="2" xfId="0" applyFont="1" applyBorder="1" applyAlignment="1" applyProtection="1">
      <alignment horizontal="right" vertical="center"/>
      <protection hidden="1"/>
    </xf>
    <xf numFmtId="0" fontId="10" fillId="6" borderId="0" xfId="0" applyFont="1" applyFill="1" applyAlignment="1" applyProtection="1">
      <alignment horizontal="left" vertical="center"/>
      <protection hidden="1"/>
    </xf>
    <xf numFmtId="0" fontId="10" fillId="6" borderId="0" xfId="0" applyFont="1" applyFill="1" applyBorder="1" applyAlignment="1" applyProtection="1">
      <alignment horizontal="left" vertical="center"/>
      <protection hidden="1"/>
    </xf>
    <xf numFmtId="0" fontId="10" fillId="0" borderId="0" xfId="0" applyFont="1" applyBorder="1" applyAlignment="1" applyProtection="1">
      <alignment horizontal="right" vertical="center" wrapText="1"/>
      <protection hidden="1"/>
    </xf>
    <xf numFmtId="0" fontId="10" fillId="0" borderId="0" xfId="0" applyFont="1" applyBorder="1" applyAlignment="1" applyProtection="1">
      <alignment vertical="center" wrapText="1"/>
      <protection hidden="1"/>
    </xf>
    <xf numFmtId="0" fontId="10" fillId="0" borderId="0" xfId="0" applyFont="1" applyBorder="1" applyAlignment="1" applyProtection="1">
      <alignment horizontal="left" vertical="center"/>
      <protection hidden="1"/>
    </xf>
    <xf numFmtId="0" fontId="10" fillId="0" borderId="0" xfId="0" applyFont="1" applyBorder="1" applyAlignment="1" applyProtection="1">
      <alignment vertical="center"/>
      <protection hidden="1"/>
    </xf>
    <xf numFmtId="0" fontId="10" fillId="0" borderId="0" xfId="0" applyFont="1" applyBorder="1" applyAlignment="1" applyProtection="1">
      <alignment horizontal="left" vertical="center" wrapText="1"/>
      <protection hidden="1"/>
    </xf>
    <xf numFmtId="0" fontId="25" fillId="0" borderId="0" xfId="0" applyFont="1" applyBorder="1" applyAlignment="1" applyProtection="1">
      <alignment horizontal="right" vertical="center" wrapText="1"/>
      <protection hidden="1"/>
    </xf>
    <xf numFmtId="0" fontId="25" fillId="0" borderId="0" xfId="0" applyFont="1" applyBorder="1" applyAlignment="1" applyProtection="1">
      <alignment vertical="center" wrapText="1"/>
      <protection hidden="1"/>
    </xf>
    <xf numFmtId="0" fontId="0" fillId="0" borderId="0" xfId="0" applyFont="1" applyBorder="1" applyAlignment="1" applyProtection="1">
      <alignment vertical="center" wrapText="1"/>
      <protection hidden="1"/>
    </xf>
    <xf numFmtId="0" fontId="0" fillId="0" borderId="0" xfId="0" applyFont="1" applyBorder="1" applyAlignment="1" applyProtection="1">
      <alignment horizontal="right" vertical="center" wrapText="1"/>
      <protection hidden="1"/>
    </xf>
    <xf numFmtId="49" fontId="0" fillId="13" borderId="2" xfId="0" applyNumberFormat="1" applyFill="1" applyBorder="1" applyAlignment="1" applyProtection="1">
      <alignment horizontal="center" vertical="center" wrapText="1"/>
      <protection locked="0" hidden="1"/>
    </xf>
    <xf numFmtId="49" fontId="0" fillId="13" borderId="2" xfId="0" applyNumberFormat="1" applyFill="1" applyBorder="1" applyAlignment="1" applyProtection="1">
      <alignment horizontal="right" vertical="center" wrapText="1"/>
      <protection locked="0" hidden="1"/>
    </xf>
    <xf numFmtId="0" fontId="77" fillId="13" borderId="2" xfId="0" applyNumberFormat="1" applyFont="1" applyFill="1" applyBorder="1" applyAlignment="1" applyProtection="1">
      <alignment horizontal="right" vertical="center" wrapText="1"/>
      <protection locked="0" hidden="1"/>
    </xf>
    <xf numFmtId="9" fontId="10" fillId="13" borderId="2" xfId="0" applyNumberFormat="1" applyFont="1" applyFill="1" applyBorder="1" applyAlignment="1" applyProtection="1">
      <alignment horizontal="right" vertical="center" wrapText="1"/>
      <protection locked="0" hidden="1"/>
    </xf>
    <xf numFmtId="0" fontId="0" fillId="13" borderId="2" xfId="0" applyFont="1" applyFill="1" applyBorder="1" applyAlignment="1" applyProtection="1">
      <alignment horizontal="right" vertical="center"/>
      <protection locked="0" hidden="1"/>
    </xf>
    <xf numFmtId="0" fontId="0" fillId="13" borderId="2" xfId="0" applyNumberFormat="1" applyFont="1" applyFill="1" applyBorder="1" applyAlignment="1" applyProtection="1">
      <alignment horizontal="right" vertical="center" wrapText="1"/>
      <protection locked="0" hidden="1"/>
    </xf>
    <xf numFmtId="14" fontId="10" fillId="13" borderId="2" xfId="0" applyNumberFormat="1" applyFont="1" applyFill="1" applyBorder="1" applyAlignment="1" applyProtection="1">
      <alignment horizontal="right" vertical="center" wrapText="1"/>
      <protection locked="0" hidden="1"/>
    </xf>
    <xf numFmtId="14" fontId="0" fillId="13" borderId="2" xfId="0" applyNumberFormat="1" applyFill="1" applyBorder="1" applyAlignment="1" applyProtection="1">
      <alignment horizontal="right" vertical="center" wrapText="1"/>
      <protection locked="0" hidden="1"/>
    </xf>
    <xf numFmtId="0" fontId="0" fillId="13" borderId="2" xfId="0" applyFill="1" applyBorder="1" applyAlignment="1" applyProtection="1">
      <alignment horizontal="right" vertical="center"/>
      <protection locked="0" hidden="1"/>
    </xf>
    <xf numFmtId="0" fontId="77" fillId="13" borderId="2" xfId="0" applyFont="1" applyFill="1" applyBorder="1" applyAlignment="1" applyProtection="1">
      <alignment horizontal="right" vertical="center"/>
      <protection locked="0" hidden="1"/>
    </xf>
    <xf numFmtId="0" fontId="43" fillId="0" borderId="0" xfId="0" applyFont="1" applyBorder="1" applyAlignment="1" applyProtection="1">
      <alignment vertical="center"/>
      <protection locked="0" hidden="1"/>
    </xf>
    <xf numFmtId="0" fontId="43" fillId="0" borderId="0" xfId="0" applyFont="1" applyBorder="1" applyAlignment="1" applyProtection="1">
      <alignment vertical="center"/>
      <protection hidden="1"/>
    </xf>
    <xf numFmtId="0" fontId="43" fillId="0" borderId="1" xfId="0" applyFont="1" applyBorder="1" applyAlignment="1" applyProtection="1">
      <alignment vertical="center"/>
      <protection hidden="1"/>
    </xf>
    <xf numFmtId="0" fontId="46" fillId="0" borderId="0" xfId="0" applyNumberFormat="1" applyFont="1" applyBorder="1" applyAlignment="1" applyProtection="1">
      <alignment horizontal="left" vertical="center"/>
      <protection hidden="1"/>
    </xf>
    <xf numFmtId="0" fontId="44" fillId="0" borderId="0" xfId="0" applyFont="1" applyBorder="1" applyAlignment="1" applyProtection="1">
      <protection hidden="1"/>
    </xf>
    <xf numFmtId="0" fontId="45" fillId="0" borderId="0" xfId="0" applyFont="1" applyFill="1" applyBorder="1" applyAlignment="1" applyProtection="1">
      <alignment horizontal="right" vertical="center"/>
      <protection locked="0" hidden="1"/>
    </xf>
    <xf numFmtId="0" fontId="43" fillId="13" borderId="0" xfId="0" applyFont="1" applyFill="1" applyBorder="1" applyAlignment="1" applyProtection="1">
      <alignment vertical="center"/>
      <protection locked="0" hidden="1"/>
    </xf>
    <xf numFmtId="0" fontId="53" fillId="0" borderId="0" xfId="0" applyFont="1" applyFill="1" applyBorder="1" applyAlignment="1" applyProtection="1">
      <alignment horizontal="right" vertical="center"/>
      <protection locked="0" hidden="1"/>
    </xf>
    <xf numFmtId="0" fontId="43" fillId="0" borderId="0" xfId="0" applyFont="1" applyBorder="1" applyAlignment="1" applyProtection="1">
      <alignment horizontal="right" vertical="center"/>
      <protection locked="0" hidden="1"/>
    </xf>
    <xf numFmtId="0" fontId="43" fillId="0" borderId="0" xfId="0" applyFont="1" applyBorder="1" applyProtection="1">
      <protection hidden="1"/>
    </xf>
    <xf numFmtId="0" fontId="45" fillId="0" borderId="0" xfId="0" applyFont="1" applyBorder="1" applyAlignment="1" applyProtection="1">
      <alignment horizontal="right" vertical="center"/>
      <protection locked="0" hidden="1"/>
    </xf>
    <xf numFmtId="0" fontId="45" fillId="0" borderId="0" xfId="0" applyFont="1" applyBorder="1" applyAlignment="1" applyProtection="1">
      <alignment vertical="center"/>
      <protection locked="0" hidden="1"/>
    </xf>
    <xf numFmtId="0" fontId="54" fillId="0" borderId="0" xfId="0" applyFont="1" applyBorder="1" applyAlignment="1" applyProtection="1">
      <alignment vertical="center"/>
      <protection locked="0" hidden="1"/>
    </xf>
    <xf numFmtId="0" fontId="54" fillId="0" borderId="0" xfId="0" applyFont="1" applyFill="1" applyBorder="1" applyAlignment="1" applyProtection="1">
      <alignment vertical="center"/>
      <protection locked="0" hidden="1"/>
    </xf>
    <xf numFmtId="166" fontId="43" fillId="3" borderId="0" xfId="0" applyNumberFormat="1" applyFont="1" applyFill="1" applyBorder="1" applyAlignment="1" applyProtection="1">
      <alignment horizontal="left" vertical="center" indent="1"/>
      <protection locked="0" hidden="1"/>
    </xf>
    <xf numFmtId="0" fontId="43" fillId="0" borderId="0" xfId="0" applyFont="1" applyFill="1" applyBorder="1" applyAlignment="1" applyProtection="1">
      <alignment horizontal="center" vertical="center"/>
      <protection locked="0" hidden="1"/>
    </xf>
    <xf numFmtId="166" fontId="43" fillId="3" borderId="0" xfId="0" applyNumberFormat="1" applyFont="1" applyFill="1" applyBorder="1" applyAlignment="1" applyProtection="1">
      <alignment vertical="center"/>
      <protection locked="0" hidden="1"/>
    </xf>
    <xf numFmtId="1" fontId="43" fillId="3" borderId="0" xfId="0" applyNumberFormat="1" applyFont="1" applyFill="1" applyBorder="1" applyAlignment="1" applyProtection="1">
      <alignment horizontal="left" vertical="center" indent="1"/>
      <protection locked="0" hidden="1"/>
    </xf>
    <xf numFmtId="0" fontId="44" fillId="0" borderId="0" xfId="0" applyFont="1" applyBorder="1" applyAlignment="1" applyProtection="1">
      <alignment horizontal="right" vertical="center" indent="1"/>
      <protection locked="0" hidden="1"/>
    </xf>
    <xf numFmtId="0" fontId="43" fillId="6" borderId="0" xfId="0" applyFont="1" applyFill="1" applyBorder="1" applyAlignment="1" applyProtection="1">
      <alignment vertical="center"/>
      <protection locked="0" hidden="1"/>
    </xf>
    <xf numFmtId="0" fontId="43" fillId="6" borderId="9" xfId="0" applyFont="1" applyFill="1" applyBorder="1" applyAlignment="1" applyProtection="1">
      <alignment vertical="center"/>
      <protection locked="0" hidden="1"/>
    </xf>
    <xf numFmtId="0" fontId="43" fillId="0" borderId="0" xfId="0" applyFont="1" applyBorder="1" applyAlignment="1" applyProtection="1">
      <alignment horizontal="left" vertical="center" indent="1"/>
      <protection locked="0" hidden="1"/>
    </xf>
    <xf numFmtId="0" fontId="43" fillId="0" borderId="0" xfId="0" applyFont="1" applyBorder="1" applyAlignment="1" applyProtection="1">
      <alignment horizontal="right" vertical="center" indent="1"/>
      <protection locked="0" hidden="1"/>
    </xf>
    <xf numFmtId="0" fontId="43" fillId="13" borderId="0" xfId="0" applyFont="1" applyFill="1" applyBorder="1" applyAlignment="1" applyProtection="1">
      <alignment horizontal="left" vertical="center" indent="1"/>
      <protection locked="0" hidden="1"/>
    </xf>
    <xf numFmtId="0" fontId="43" fillId="0" borderId="0" xfId="0" applyFont="1" applyBorder="1" applyAlignment="1" applyProtection="1">
      <alignment horizontal="center" vertical="center"/>
      <protection locked="0" hidden="1"/>
    </xf>
    <xf numFmtId="166" fontId="56" fillId="3" borderId="12" xfId="0" applyNumberFormat="1" applyFont="1" applyFill="1" applyBorder="1" applyAlignment="1" applyProtection="1">
      <alignment horizontal="center" vertical="center"/>
    </xf>
    <xf numFmtId="0" fontId="58" fillId="0" borderId="19" xfId="0" applyNumberFormat="1" applyFont="1" applyFill="1" applyBorder="1" applyProtection="1"/>
    <xf numFmtId="0" fontId="60" fillId="0" borderId="0" xfId="0" applyFont="1" applyBorder="1" applyProtection="1"/>
    <xf numFmtId="0" fontId="58" fillId="0" borderId="0" xfId="0" applyFont="1" applyBorder="1" applyProtection="1"/>
    <xf numFmtId="0" fontId="61" fillId="6" borderId="15" xfId="0" applyNumberFormat="1" applyFont="1" applyFill="1" applyBorder="1" applyAlignment="1" applyProtection="1">
      <alignment horizontal="center" vertical="center"/>
    </xf>
    <xf numFmtId="14" fontId="58" fillId="6" borderId="13" xfId="0" applyNumberFormat="1" applyFont="1" applyFill="1" applyBorder="1" applyAlignment="1" applyProtection="1">
      <alignment horizontal="center" vertical="center"/>
    </xf>
    <xf numFmtId="0" fontId="58" fillId="6" borderId="13" xfId="0" applyFont="1" applyFill="1" applyBorder="1" applyProtection="1"/>
    <xf numFmtId="0" fontId="58" fillId="0" borderId="0" xfId="0" applyNumberFormat="1" applyFont="1" applyFill="1" applyBorder="1" applyProtection="1"/>
    <xf numFmtId="0" fontId="59" fillId="5" borderId="12" xfId="0" applyFont="1" applyFill="1" applyBorder="1" applyAlignment="1" applyProtection="1">
      <alignment horizontal="center" vertical="center"/>
    </xf>
    <xf numFmtId="0" fontId="61" fillId="0" borderId="19" xfId="0" applyNumberFormat="1" applyFont="1" applyFill="1" applyBorder="1" applyAlignment="1" applyProtection="1">
      <alignment horizontal="center" vertical="center"/>
    </xf>
    <xf numFmtId="0" fontId="59" fillId="5" borderId="21" xfId="0" applyFont="1" applyFill="1" applyBorder="1" applyAlignment="1" applyProtection="1">
      <alignment horizontal="centerContinuous" vertical="center"/>
    </xf>
    <xf numFmtId="0" fontId="59" fillId="5" borderId="31" xfId="0" applyFont="1" applyFill="1" applyBorder="1" applyAlignment="1" applyProtection="1">
      <alignment horizontal="centerContinuous" vertical="center"/>
    </xf>
    <xf numFmtId="0" fontId="55" fillId="0" borderId="16" xfId="0" applyFont="1" applyBorder="1" applyProtection="1"/>
    <xf numFmtId="0" fontId="59" fillId="5" borderId="16" xfId="0" applyFont="1" applyFill="1" applyBorder="1" applyAlignment="1" applyProtection="1">
      <alignment horizontal="center" vertical="center"/>
    </xf>
    <xf numFmtId="0" fontId="58" fillId="8" borderId="14" xfId="0" applyFont="1" applyFill="1" applyBorder="1" applyAlignment="1" applyProtection="1">
      <alignment horizontal="center" vertical="center" wrapText="1"/>
    </xf>
    <xf numFmtId="164" fontId="57" fillId="6" borderId="14" xfId="0" applyNumberFormat="1" applyFont="1" applyFill="1" applyBorder="1" applyAlignment="1" applyProtection="1">
      <alignment horizontal="center" vertical="center" wrapText="1"/>
    </xf>
    <xf numFmtId="0" fontId="58" fillId="0" borderId="19" xfId="0" applyNumberFormat="1" applyFont="1" applyFill="1" applyBorder="1" applyAlignment="1" applyProtection="1">
      <alignment horizontal="center" vertical="center" wrapText="1"/>
    </xf>
    <xf numFmtId="164" fontId="57" fillId="6" borderId="12" xfId="0" applyNumberFormat="1" applyFont="1" applyFill="1" applyBorder="1" applyAlignment="1" applyProtection="1">
      <alignment horizontal="center" vertical="center" wrapText="1"/>
    </xf>
    <xf numFmtId="0" fontId="58" fillId="8" borderId="12" xfId="0" applyFont="1" applyFill="1" applyBorder="1" applyAlignment="1" applyProtection="1">
      <alignment horizontal="center" vertical="center" wrapText="1"/>
    </xf>
    <xf numFmtId="0" fontId="62" fillId="0" borderId="19" xfId="0" applyNumberFormat="1" applyFont="1" applyFill="1" applyBorder="1" applyAlignment="1" applyProtection="1">
      <alignment vertical="center"/>
    </xf>
    <xf numFmtId="0" fontId="58" fillId="0" borderId="14" xfId="0" applyFont="1" applyBorder="1" applyProtection="1"/>
    <xf numFmtId="0" fontId="59" fillId="6" borderId="17" xfId="0" applyFont="1" applyFill="1" applyBorder="1" applyAlignment="1" applyProtection="1">
      <alignment vertical="center"/>
    </xf>
    <xf numFmtId="0" fontId="59" fillId="6" borderId="27" xfId="0" applyFont="1" applyFill="1" applyBorder="1" applyAlignment="1" applyProtection="1">
      <alignment vertical="center"/>
    </xf>
    <xf numFmtId="0" fontId="58" fillId="0" borderId="0" xfId="0" applyNumberFormat="1" applyFont="1" applyFill="1" applyBorder="1" applyAlignment="1" applyProtection="1">
      <alignment vertical="center"/>
    </xf>
    <xf numFmtId="164" fontId="63" fillId="0" borderId="17" xfId="0" applyNumberFormat="1" applyFont="1" applyFill="1" applyBorder="1" applyAlignment="1" applyProtection="1">
      <alignment vertical="center"/>
    </xf>
    <xf numFmtId="0" fontId="58" fillId="0" borderId="27" xfId="0" applyNumberFormat="1" applyFont="1" applyFill="1" applyBorder="1" applyAlignment="1" applyProtection="1">
      <alignment vertical="center"/>
    </xf>
    <xf numFmtId="0" fontId="58" fillId="0" borderId="15" xfId="0" applyNumberFormat="1" applyFont="1" applyFill="1" applyBorder="1" applyProtection="1"/>
    <xf numFmtId="44" fontId="64" fillId="11" borderId="18" xfId="0" applyNumberFormat="1" applyFont="1" applyFill="1" applyBorder="1" applyAlignment="1" applyProtection="1">
      <alignment horizontal="right"/>
    </xf>
    <xf numFmtId="44" fontId="64" fillId="6" borderId="18" xfId="0" applyNumberFormat="1" applyFont="1" applyFill="1" applyBorder="1" applyAlignment="1" applyProtection="1">
      <alignment horizontal="right"/>
    </xf>
    <xf numFmtId="44" fontId="64" fillId="0" borderId="0" xfId="1" applyNumberFormat="1" applyFont="1" applyFill="1" applyBorder="1" applyAlignment="1" applyProtection="1">
      <alignment vertical="center"/>
    </xf>
    <xf numFmtId="44" fontId="64" fillId="3" borderId="18" xfId="1" applyNumberFormat="1" applyFont="1" applyFill="1" applyBorder="1" applyAlignment="1" applyProtection="1">
      <alignment vertical="center"/>
    </xf>
    <xf numFmtId="44" fontId="65" fillId="0" borderId="0" xfId="0" applyNumberFormat="1" applyFont="1" applyFill="1" applyBorder="1" applyAlignment="1" applyProtection="1">
      <alignment vertical="center"/>
    </xf>
    <xf numFmtId="44" fontId="66" fillId="3" borderId="18" xfId="1" applyNumberFormat="1" applyFont="1" applyFill="1" applyBorder="1" applyAlignment="1" applyProtection="1">
      <alignment vertical="center"/>
    </xf>
    <xf numFmtId="0" fontId="59" fillId="6" borderId="57" xfId="0" applyFont="1" applyFill="1" applyBorder="1" applyAlignment="1" applyProtection="1">
      <alignment vertical="center"/>
    </xf>
    <xf numFmtId="0" fontId="59" fillId="6" borderId="31" xfId="0" applyFont="1" applyFill="1" applyBorder="1" applyAlignment="1" applyProtection="1">
      <alignment vertical="center"/>
    </xf>
    <xf numFmtId="44" fontId="64" fillId="0" borderId="0" xfId="0" applyNumberFormat="1" applyFont="1" applyFill="1" applyBorder="1" applyAlignment="1" applyProtection="1">
      <alignment vertical="center"/>
    </xf>
    <xf numFmtId="44" fontId="64" fillId="0" borderId="22" xfId="0" applyNumberFormat="1" applyFont="1" applyFill="1" applyBorder="1" applyAlignment="1" applyProtection="1">
      <alignment horizontal="right"/>
    </xf>
    <xf numFmtId="44" fontId="65" fillId="0" borderId="0" xfId="0" applyNumberFormat="1" applyFont="1" applyFill="1" applyBorder="1" applyAlignment="1" applyProtection="1">
      <alignment horizontal="right"/>
    </xf>
    <xf numFmtId="44" fontId="66" fillId="0" borderId="26" xfId="0" applyNumberFormat="1" applyFont="1" applyFill="1" applyBorder="1" applyAlignment="1" applyProtection="1">
      <alignment horizontal="right"/>
    </xf>
    <xf numFmtId="44" fontId="62" fillId="11" borderId="12" xfId="0" applyNumberFormat="1" applyFont="1" applyFill="1" applyBorder="1" applyAlignment="1" applyProtection="1">
      <alignment horizontal="right"/>
    </xf>
    <xf numFmtId="44" fontId="62" fillId="6" borderId="12" xfId="0" applyNumberFormat="1" applyFont="1" applyFill="1" applyBorder="1" applyAlignment="1" applyProtection="1">
      <alignment horizontal="right"/>
    </xf>
    <xf numFmtId="44" fontId="61" fillId="6" borderId="12" xfId="0" applyNumberFormat="1" applyFont="1" applyFill="1" applyBorder="1" applyAlignment="1" applyProtection="1">
      <alignment horizontal="right"/>
    </xf>
    <xf numFmtId="44" fontId="68" fillId="3" borderId="18" xfId="0" applyNumberFormat="1" applyFont="1" applyFill="1" applyBorder="1" applyAlignment="1" applyProtection="1">
      <alignment vertical="center"/>
    </xf>
    <xf numFmtId="44" fontId="69" fillId="3" borderId="18" xfId="0" applyNumberFormat="1" applyFont="1" applyFill="1" applyBorder="1" applyAlignment="1" applyProtection="1">
      <alignment vertical="center"/>
    </xf>
    <xf numFmtId="44" fontId="59" fillId="3" borderId="12" xfId="0" applyNumberFormat="1" applyFont="1" applyFill="1" applyBorder="1" applyAlignment="1" applyProtection="1">
      <alignment horizontal="right"/>
    </xf>
    <xf numFmtId="44" fontId="61" fillId="0" borderId="0" xfId="0" applyNumberFormat="1" applyFont="1" applyBorder="1" applyProtection="1"/>
    <xf numFmtId="44" fontId="65" fillId="0" borderId="0" xfId="0" applyNumberFormat="1" applyFont="1" applyBorder="1" applyProtection="1"/>
    <xf numFmtId="44" fontId="66" fillId="0" borderId="0" xfId="0" applyNumberFormat="1" applyFont="1" applyBorder="1" applyProtection="1"/>
    <xf numFmtId="9" fontId="61" fillId="3" borderId="26" xfId="0" applyNumberFormat="1" applyFont="1" applyFill="1" applyBorder="1" applyAlignment="1" applyProtection="1">
      <alignment horizontal="right"/>
    </xf>
    <xf numFmtId="9" fontId="65" fillId="0" borderId="0" xfId="0" applyNumberFormat="1" applyFont="1" applyFill="1" applyBorder="1" applyAlignment="1" applyProtection="1">
      <alignment horizontal="center" vertical="center"/>
    </xf>
    <xf numFmtId="9" fontId="65" fillId="3" borderId="15" xfId="0" applyNumberFormat="1" applyFont="1" applyFill="1" applyBorder="1" applyAlignment="1" applyProtection="1">
      <alignment horizontal="right"/>
    </xf>
    <xf numFmtId="9" fontId="65" fillId="0" borderId="0" xfId="0" applyNumberFormat="1" applyFont="1" applyBorder="1" applyAlignment="1" applyProtection="1"/>
    <xf numFmtId="9" fontId="66" fillId="3" borderId="18" xfId="0" applyNumberFormat="1" applyFont="1" applyFill="1" applyBorder="1" applyAlignment="1" applyProtection="1">
      <alignment vertical="center"/>
    </xf>
    <xf numFmtId="44" fontId="71" fillId="5" borderId="26" xfId="0" applyNumberFormat="1" applyFont="1" applyFill="1" applyBorder="1" applyAlignment="1" applyProtection="1">
      <alignment horizontal="right" vertical="center"/>
    </xf>
    <xf numFmtId="44" fontId="70" fillId="5" borderId="26" xfId="0" applyNumberFormat="1" applyFont="1" applyFill="1" applyBorder="1" applyAlignment="1" applyProtection="1">
      <alignment horizontal="right" vertical="center"/>
    </xf>
    <xf numFmtId="44" fontId="70" fillId="0" borderId="0" xfId="0" applyNumberFormat="1" applyFont="1" applyFill="1" applyBorder="1" applyAlignment="1" applyProtection="1">
      <alignment horizontal="right" vertical="center"/>
    </xf>
    <xf numFmtId="44" fontId="70" fillId="5" borderId="29" xfId="0" applyNumberFormat="1" applyFont="1" applyFill="1" applyBorder="1" applyAlignment="1" applyProtection="1">
      <alignment horizontal="right" vertical="center"/>
    </xf>
    <xf numFmtId="44" fontId="70" fillId="0" borderId="0" xfId="0" applyNumberFormat="1" applyFont="1" applyBorder="1" applyAlignment="1" applyProtection="1">
      <alignment vertical="center"/>
    </xf>
    <xf numFmtId="44" fontId="70" fillId="5" borderId="30" xfId="0" applyNumberFormat="1" applyFont="1" applyFill="1" applyBorder="1" applyAlignment="1" applyProtection="1">
      <alignment horizontal="right" vertical="center"/>
    </xf>
    <xf numFmtId="44" fontId="58" fillId="6" borderId="0" xfId="0" applyNumberFormat="1" applyFont="1" applyFill="1" applyBorder="1" applyAlignment="1" applyProtection="1">
      <alignment horizontal="right"/>
    </xf>
    <xf numFmtId="44" fontId="60" fillId="6" borderId="0" xfId="0" applyNumberFormat="1" applyFont="1" applyFill="1" applyBorder="1" applyAlignment="1" applyProtection="1">
      <alignment horizontal="right"/>
    </xf>
    <xf numFmtId="44" fontId="58" fillId="0" borderId="0" xfId="0" applyNumberFormat="1" applyFont="1" applyFill="1" applyBorder="1" applyProtection="1"/>
    <xf numFmtId="44" fontId="60" fillId="6" borderId="0" xfId="0" applyNumberFormat="1" applyFont="1" applyFill="1" applyBorder="1" applyProtection="1"/>
    <xf numFmtId="44" fontId="58" fillId="0" borderId="0" xfId="0" applyNumberFormat="1" applyFont="1" applyBorder="1" applyProtection="1"/>
    <xf numFmtId="44" fontId="58" fillId="3" borderId="33" xfId="0" applyNumberFormat="1" applyFont="1" applyFill="1" applyBorder="1" applyAlignment="1" applyProtection="1">
      <alignment horizontal="right"/>
    </xf>
    <xf numFmtId="44" fontId="60" fillId="6" borderId="33" xfId="0" applyNumberFormat="1" applyFont="1" applyFill="1" applyBorder="1" applyAlignment="1" applyProtection="1">
      <alignment horizontal="right"/>
    </xf>
    <xf numFmtId="44" fontId="58" fillId="0" borderId="33" xfId="0" applyNumberFormat="1" applyFont="1" applyFill="1" applyBorder="1" applyProtection="1"/>
    <xf numFmtId="44" fontId="58" fillId="6" borderId="33" xfId="0" applyNumberFormat="1" applyFont="1" applyFill="1" applyBorder="1" applyProtection="1"/>
    <xf numFmtId="44" fontId="58" fillId="3" borderId="34" xfId="0" applyNumberFormat="1" applyFont="1" applyFill="1" applyBorder="1" applyAlignment="1" applyProtection="1">
      <alignment vertical="center"/>
    </xf>
    <xf numFmtId="44" fontId="62" fillId="6" borderId="0" xfId="0" applyNumberFormat="1" applyFont="1" applyFill="1" applyBorder="1" applyProtection="1"/>
    <xf numFmtId="44" fontId="58" fillId="6" borderId="0" xfId="0" applyNumberFormat="1" applyFont="1" applyFill="1" applyBorder="1" applyProtection="1"/>
    <xf numFmtId="44" fontId="58" fillId="6" borderId="0" xfId="0" applyNumberFormat="1" applyFont="1" applyFill="1" applyBorder="1" applyAlignment="1" applyProtection="1">
      <alignment vertical="center"/>
    </xf>
    <xf numFmtId="44" fontId="58" fillId="8" borderId="33" xfId="0" applyNumberFormat="1" applyFont="1" applyFill="1" applyBorder="1" applyAlignment="1" applyProtection="1">
      <alignment horizontal="right"/>
    </xf>
    <xf numFmtId="44" fontId="58" fillId="6" borderId="33" xfId="0" applyNumberFormat="1" applyFont="1" applyFill="1" applyBorder="1" applyAlignment="1" applyProtection="1">
      <alignment horizontal="right"/>
    </xf>
    <xf numFmtId="44" fontId="61" fillId="3" borderId="33" xfId="0" applyNumberFormat="1" applyFont="1" applyFill="1" applyBorder="1" applyProtection="1"/>
    <xf numFmtId="44" fontId="62" fillId="0" borderId="33" xfId="0" applyNumberFormat="1" applyFont="1" applyBorder="1" applyProtection="1"/>
    <xf numFmtId="44" fontId="61" fillId="3" borderId="34" xfId="0" applyNumberFormat="1" applyFont="1" applyFill="1" applyBorder="1" applyProtection="1"/>
    <xf numFmtId="44" fontId="58" fillId="0" borderId="0" xfId="0" applyNumberFormat="1" applyFont="1" applyProtection="1"/>
    <xf numFmtId="44" fontId="60" fillId="6" borderId="0" xfId="0" applyNumberFormat="1" applyFont="1" applyFill="1" applyBorder="1" applyAlignment="1" applyProtection="1">
      <alignment horizontal="center"/>
    </xf>
    <xf numFmtId="44" fontId="62" fillId="6" borderId="0" xfId="0" applyNumberFormat="1" applyFont="1" applyFill="1" applyBorder="1" applyAlignment="1" applyProtection="1">
      <alignment horizontal="center"/>
    </xf>
    <xf numFmtId="44" fontId="62" fillId="3" borderId="33" xfId="0" applyNumberFormat="1" applyFont="1" applyFill="1" applyBorder="1" applyAlignment="1" applyProtection="1">
      <alignment vertical="center"/>
    </xf>
    <xf numFmtId="44" fontId="58" fillId="0" borderId="34" xfId="0" applyNumberFormat="1" applyFont="1" applyBorder="1" applyProtection="1"/>
    <xf numFmtId="164" fontId="58" fillId="0" borderId="0" xfId="0" applyNumberFormat="1" applyFont="1" applyBorder="1" applyProtection="1"/>
    <xf numFmtId="164" fontId="60" fillId="0" borderId="0" xfId="0" applyNumberFormat="1" applyFont="1" applyBorder="1" applyProtection="1"/>
    <xf numFmtId="164" fontId="58" fillId="0" borderId="0" xfId="0" applyNumberFormat="1" applyFont="1" applyFill="1" applyBorder="1" applyProtection="1"/>
    <xf numFmtId="0" fontId="55" fillId="6" borderId="14" xfId="0" applyFont="1" applyFill="1" applyBorder="1" applyAlignment="1" applyProtection="1">
      <alignment horizontal="center" vertical="center"/>
    </xf>
    <xf numFmtId="0" fontId="55" fillId="6" borderId="15" xfId="0" applyFont="1" applyFill="1" applyBorder="1" applyAlignment="1" applyProtection="1">
      <alignment vertical="center"/>
    </xf>
    <xf numFmtId="0" fontId="56" fillId="6" borderId="12" xfId="0" applyNumberFormat="1" applyFont="1" applyFill="1" applyBorder="1" applyAlignment="1" applyProtection="1">
      <alignment horizontal="center" vertical="center"/>
    </xf>
    <xf numFmtId="0" fontId="55" fillId="6" borderId="16" xfId="0" applyFont="1" applyFill="1" applyBorder="1" applyAlignment="1" applyProtection="1">
      <alignment vertical="center"/>
    </xf>
    <xf numFmtId="0" fontId="59" fillId="5" borderId="12" xfId="0" applyFont="1" applyFill="1" applyBorder="1" applyAlignment="1" applyProtection="1">
      <alignment vertical="center"/>
    </xf>
    <xf numFmtId="0" fontId="59" fillId="6" borderId="14" xfId="0" applyFont="1" applyFill="1" applyBorder="1" applyAlignment="1" applyProtection="1">
      <alignment horizontal="left" vertical="center" wrapText="1"/>
    </xf>
    <xf numFmtId="0" fontId="59" fillId="4" borderId="56" xfId="0" applyFont="1" applyFill="1" applyBorder="1" applyAlignment="1" applyProtection="1">
      <alignment vertical="center"/>
    </xf>
    <xf numFmtId="0" fontId="61" fillId="0" borderId="12" xfId="1" applyFont="1" applyFill="1" applyBorder="1" applyAlignment="1" applyProtection="1">
      <alignment horizontal="right" vertical="center"/>
    </xf>
    <xf numFmtId="0" fontId="59" fillId="4" borderId="21" xfId="0" applyFont="1" applyFill="1" applyBorder="1" applyAlignment="1" applyProtection="1">
      <alignment vertical="center"/>
    </xf>
    <xf numFmtId="0" fontId="67" fillId="6" borderId="12" xfId="0" applyFont="1" applyFill="1" applyBorder="1" applyAlignment="1" applyProtection="1">
      <alignment horizontal="right" vertical="center" wrapText="1"/>
    </xf>
    <xf numFmtId="168" fontId="62" fillId="11" borderId="12" xfId="0" applyNumberFormat="1" applyFont="1" applyFill="1" applyBorder="1" applyAlignment="1" applyProtection="1">
      <alignment horizontal="right"/>
    </xf>
    <xf numFmtId="0" fontId="55" fillId="4" borderId="12" xfId="0" applyFont="1" applyFill="1" applyBorder="1" applyAlignment="1" applyProtection="1">
      <alignment horizontal="left" vertical="center"/>
    </xf>
    <xf numFmtId="0" fontId="55" fillId="3" borderId="19" xfId="0" applyFont="1" applyFill="1" applyBorder="1" applyAlignment="1" applyProtection="1">
      <alignment horizontal="right" vertical="center"/>
    </xf>
    <xf numFmtId="164" fontId="59" fillId="5" borderId="19" xfId="0" applyNumberFormat="1" applyFont="1" applyFill="1" applyBorder="1" applyAlignment="1" applyProtection="1">
      <alignment horizontal="right" vertical="center" wrapText="1"/>
    </xf>
    <xf numFmtId="0" fontId="55" fillId="0" borderId="19" xfId="0" applyFont="1" applyBorder="1" applyProtection="1"/>
    <xf numFmtId="0" fontId="58" fillId="0" borderId="32" xfId="0" applyFont="1" applyBorder="1" applyAlignment="1" applyProtection="1">
      <alignment horizontal="right" vertical="center"/>
    </xf>
    <xf numFmtId="0" fontId="55" fillId="6" borderId="0" xfId="0" applyFont="1" applyFill="1" applyBorder="1" applyAlignment="1" applyProtection="1">
      <alignment horizontal="right"/>
    </xf>
    <xf numFmtId="0" fontId="58" fillId="0" borderId="32" xfId="0" applyFont="1" applyBorder="1" applyAlignment="1" applyProtection="1">
      <alignment horizontal="right"/>
    </xf>
    <xf numFmtId="44" fontId="58" fillId="0" borderId="33" xfId="0" applyNumberFormat="1" applyFont="1" applyBorder="1" applyProtection="1"/>
    <xf numFmtId="0" fontId="58" fillId="0" borderId="0" xfId="0" applyFont="1" applyProtection="1"/>
    <xf numFmtId="164" fontId="61" fillId="6" borderId="32" xfId="0" applyNumberFormat="1" applyFont="1" applyFill="1" applyBorder="1" applyAlignment="1" applyProtection="1">
      <alignment horizontal="right"/>
    </xf>
    <xf numFmtId="44" fontId="58" fillId="3" borderId="35" xfId="0" applyNumberFormat="1" applyFont="1" applyFill="1" applyBorder="1" applyAlignment="1" applyProtection="1">
      <alignment horizontal="right"/>
    </xf>
    <xf numFmtId="44" fontId="81" fillId="6" borderId="33" xfId="0" applyNumberFormat="1" applyFont="1" applyFill="1" applyBorder="1" applyAlignment="1" applyProtection="1">
      <alignment horizontal="right"/>
    </xf>
    <xf numFmtId="0" fontId="20" fillId="0" borderId="0" xfId="0" applyFont="1" applyFill="1" applyAlignment="1" applyProtection="1">
      <alignment vertical="center"/>
    </xf>
    <xf numFmtId="0" fontId="18" fillId="0" borderId="0" xfId="0" applyFont="1" applyAlignment="1" applyProtection="1"/>
    <xf numFmtId="0" fontId="20" fillId="0" borderId="0" xfId="0" applyFont="1" applyAlignment="1" applyProtection="1"/>
    <xf numFmtId="0" fontId="22" fillId="0" borderId="0" xfId="3" applyFont="1" applyFill="1" applyBorder="1" applyAlignment="1" applyProtection="1">
      <alignment vertical="top"/>
    </xf>
    <xf numFmtId="0" fontId="49" fillId="9" borderId="54" xfId="0" applyFont="1" applyFill="1" applyBorder="1" applyAlignment="1" applyProtection="1">
      <alignment horizontal="center" vertical="center" wrapText="1"/>
    </xf>
    <xf numFmtId="0" fontId="20" fillId="6" borderId="14" xfId="0" applyFont="1" applyFill="1" applyBorder="1" applyAlignment="1" applyProtection="1">
      <alignment horizontal="center" vertical="center" wrapText="1"/>
    </xf>
    <xf numFmtId="165" fontId="20" fillId="6" borderId="14" xfId="0" applyNumberFormat="1" applyFont="1" applyFill="1" applyBorder="1" applyAlignment="1" applyProtection="1">
      <alignment horizontal="center" vertical="center" wrapText="1"/>
    </xf>
    <xf numFmtId="0" fontId="20" fillId="6" borderId="61" xfId="0" applyNumberFormat="1" applyFont="1" applyFill="1" applyBorder="1" applyAlignment="1" applyProtection="1">
      <alignment horizontal="center" vertical="center" wrapText="1"/>
    </xf>
    <xf numFmtId="0" fontId="78" fillId="9" borderId="54" xfId="0" applyFont="1" applyFill="1" applyBorder="1" applyAlignment="1" applyProtection="1">
      <alignment horizontal="center" vertical="center" wrapText="1"/>
    </xf>
    <xf numFmtId="0" fontId="16" fillId="6" borderId="25" xfId="0" applyFont="1" applyFill="1" applyBorder="1" applyAlignment="1" applyProtection="1">
      <alignment horizontal="center" vertical="center"/>
    </xf>
    <xf numFmtId="0" fontId="20" fillId="6" borderId="15" xfId="0" applyFont="1" applyFill="1" applyBorder="1" applyAlignment="1" applyProtection="1">
      <alignment horizontal="center" vertical="center"/>
    </xf>
    <xf numFmtId="0" fontId="20" fillId="6" borderId="19" xfId="0" applyFont="1" applyFill="1" applyBorder="1" applyAlignment="1" applyProtection="1">
      <alignment horizontal="center" vertical="center"/>
    </xf>
    <xf numFmtId="0" fontId="20" fillId="6" borderId="28" xfId="0" applyFont="1" applyFill="1" applyBorder="1" applyAlignment="1" applyProtection="1">
      <alignment horizontal="center" vertical="center"/>
    </xf>
    <xf numFmtId="0" fontId="20" fillId="0" borderId="0" xfId="0" applyFont="1" applyFill="1" applyAlignment="1" applyProtection="1">
      <alignment horizontal="center" vertical="center"/>
    </xf>
    <xf numFmtId="0" fontId="18" fillId="13" borderId="18" xfId="0" applyFont="1" applyFill="1" applyBorder="1" applyAlignment="1" applyProtection="1">
      <alignment vertical="center"/>
      <protection locked="0"/>
    </xf>
    <xf numFmtId="0" fontId="20" fillId="13" borderId="18" xfId="0" applyNumberFormat="1" applyFont="1" applyFill="1" applyBorder="1" applyAlignment="1" applyProtection="1">
      <alignment horizontal="right" vertical="center"/>
      <protection locked="0"/>
    </xf>
    <xf numFmtId="165" fontId="20" fillId="13" borderId="18" xfId="0" applyNumberFormat="1" applyFont="1" applyFill="1" applyBorder="1" applyAlignment="1" applyProtection="1">
      <alignment vertical="center"/>
      <protection locked="0"/>
    </xf>
    <xf numFmtId="0" fontId="20" fillId="13" borderId="18" xfId="0" applyNumberFormat="1" applyFont="1" applyFill="1" applyBorder="1" applyAlignment="1" applyProtection="1">
      <alignment horizontal="center" vertical="center"/>
      <protection locked="0"/>
    </xf>
    <xf numFmtId="14" fontId="20" fillId="13" borderId="18" xfId="0" applyNumberFormat="1" applyFont="1" applyFill="1" applyBorder="1" applyAlignment="1" applyProtection="1">
      <alignment horizontal="center" vertical="center"/>
      <protection locked="0"/>
    </xf>
    <xf numFmtId="44" fontId="16" fillId="13" borderId="18" xfId="0" applyNumberFormat="1" applyFont="1" applyFill="1" applyBorder="1" applyAlignment="1" applyProtection="1">
      <alignment vertical="center"/>
      <protection locked="0"/>
    </xf>
    <xf numFmtId="44" fontId="16" fillId="8" borderId="11" xfId="0" applyNumberFormat="1" applyFont="1" applyFill="1" applyBorder="1" applyAlignment="1" applyProtection="1">
      <alignment vertical="center"/>
    </xf>
    <xf numFmtId="44" fontId="20" fillId="3" borderId="22" xfId="0" applyNumberFormat="1" applyFont="1" applyFill="1" applyBorder="1" applyAlignment="1" applyProtection="1">
      <alignment vertical="center"/>
    </xf>
    <xf numFmtId="164" fontId="18" fillId="8" borderId="11" xfId="0" applyNumberFormat="1" applyFont="1" applyFill="1" applyBorder="1" applyAlignment="1" applyProtection="1">
      <alignment vertical="center"/>
    </xf>
    <xf numFmtId="164" fontId="82" fillId="8" borderId="60" xfId="0" applyNumberFormat="1" applyFont="1" applyFill="1" applyBorder="1" applyAlignment="1" applyProtection="1">
      <alignment vertical="center"/>
    </xf>
    <xf numFmtId="164" fontId="20" fillId="8" borderId="55" xfId="0" applyNumberFormat="1" applyFont="1" applyFill="1" applyBorder="1" applyAlignment="1" applyProtection="1">
      <alignment horizontal="center" vertical="center"/>
    </xf>
    <xf numFmtId="0" fontId="20" fillId="0" borderId="0" xfId="0" applyFont="1" applyFill="1" applyAlignment="1" applyProtection="1">
      <alignment horizontal="right" vertical="center"/>
    </xf>
    <xf numFmtId="165" fontId="20" fillId="0" borderId="0" xfId="0" applyNumberFormat="1" applyFont="1" applyFill="1" applyAlignment="1" applyProtection="1">
      <alignment vertical="center"/>
    </xf>
    <xf numFmtId="44" fontId="52" fillId="2" borderId="62" xfId="0" applyNumberFormat="1" applyFont="1" applyFill="1" applyBorder="1" applyAlignment="1" applyProtection="1">
      <alignment vertical="center"/>
    </xf>
    <xf numFmtId="44" fontId="52" fillId="2" borderId="18" xfId="0" applyNumberFormat="1" applyFont="1" applyFill="1" applyBorder="1" applyAlignment="1" applyProtection="1">
      <alignment vertical="center"/>
    </xf>
    <xf numFmtId="0" fontId="20" fillId="6" borderId="0" xfId="0" applyFont="1" applyFill="1" applyAlignment="1" applyProtection="1">
      <alignment vertical="center"/>
    </xf>
    <xf numFmtId="165" fontId="20" fillId="6" borderId="0" xfId="0" applyNumberFormat="1" applyFont="1" applyFill="1" applyAlignment="1" applyProtection="1">
      <alignment vertical="center"/>
    </xf>
    <xf numFmtId="166" fontId="20" fillId="6" borderId="0" xfId="0" applyNumberFormat="1" applyFont="1" applyFill="1" applyAlignment="1" applyProtection="1">
      <alignment vertical="center"/>
    </xf>
    <xf numFmtId="0" fontId="20" fillId="6" borderId="0" xfId="0" applyFont="1" applyFill="1" applyAlignment="1" applyProtection="1">
      <alignment horizontal="right" vertical="center"/>
    </xf>
    <xf numFmtId="0" fontId="0" fillId="6" borderId="5" xfId="0" applyFill="1" applyBorder="1" applyAlignment="1" applyProtection="1">
      <alignment horizontal="left" vertical="center" wrapText="1" indent="6"/>
    </xf>
    <xf numFmtId="0" fontId="0" fillId="6" borderId="0" xfId="0" applyFont="1" applyFill="1" applyBorder="1" applyAlignment="1" applyProtection="1">
      <alignment horizontal="left" vertical="center" indent="6"/>
    </xf>
    <xf numFmtId="0" fontId="0" fillId="6" borderId="7" xfId="0" applyFont="1" applyFill="1" applyBorder="1" applyAlignment="1" applyProtection="1">
      <alignment horizontal="left" vertical="center" indent="6"/>
    </xf>
    <xf numFmtId="0" fontId="80" fillId="6" borderId="42" xfId="7" applyFill="1" applyBorder="1" applyAlignment="1" applyProtection="1">
      <alignment horizontal="left" vertical="center" indent="6"/>
    </xf>
    <xf numFmtId="0" fontId="80" fillId="6" borderId="43" xfId="7" applyFill="1" applyBorder="1" applyAlignment="1" applyProtection="1">
      <alignment horizontal="left" vertical="center" indent="6"/>
    </xf>
    <xf numFmtId="0" fontId="80" fillId="6" borderId="44" xfId="7" applyFill="1" applyBorder="1" applyAlignment="1" applyProtection="1">
      <alignment horizontal="left" vertical="center" indent="6"/>
    </xf>
    <xf numFmtId="0" fontId="12" fillId="6" borderId="5" xfId="0" applyFont="1" applyFill="1" applyBorder="1" applyAlignment="1" applyProtection="1">
      <alignment vertical="center"/>
    </xf>
    <xf numFmtId="0" fontId="12" fillId="6" borderId="0" xfId="0" applyFont="1" applyFill="1" applyBorder="1" applyAlignment="1" applyProtection="1">
      <alignment vertical="center"/>
    </xf>
    <xf numFmtId="0" fontId="12" fillId="6" borderId="7" xfId="0" applyFont="1" applyFill="1" applyBorder="1" applyAlignment="1" applyProtection="1">
      <alignment vertical="center"/>
    </xf>
    <xf numFmtId="0" fontId="24" fillId="6" borderId="5" xfId="0" applyFont="1" applyFill="1" applyBorder="1" applyAlignment="1" applyProtection="1">
      <alignment horizontal="left" vertical="center" indent="3"/>
    </xf>
    <xf numFmtId="0" fontId="24" fillId="6" borderId="0" xfId="0" applyFont="1" applyFill="1" applyBorder="1" applyAlignment="1" applyProtection="1">
      <alignment horizontal="left" vertical="center" indent="3"/>
    </xf>
    <xf numFmtId="0" fontId="0" fillId="0" borderId="5" xfId="0" applyFont="1" applyBorder="1" applyAlignment="1" applyProtection="1">
      <alignment horizontal="left" vertical="center" indent="3"/>
    </xf>
    <xf numFmtId="0" fontId="0" fillId="0" borderId="0" xfId="0" applyFont="1" applyBorder="1" applyAlignment="1" applyProtection="1">
      <alignment horizontal="left" vertical="center" indent="3"/>
    </xf>
    <xf numFmtId="0" fontId="0" fillId="6" borderId="5" xfId="0" applyFont="1" applyFill="1" applyBorder="1" applyAlignment="1" applyProtection="1">
      <alignment horizontal="left" vertical="center" wrapText="1" indent="3"/>
    </xf>
    <xf numFmtId="0" fontId="0" fillId="6" borderId="0" xfId="0" applyFont="1" applyFill="1" applyBorder="1" applyAlignment="1" applyProtection="1">
      <alignment horizontal="left" vertical="center" wrapText="1" indent="3"/>
    </xf>
    <xf numFmtId="0" fontId="0" fillId="0" borderId="5" xfId="0" applyBorder="1" applyAlignment="1" applyProtection="1">
      <alignment vertical="center"/>
    </xf>
    <xf numFmtId="0" fontId="0" fillId="0" borderId="0" xfId="0" applyFont="1" applyBorder="1" applyAlignment="1" applyProtection="1">
      <alignment vertical="center"/>
    </xf>
    <xf numFmtId="0" fontId="0" fillId="0" borderId="7" xfId="0" applyFont="1" applyBorder="1" applyAlignment="1" applyProtection="1">
      <alignment vertical="center"/>
    </xf>
    <xf numFmtId="0" fontId="24" fillId="6" borderId="5" xfId="0" applyFont="1" applyFill="1" applyBorder="1" applyAlignment="1" applyProtection="1">
      <alignment vertical="center"/>
    </xf>
    <xf numFmtId="0" fontId="24" fillId="6" borderId="0" xfId="0" applyFont="1" applyFill="1" applyBorder="1" applyAlignment="1" applyProtection="1">
      <alignment vertical="center"/>
    </xf>
    <xf numFmtId="0" fontId="24" fillId="6" borderId="7" xfId="0" applyFont="1" applyFill="1" applyBorder="1" applyAlignment="1" applyProtection="1">
      <alignment vertical="center"/>
    </xf>
    <xf numFmtId="0" fontId="0" fillId="0" borderId="5" xfId="0" applyFont="1" applyBorder="1" applyAlignment="1" applyProtection="1">
      <alignment horizontal="left" vertical="center" indent="1"/>
    </xf>
    <xf numFmtId="0" fontId="0" fillId="0" borderId="0" xfId="0" applyFont="1" applyBorder="1" applyAlignment="1" applyProtection="1">
      <alignment horizontal="left" vertical="center" indent="1"/>
    </xf>
    <xf numFmtId="0" fontId="0" fillId="0" borderId="7" xfId="0" applyFont="1" applyBorder="1" applyAlignment="1" applyProtection="1">
      <alignment horizontal="left" vertical="center" indent="1"/>
    </xf>
    <xf numFmtId="0" fontId="13" fillId="4" borderId="40"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13" fillId="4" borderId="41" xfId="0" applyFont="1" applyFill="1" applyBorder="1" applyAlignment="1" applyProtection="1">
      <alignment horizontal="center" vertical="center" wrapText="1"/>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0" fillId="0" borderId="5" xfId="0" applyBorder="1" applyAlignment="1" applyProtection="1">
      <alignment vertical="center" wrapText="1"/>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5" fillId="0" borderId="5" xfId="0" applyFont="1" applyBorder="1" applyAlignment="1" applyProtection="1">
      <alignment vertical="center" wrapText="1"/>
    </xf>
    <xf numFmtId="0" fontId="12" fillId="0" borderId="0" xfId="0" applyFont="1" applyBorder="1" applyAlignment="1" applyProtection="1">
      <alignment vertical="center"/>
    </xf>
    <xf numFmtId="0" fontId="12" fillId="0" borderId="7" xfId="0" applyFont="1" applyBorder="1" applyAlignment="1" applyProtection="1">
      <alignment vertical="center"/>
    </xf>
    <xf numFmtId="0" fontId="0" fillId="0" borderId="5"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3" xfId="0" applyFill="1" applyBorder="1" applyAlignment="1" applyProtection="1">
      <alignment horizontal="right" vertical="center"/>
      <protection hidden="1"/>
    </xf>
    <xf numFmtId="0" fontId="0" fillId="0" borderId="9" xfId="0" applyFill="1" applyBorder="1" applyAlignment="1" applyProtection="1">
      <alignment horizontal="right" vertical="center"/>
      <protection hidden="1"/>
    </xf>
    <xf numFmtId="0" fontId="34" fillId="0" borderId="0" xfId="0" applyFont="1" applyBorder="1" applyAlignment="1" applyProtection="1">
      <alignment horizontal="left" vertical="center" wrapText="1"/>
      <protection hidden="1"/>
    </xf>
    <xf numFmtId="0" fontId="35" fillId="0" borderId="4" xfId="0" applyFont="1" applyBorder="1" applyAlignment="1" applyProtection="1">
      <alignment horizontal="left" vertical="center" wrapText="1"/>
      <protection hidden="1"/>
    </xf>
    <xf numFmtId="0" fontId="0" fillId="0" borderId="3" xfId="0" applyBorder="1" applyAlignment="1" applyProtection="1">
      <alignment horizontal="right" vertical="center"/>
      <protection hidden="1"/>
    </xf>
    <xf numFmtId="0" fontId="0" fillId="0" borderId="9" xfId="0" applyBorder="1" applyAlignment="1" applyProtection="1">
      <alignment horizontal="right" vertical="center"/>
      <protection hidden="1"/>
    </xf>
    <xf numFmtId="0" fontId="31" fillId="4" borderId="40" xfId="0" applyFont="1" applyFill="1" applyBorder="1" applyAlignment="1" applyProtection="1">
      <alignment horizontal="center" vertical="center"/>
    </xf>
    <xf numFmtId="0" fontId="31" fillId="4" borderId="1" xfId="0" applyFont="1" applyFill="1" applyBorder="1" applyAlignment="1" applyProtection="1">
      <alignment horizontal="center" vertical="center"/>
    </xf>
    <xf numFmtId="0" fontId="16" fillId="0" borderId="2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43" fillId="13" borderId="3" xfId="0" applyFont="1" applyFill="1" applyBorder="1" applyAlignment="1" applyProtection="1">
      <alignment horizontal="left" vertical="center" wrapText="1"/>
      <protection locked="0" hidden="1"/>
    </xf>
    <xf numFmtId="0" fontId="43" fillId="13" borderId="6" xfId="0" applyFont="1" applyFill="1" applyBorder="1" applyAlignment="1" applyProtection="1">
      <alignment horizontal="left" vertical="center" wrapText="1"/>
      <protection locked="0" hidden="1"/>
    </xf>
    <xf numFmtId="0" fontId="43" fillId="13" borderId="9" xfId="0" applyFont="1" applyFill="1" applyBorder="1" applyAlignment="1" applyProtection="1">
      <alignment horizontal="left" vertical="center" wrapText="1"/>
      <protection locked="0" hidden="1"/>
    </xf>
    <xf numFmtId="0" fontId="43" fillId="3" borderId="3" xfId="0" applyNumberFormat="1" applyFont="1" applyFill="1" applyBorder="1" applyAlignment="1" applyProtection="1">
      <alignment horizontal="left" vertical="center"/>
      <protection locked="0" hidden="1"/>
    </xf>
    <xf numFmtId="0" fontId="43" fillId="3" borderId="6" xfId="0" applyNumberFormat="1" applyFont="1" applyFill="1" applyBorder="1" applyAlignment="1" applyProtection="1">
      <alignment horizontal="left" vertical="center"/>
      <protection locked="0" hidden="1"/>
    </xf>
    <xf numFmtId="0" fontId="43" fillId="3" borderId="9" xfId="0" applyNumberFormat="1" applyFont="1" applyFill="1" applyBorder="1" applyAlignment="1" applyProtection="1">
      <alignment horizontal="left" vertical="center"/>
      <protection locked="0" hidden="1"/>
    </xf>
    <xf numFmtId="0" fontId="75" fillId="0" borderId="0" xfId="0" applyFont="1" applyAlignment="1" applyProtection="1">
      <alignment horizontal="center" vertical="center"/>
      <protection locked="0" hidden="1"/>
    </xf>
    <xf numFmtId="0" fontId="43" fillId="13" borderId="3" xfId="0" applyFont="1" applyFill="1" applyBorder="1" applyAlignment="1" applyProtection="1">
      <alignment horizontal="left" vertical="center"/>
      <protection locked="0" hidden="1"/>
    </xf>
    <xf numFmtId="0" fontId="43" fillId="13" borderId="6" xfId="0" applyFont="1" applyFill="1" applyBorder="1" applyAlignment="1" applyProtection="1">
      <alignment horizontal="left" vertical="center"/>
      <protection locked="0" hidden="1"/>
    </xf>
    <xf numFmtId="0" fontId="43" fillId="13" borderId="9" xfId="0" applyFont="1" applyFill="1" applyBorder="1" applyAlignment="1" applyProtection="1">
      <alignment horizontal="left" vertical="center"/>
      <protection locked="0" hidden="1"/>
    </xf>
    <xf numFmtId="0" fontId="43" fillId="13" borderId="3" xfId="0" applyNumberFormat="1" applyFont="1" applyFill="1" applyBorder="1" applyAlignment="1" applyProtection="1">
      <alignment horizontal="left" vertical="center"/>
      <protection locked="0" hidden="1"/>
    </xf>
    <xf numFmtId="0" fontId="43" fillId="13" borderId="6" xfId="0" applyNumberFormat="1" applyFont="1" applyFill="1" applyBorder="1" applyAlignment="1" applyProtection="1">
      <alignment horizontal="left" vertical="center"/>
      <protection locked="0" hidden="1"/>
    </xf>
    <xf numFmtId="0" fontId="43" fillId="13" borderId="9" xfId="0" applyNumberFormat="1" applyFont="1" applyFill="1" applyBorder="1" applyAlignment="1" applyProtection="1">
      <alignment horizontal="left" vertical="center"/>
      <protection locked="0" hidden="1"/>
    </xf>
    <xf numFmtId="0" fontId="45" fillId="3" borderId="3" xfId="0" applyFont="1" applyFill="1" applyBorder="1" applyAlignment="1" applyProtection="1">
      <alignment horizontal="left" vertical="center"/>
      <protection locked="0" hidden="1"/>
    </xf>
    <xf numFmtId="0" fontId="45" fillId="3" borderId="6" xfId="0" applyFont="1" applyFill="1" applyBorder="1" applyAlignment="1" applyProtection="1">
      <alignment horizontal="left" vertical="center"/>
      <protection locked="0" hidden="1"/>
    </xf>
    <xf numFmtId="0" fontId="45" fillId="3" borderId="9" xfId="0" applyFont="1" applyFill="1" applyBorder="1" applyAlignment="1" applyProtection="1">
      <alignment horizontal="left" vertical="center"/>
      <protection locked="0" hidden="1"/>
    </xf>
    <xf numFmtId="0" fontId="45" fillId="0" borderId="0" xfId="0" applyFont="1" applyFill="1" applyBorder="1" applyAlignment="1" applyProtection="1">
      <alignment horizontal="right" vertical="center" wrapText="1"/>
      <protection locked="0" hidden="1"/>
    </xf>
    <xf numFmtId="165" fontId="43" fillId="3" borderId="3" xfId="0" applyNumberFormat="1" applyFont="1" applyFill="1" applyBorder="1" applyAlignment="1" applyProtection="1">
      <alignment horizontal="center" vertical="center"/>
      <protection locked="0" hidden="1"/>
    </xf>
    <xf numFmtId="165" fontId="43" fillId="3" borderId="9" xfId="0" applyNumberFormat="1" applyFont="1" applyFill="1" applyBorder="1" applyAlignment="1" applyProtection="1">
      <alignment horizontal="center" vertical="center"/>
      <protection locked="0" hidden="1"/>
    </xf>
    <xf numFmtId="0" fontId="43" fillId="0" borderId="0" xfId="0" applyFont="1" applyBorder="1" applyAlignment="1" applyProtection="1">
      <alignment horizontal="center" vertical="center"/>
      <protection locked="0" hidden="1"/>
    </xf>
    <xf numFmtId="49" fontId="45" fillId="3" borderId="3" xfId="0" applyNumberFormat="1" applyFont="1" applyFill="1" applyBorder="1" applyAlignment="1" applyProtection="1">
      <alignment horizontal="left" vertical="center"/>
      <protection locked="0" hidden="1"/>
    </xf>
    <xf numFmtId="0" fontId="59" fillId="6" borderId="17"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59" fillId="6" borderId="59" xfId="0" applyFont="1" applyFill="1" applyBorder="1" applyAlignment="1" applyProtection="1">
      <alignment horizontal="center" vertical="center"/>
    </xf>
    <xf numFmtId="0" fontId="29" fillId="8" borderId="2" xfId="0" applyFont="1" applyFill="1" applyBorder="1" applyAlignment="1" applyProtection="1">
      <alignment horizontal="center" vertical="center"/>
      <protection locked="0"/>
    </xf>
    <xf numFmtId="14" fontId="38" fillId="3" borderId="2" xfId="0" applyNumberFormat="1" applyFont="1" applyFill="1" applyBorder="1" applyAlignment="1" applyProtection="1">
      <alignment horizontal="center" vertical="center"/>
    </xf>
    <xf numFmtId="0" fontId="28" fillId="0" borderId="0" xfId="0" applyFont="1" applyBorder="1" applyAlignment="1" applyProtection="1">
      <alignment horizontal="right" vertical="center" wrapText="1" indent="1"/>
    </xf>
    <xf numFmtId="0" fontId="38" fillId="0" borderId="0" xfId="0" applyFont="1" applyBorder="1" applyAlignment="1" applyProtection="1">
      <alignment horizontal="left" vertical="center" wrapText="1" indent="4"/>
    </xf>
    <xf numFmtId="0" fontId="38" fillId="0" borderId="0" xfId="0" applyFont="1" applyBorder="1" applyAlignment="1" applyProtection="1">
      <alignment horizontal="left" vertical="center" wrapText="1" indent="5"/>
    </xf>
    <xf numFmtId="0" fontId="38" fillId="0" borderId="0" xfId="0" applyFont="1" applyBorder="1" applyAlignment="1" applyProtection="1">
      <alignment horizontal="left" vertical="center" wrapText="1"/>
    </xf>
    <xf numFmtId="0" fontId="38" fillId="0" borderId="0" xfId="0" applyFont="1" applyAlignment="1" applyProtection="1">
      <alignment horizontal="left" vertical="center" wrapText="1"/>
    </xf>
    <xf numFmtId="0" fontId="28" fillId="0" borderId="36" xfId="0" applyFont="1" applyBorder="1" applyAlignment="1" applyProtection="1">
      <alignment horizontal="center" vertical="center" wrapText="1"/>
    </xf>
    <xf numFmtId="0" fontId="28" fillId="0" borderId="37" xfId="0" applyFont="1" applyBorder="1" applyAlignment="1" applyProtection="1">
      <alignment horizontal="center" vertical="center" wrapText="1"/>
    </xf>
    <xf numFmtId="0" fontId="28" fillId="0" borderId="38" xfId="0" applyFont="1" applyBorder="1" applyAlignment="1" applyProtection="1">
      <alignment horizontal="center" vertical="center" wrapText="1"/>
    </xf>
    <xf numFmtId="0" fontId="38" fillId="8" borderId="2" xfId="0" applyFont="1" applyFill="1" applyBorder="1" applyAlignment="1" applyProtection="1">
      <alignment horizontal="center" vertical="center" wrapText="1"/>
      <protection locked="0"/>
    </xf>
    <xf numFmtId="0" fontId="38" fillId="3" borderId="3" xfId="0" applyFont="1" applyFill="1" applyBorder="1" applyAlignment="1" applyProtection="1">
      <alignment vertical="top" wrapText="1"/>
    </xf>
    <xf numFmtId="0" fontId="38" fillId="3" borderId="9" xfId="0" applyFont="1" applyFill="1" applyBorder="1" applyAlignment="1" applyProtection="1">
      <alignment vertical="top" wrapText="1"/>
    </xf>
    <xf numFmtId="0" fontId="38" fillId="6" borderId="0" xfId="0" applyFont="1" applyFill="1" applyBorder="1" applyAlignment="1" applyProtection="1">
      <alignment horizontal="left" vertical="center" wrapText="1" indent="3"/>
    </xf>
    <xf numFmtId="0" fontId="38" fillId="3" borderId="2" xfId="0" applyFont="1" applyFill="1" applyBorder="1" applyAlignment="1" applyProtection="1">
      <alignment horizontal="left" vertical="top" wrapText="1"/>
    </xf>
    <xf numFmtId="0" fontId="38" fillId="6" borderId="0" xfId="0" applyFont="1" applyFill="1" applyAlignment="1">
      <alignment horizontal="left" vertical="center" wrapText="1" indent="3"/>
    </xf>
    <xf numFmtId="0" fontId="38" fillId="0" borderId="0" xfId="0" applyFont="1" applyBorder="1" applyAlignment="1" applyProtection="1">
      <alignment vertical="center" wrapText="1"/>
    </xf>
    <xf numFmtId="0" fontId="38" fillId="3" borderId="20" xfId="0" applyFont="1" applyFill="1" applyBorder="1" applyAlignment="1" applyProtection="1">
      <alignment vertical="top" wrapText="1"/>
    </xf>
    <xf numFmtId="0" fontId="38" fillId="3" borderId="10" xfId="0" applyFont="1" applyFill="1" applyBorder="1" applyAlignment="1" applyProtection="1">
      <alignment vertical="top" wrapText="1"/>
    </xf>
    <xf numFmtId="0" fontId="38" fillId="0" borderId="0" xfId="0" applyFont="1" applyBorder="1" applyAlignment="1" applyProtection="1">
      <alignment horizontal="right" vertical="center" wrapText="1"/>
    </xf>
    <xf numFmtId="14" fontId="38" fillId="8" borderId="2" xfId="0" applyNumberFormat="1" applyFont="1" applyFill="1" applyBorder="1" applyAlignment="1" applyProtection="1">
      <alignment horizontal="center" vertical="center"/>
      <protection locked="0"/>
    </xf>
    <xf numFmtId="0" fontId="26" fillId="8" borderId="5" xfId="0" applyFont="1" applyFill="1" applyBorder="1" applyAlignment="1" applyProtection="1">
      <alignment horizontal="center" vertical="center" wrapText="1"/>
    </xf>
    <xf numFmtId="0" fontId="26" fillId="8" borderId="0" xfId="0" applyFont="1" applyFill="1" applyBorder="1" applyAlignment="1" applyProtection="1">
      <alignment horizontal="center" vertical="center" wrapText="1"/>
    </xf>
    <xf numFmtId="0" fontId="0" fillId="0" borderId="0" xfId="0" applyFont="1" applyAlignment="1">
      <alignment wrapText="1"/>
    </xf>
    <xf numFmtId="0" fontId="10" fillId="8" borderId="3" xfId="0" applyFont="1" applyFill="1" applyBorder="1" applyAlignment="1" applyProtection="1">
      <alignment vertical="center"/>
      <protection locked="0"/>
    </xf>
    <xf numFmtId="0" fontId="10" fillId="8" borderId="9" xfId="0" applyFont="1" applyFill="1" applyBorder="1" applyAlignment="1" applyProtection="1">
      <alignment vertical="center"/>
      <protection locked="0"/>
    </xf>
    <xf numFmtId="0" fontId="7" fillId="0" borderId="36" xfId="0" applyFont="1" applyBorder="1" applyAlignment="1" applyProtection="1">
      <alignment horizontal="left"/>
    </xf>
    <xf numFmtId="0" fontId="7" fillId="0" borderId="37" xfId="0" applyFont="1" applyBorder="1" applyAlignment="1" applyProtection="1">
      <alignment horizontal="left"/>
    </xf>
    <xf numFmtId="0" fontId="7" fillId="0" borderId="38" xfId="0" applyFont="1" applyBorder="1" applyAlignment="1" applyProtection="1">
      <alignment horizontal="left"/>
    </xf>
    <xf numFmtId="0" fontId="0" fillId="0" borderId="0" xfId="0" applyFont="1" applyAlignment="1" applyProtection="1">
      <alignment horizontal="left"/>
    </xf>
    <xf numFmtId="0" fontId="0" fillId="0" borderId="8" xfId="0" applyFont="1" applyBorder="1" applyAlignment="1" applyProtection="1">
      <alignment horizontal="left"/>
    </xf>
    <xf numFmtId="14" fontId="0" fillId="3" borderId="3" xfId="0" applyNumberFormat="1" applyFont="1" applyFill="1" applyBorder="1" applyAlignment="1" applyProtection="1">
      <alignment horizontal="left" vertical="center"/>
    </xf>
    <xf numFmtId="14" fontId="0" fillId="3" borderId="9" xfId="0" applyNumberFormat="1" applyFont="1" applyFill="1" applyBorder="1" applyAlignment="1" applyProtection="1">
      <alignment horizontal="left" vertical="center"/>
    </xf>
  </cellXfs>
  <cellStyles count="9">
    <cellStyle name="Lien hypertexte" xfId="7" builtinId="8"/>
    <cellStyle name="Normal" xfId="0" builtinId="0"/>
    <cellStyle name="Normal 2" xfId="1" xr:uid="{00000000-0005-0000-0000-000003000000}"/>
    <cellStyle name="Normal 3" xfId="3" xr:uid="{00000000-0005-0000-0000-000004000000}"/>
    <cellStyle name="Normal 4" xfId="2" xr:uid="{00000000-0005-0000-0000-000005000000}"/>
    <cellStyle name="Normal 4 2" xfId="4" xr:uid="{00000000-0005-0000-0000-000006000000}"/>
    <cellStyle name="Normal 4 2 2" xfId="6" xr:uid="{00000000-0005-0000-0000-000007000000}"/>
    <cellStyle name="Normal 4 3" xfId="5" xr:uid="{00000000-0005-0000-0000-000008000000}"/>
    <cellStyle name="Pourcentage" xfId="8" builtinId="5"/>
  </cellStyles>
  <dxfs count="4">
    <dxf>
      <font>
        <strike/>
        <color rgb="FFFF0000"/>
      </font>
    </dxf>
    <dxf>
      <font>
        <b/>
        <i val="0"/>
        <color theme="5" tint="-0.24994659260841701"/>
      </font>
    </dxf>
    <dxf>
      <font>
        <b/>
        <i val="0"/>
        <color rgb="FFFF0000"/>
      </font>
    </dxf>
    <dxf>
      <font>
        <b/>
        <i val="0"/>
        <color rgb="FFFF0000"/>
      </font>
    </dxf>
  </dxfs>
  <tableStyles count="0" defaultTableStyle="TableStyleMedium9" defaultPivotStyle="PivotStyleLight16"/>
  <colors>
    <mruColors>
      <color rgb="FFFFFF99"/>
      <color rgb="FFCCFF99"/>
      <color rgb="FFFF0000"/>
      <color rgb="FFFF5050"/>
      <color rgb="FF33CCFF"/>
      <color rgb="FF93CDDD"/>
      <color rgb="FFFF9900"/>
      <color rgb="FFFF3300"/>
      <color rgb="FFCC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xdr:colOff>
      <xdr:row>13</xdr:row>
      <xdr:rowOff>83820</xdr:rowOff>
    </xdr:from>
    <xdr:to>
      <xdr:col>0</xdr:col>
      <xdr:colOff>289560</xdr:colOff>
      <xdr:row>13</xdr:row>
      <xdr:rowOff>86360</xdr:rowOff>
    </xdr:to>
    <xdr:cxnSp macro="">
      <xdr:nvCxnSpPr>
        <xdr:cNvPr id="8" name="Connecteur droit avec flèche 7">
          <a:extLst>
            <a:ext uri="{FF2B5EF4-FFF2-40B4-BE49-F238E27FC236}">
              <a16:creationId xmlns:a16="http://schemas.microsoft.com/office/drawing/2014/main" id="{00000000-0008-0000-0000-000008000000}"/>
            </a:ext>
          </a:extLst>
        </xdr:cNvPr>
        <xdr:cNvCxnSpPr/>
      </xdr:nvCxnSpPr>
      <xdr:spPr>
        <a:xfrm flipV="1">
          <a:off x="15240" y="2324100"/>
          <a:ext cx="274320" cy="2540"/>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14</xdr:row>
      <xdr:rowOff>83820</xdr:rowOff>
    </xdr:from>
    <xdr:to>
      <xdr:col>0</xdr:col>
      <xdr:colOff>304800</xdr:colOff>
      <xdr:row>14</xdr:row>
      <xdr:rowOff>85725</xdr:rowOff>
    </xdr:to>
    <xdr:cxnSp macro="">
      <xdr:nvCxnSpPr>
        <xdr:cNvPr id="10" name="Connecteur droit avec flèche 9">
          <a:extLst>
            <a:ext uri="{FF2B5EF4-FFF2-40B4-BE49-F238E27FC236}">
              <a16:creationId xmlns:a16="http://schemas.microsoft.com/office/drawing/2014/main" id="{00000000-0008-0000-0000-00000A000000}"/>
            </a:ext>
          </a:extLst>
        </xdr:cNvPr>
        <xdr:cNvCxnSpPr/>
      </xdr:nvCxnSpPr>
      <xdr:spPr>
        <a:xfrm flipV="1">
          <a:off x="9525" y="2506980"/>
          <a:ext cx="295275" cy="1905"/>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10160</xdr:colOff>
      <xdr:row>15</xdr:row>
      <xdr:rowOff>91440</xdr:rowOff>
    </xdr:from>
    <xdr:to>
      <xdr:col>0</xdr:col>
      <xdr:colOff>289560</xdr:colOff>
      <xdr:row>15</xdr:row>
      <xdr:rowOff>91440</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10160" y="2697480"/>
          <a:ext cx="279400" cy="0"/>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666750</xdr:colOff>
          <xdr:row>137</xdr:row>
          <xdr:rowOff>104775</xdr:rowOff>
        </xdr:from>
        <xdr:to>
          <xdr:col>2</xdr:col>
          <xdr:colOff>1162050</xdr:colOff>
          <xdr:row>139</xdr:row>
          <xdr:rowOff>142875</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BE" sz="1100" b="0" i="0" u="none" strike="noStrike" baseline="0">
                  <a:solidFill>
                    <a:srgbClr val="000000"/>
                  </a:solidFill>
                  <a:latin typeface="Calibri"/>
                  <a:ea typeface="Calibri"/>
                  <a:cs typeface="Calibri"/>
                </a:rPr>
                <a:t>AFFICHER LES FEUILLES 6 à 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136</xdr:row>
          <xdr:rowOff>95250</xdr:rowOff>
        </xdr:from>
        <xdr:to>
          <xdr:col>1</xdr:col>
          <xdr:colOff>409575</xdr:colOff>
          <xdr:row>138</xdr:row>
          <xdr:rowOff>180975</xdr:rowOff>
        </xdr:to>
        <xdr:sp macro="" textlink="">
          <xdr:nvSpPr>
            <xdr:cNvPr id="16388" name="MASQUER LES FEUILLES 6 à 9"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BE" sz="1100" b="0" i="0" u="none" strike="noStrike" baseline="0">
                  <a:solidFill>
                    <a:srgbClr val="000000"/>
                  </a:solidFill>
                  <a:latin typeface="Calibri"/>
                  <a:ea typeface="Calibri"/>
                  <a:cs typeface="Calibri"/>
                </a:rPr>
                <a:t>MASQUER LES FEUILLES 6 à 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1371600</xdr:colOff>
          <xdr:row>137</xdr:row>
          <xdr:rowOff>133350</xdr:rowOff>
        </xdr:from>
        <xdr:to>
          <xdr:col>4</xdr:col>
          <xdr:colOff>438150</xdr:colOff>
          <xdr:row>139</xdr:row>
          <xdr:rowOff>152400</xdr:rowOff>
        </xdr:to>
        <xdr:sp macro="" textlink="">
          <xdr:nvSpPr>
            <xdr:cNvPr id="16390" name="Button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BE" sz="1100" b="0" i="0" u="none" strike="noStrike" baseline="0">
                  <a:solidFill>
                    <a:srgbClr val="000000"/>
                  </a:solidFill>
                  <a:latin typeface="Calibri"/>
                  <a:ea typeface="Calibri"/>
                  <a:cs typeface="Calibri"/>
                </a:rPr>
                <a:t>VEROUILLER IDENTIF</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274109</xdr:colOff>
      <xdr:row>1</xdr:row>
      <xdr:rowOff>42334</xdr:rowOff>
    </xdr:from>
    <xdr:to>
      <xdr:col>0</xdr:col>
      <xdr:colOff>1836209</xdr:colOff>
      <xdr:row>5</xdr:row>
      <xdr:rowOff>42334</xdr:rowOff>
    </xdr:to>
    <xdr:pic>
      <xdr:nvPicPr>
        <xdr:cNvPr id="3" name="Image 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109" y="243417"/>
          <a:ext cx="156210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6</xdr:row>
          <xdr:rowOff>19050</xdr:rowOff>
        </xdr:from>
        <xdr:to>
          <xdr:col>7</xdr:col>
          <xdr:colOff>361950</xdr:colOff>
          <xdr:row>7</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19050</xdr:rowOff>
        </xdr:from>
        <xdr:to>
          <xdr:col>9</xdr:col>
          <xdr:colOff>304800</xdr:colOff>
          <xdr:row>7</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xdr:col>
          <xdr:colOff>304800</xdr:colOff>
          <xdr:row>24</xdr:row>
          <xdr:rowOff>361950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19050</xdr:rowOff>
        </xdr:from>
        <xdr:to>
          <xdr:col>1</xdr:col>
          <xdr:colOff>323850</xdr:colOff>
          <xdr:row>25</xdr:row>
          <xdr:rowOff>323850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266700</xdr:rowOff>
        </xdr:from>
        <xdr:to>
          <xdr:col>1</xdr:col>
          <xdr:colOff>323850</xdr:colOff>
          <xdr:row>30</xdr:row>
          <xdr:rowOff>485775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30</xdr:row>
          <xdr:rowOff>133350</xdr:rowOff>
        </xdr:from>
        <xdr:to>
          <xdr:col>5</xdr:col>
          <xdr:colOff>104775</xdr:colOff>
          <xdr:row>30</xdr:row>
          <xdr:rowOff>514350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28575</xdr:rowOff>
        </xdr:from>
        <xdr:to>
          <xdr:col>1</xdr:col>
          <xdr:colOff>323850</xdr:colOff>
          <xdr:row>24</xdr:row>
          <xdr:rowOff>28575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190500</xdr:rowOff>
        </xdr:from>
        <xdr:to>
          <xdr:col>5</xdr:col>
          <xdr:colOff>381000</xdr:colOff>
          <xdr:row>30</xdr:row>
          <xdr:rowOff>495300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19050</xdr:rowOff>
        </xdr:from>
        <xdr:to>
          <xdr:col>1</xdr:col>
          <xdr:colOff>323850</xdr:colOff>
          <xdr:row>25</xdr:row>
          <xdr:rowOff>333375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solidFill>
              <a:srgbClr val="33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209550</xdr:colOff>
          <xdr:row>26</xdr:row>
          <xdr:rowOff>133350</xdr:rowOff>
        </xdr:from>
        <xdr:to>
          <xdr:col>5</xdr:col>
          <xdr:colOff>19050</xdr:colOff>
          <xdr:row>29</xdr:row>
          <xdr:rowOff>114300</xdr:rowOff>
        </xdr:to>
        <xdr:sp macro="" textlink="">
          <xdr:nvSpPr>
            <xdr:cNvPr id="44033" name="Button 1" hidden="1">
              <a:extLst>
                <a:ext uri="{63B3BB69-23CF-44E3-9099-C40C66FF867C}">
                  <a14:compatExt spid="_x0000_s44033"/>
                </a:ext>
                <a:ext uri="{FF2B5EF4-FFF2-40B4-BE49-F238E27FC236}">
                  <a16:creationId xmlns:a16="http://schemas.microsoft.com/office/drawing/2014/main" id="{00000000-0008-0000-0700-000001A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BE" sz="1100" b="0" i="0" u="none" strike="noStrike" baseline="0">
                  <a:solidFill>
                    <a:srgbClr val="000000"/>
                  </a:solidFill>
                  <a:latin typeface="Calibri"/>
                  <a:ea typeface="Calibri"/>
                  <a:cs typeface="Calibri"/>
                </a:rPr>
                <a:t>C5.pdf</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ampspw.wallonie.be/dgo4/conventiondesmaires/assets/documents/content/actualit%C3%A9/Appel%20POLLEC%202020/Annexe_E_Guide_des_d%C3%A9penses_%C3%A9ligibles_Invest_POLLEC_2020_v21021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drawing" Target="../drawings/drawing4.x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vmlDrawing" Target="../drawings/vmlDrawing3.vml"/><Relationship Id="rId9" Type="http://schemas.openxmlformats.org/officeDocument/2006/relationships/ctrlProp" Target="../ctrlProps/ctrlProp8.xml"/><Relationship Id="rId1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FOS"/>
  <dimension ref="A1:F19"/>
  <sheetViews>
    <sheetView showGridLines="0" tabSelected="1" zoomScaleNormal="100" workbookViewId="0">
      <selection activeCell="A10" sqref="A10:F10"/>
    </sheetView>
  </sheetViews>
  <sheetFormatPr baseColWidth="10" defaultColWidth="10.7109375" defaultRowHeight="15" x14ac:dyDescent="0.25"/>
  <cols>
    <col min="1" max="6" width="33.28515625" style="9" customWidth="1"/>
    <col min="7" max="16384" width="10.7109375" style="9"/>
  </cols>
  <sheetData>
    <row r="1" spans="1:6" s="161" customFormat="1" ht="29.65" customHeight="1" thickBot="1" x14ac:dyDescent="0.3">
      <c r="A1" s="159" t="s">
        <v>1100</v>
      </c>
      <c r="B1" s="159" t="s">
        <v>1101</v>
      </c>
      <c r="C1" s="159" t="s">
        <v>1107</v>
      </c>
      <c r="D1" s="159" t="s">
        <v>1108</v>
      </c>
      <c r="E1" s="160">
        <v>45392</v>
      </c>
    </row>
    <row r="2" spans="1:6" s="161" customFormat="1" ht="29.65" customHeight="1" x14ac:dyDescent="0.25">
      <c r="A2" s="413" t="s">
        <v>73</v>
      </c>
      <c r="B2" s="414"/>
      <c r="C2" s="414"/>
      <c r="D2" s="414"/>
      <c r="E2" s="414"/>
      <c r="F2" s="415"/>
    </row>
    <row r="3" spans="1:6" x14ac:dyDescent="0.25">
      <c r="A3" s="422" t="s">
        <v>155</v>
      </c>
      <c r="B3" s="423"/>
      <c r="C3" s="423"/>
      <c r="D3" s="423"/>
      <c r="E3" s="423"/>
      <c r="F3" s="424"/>
    </row>
    <row r="4" spans="1:6" x14ac:dyDescent="0.25">
      <c r="A4" s="404" t="s">
        <v>1222</v>
      </c>
      <c r="B4" s="405"/>
      <c r="C4" s="405"/>
      <c r="D4" s="405"/>
      <c r="E4" s="405"/>
      <c r="F4" s="406"/>
    </row>
    <row r="5" spans="1:6" x14ac:dyDescent="0.25">
      <c r="A5" s="407"/>
      <c r="B5" s="408"/>
      <c r="C5" s="408"/>
      <c r="D5" s="408"/>
      <c r="E5" s="408"/>
      <c r="F5" s="409"/>
    </row>
    <row r="6" spans="1:6" x14ac:dyDescent="0.25">
      <c r="A6" s="22"/>
      <c r="F6" s="23"/>
    </row>
    <row r="7" spans="1:6" x14ac:dyDescent="0.25">
      <c r="A7" s="416" t="s">
        <v>154</v>
      </c>
      <c r="B7" s="417"/>
      <c r="C7" s="417"/>
      <c r="D7" s="417"/>
      <c r="E7" s="417"/>
      <c r="F7" s="418"/>
    </row>
    <row r="8" spans="1:6" x14ac:dyDescent="0.25">
      <c r="A8" s="419" t="s">
        <v>165</v>
      </c>
      <c r="B8" s="420"/>
      <c r="C8" s="420"/>
      <c r="D8" s="420"/>
      <c r="E8" s="420"/>
      <c r="F8" s="421"/>
    </row>
    <row r="9" spans="1:6" x14ac:dyDescent="0.25">
      <c r="A9" s="425" t="s">
        <v>149</v>
      </c>
      <c r="B9" s="426"/>
      <c r="C9" s="426"/>
      <c r="D9" s="426"/>
      <c r="E9" s="426"/>
      <c r="F9" s="427"/>
    </row>
    <row r="10" spans="1:6" x14ac:dyDescent="0.25">
      <c r="A10" s="425" t="s">
        <v>66</v>
      </c>
      <c r="B10" s="426"/>
      <c r="C10" s="426"/>
      <c r="D10" s="426"/>
      <c r="E10" s="426"/>
      <c r="F10" s="427"/>
    </row>
    <row r="11" spans="1:6" x14ac:dyDescent="0.25">
      <c r="A11" s="410"/>
      <c r="B11" s="411"/>
      <c r="C11" s="411"/>
      <c r="D11" s="411"/>
      <c r="E11" s="411"/>
      <c r="F11" s="412"/>
    </row>
    <row r="12" spans="1:6" x14ac:dyDescent="0.25">
      <c r="A12" s="395" t="s">
        <v>150</v>
      </c>
      <c r="B12" s="396"/>
      <c r="C12" s="396"/>
      <c r="D12" s="396"/>
      <c r="E12" s="396"/>
      <c r="F12" s="397"/>
    </row>
    <row r="13" spans="1:6" x14ac:dyDescent="0.25">
      <c r="A13" s="395" t="s">
        <v>158</v>
      </c>
      <c r="B13" s="396"/>
      <c r="C13" s="396"/>
      <c r="D13" s="396"/>
      <c r="E13" s="396"/>
      <c r="F13" s="397"/>
    </row>
    <row r="14" spans="1:6" x14ac:dyDescent="0.25">
      <c r="A14" s="398" t="s">
        <v>151</v>
      </c>
      <c r="B14" s="399"/>
      <c r="C14" s="115"/>
      <c r="D14" s="115"/>
      <c r="E14" s="115"/>
      <c r="F14" s="116"/>
    </row>
    <row r="15" spans="1:6" x14ac:dyDescent="0.25">
      <c r="A15" s="400" t="s">
        <v>152</v>
      </c>
      <c r="B15" s="401"/>
      <c r="C15" s="113"/>
      <c r="D15" s="113"/>
      <c r="E15" s="113"/>
      <c r="F15" s="114"/>
    </row>
    <row r="16" spans="1:6" ht="14.65" customHeight="1" x14ac:dyDescent="0.25">
      <c r="A16" s="402" t="s">
        <v>153</v>
      </c>
      <c r="B16" s="403"/>
      <c r="C16" s="111"/>
      <c r="D16" s="111"/>
      <c r="E16" s="111"/>
      <c r="F16" s="112"/>
    </row>
    <row r="17" spans="1:6" ht="21" customHeight="1" x14ac:dyDescent="0.25">
      <c r="A17" s="110"/>
      <c r="B17" s="111"/>
      <c r="C17" s="111"/>
      <c r="D17" s="111"/>
      <c r="E17" s="111"/>
      <c r="F17" s="112"/>
    </row>
    <row r="18" spans="1:6" x14ac:dyDescent="0.25">
      <c r="A18" s="389" t="s">
        <v>1106</v>
      </c>
      <c r="B18" s="390"/>
      <c r="C18" s="390"/>
      <c r="D18" s="390"/>
      <c r="E18" s="390"/>
      <c r="F18" s="391"/>
    </row>
    <row r="19" spans="1:6" ht="15.75" thickBot="1" x14ac:dyDescent="0.3">
      <c r="A19" s="392" t="s">
        <v>1105</v>
      </c>
      <c r="B19" s="393"/>
      <c r="C19" s="393"/>
      <c r="D19" s="393"/>
      <c r="E19" s="393"/>
      <c r="F19" s="394"/>
    </row>
  </sheetData>
  <sheetProtection algorithmName="SHA-512" hashValue="tAEOdu9doBMlZPUykV7SsfLgTd2hsnq9Lz8N9Pc/uhwbQsZx95dXHk/xk/5yfT31awx+2dnN80Ui6iNTtohyWw==" saltValue="ma4k24Xexr+FiFB849mMYg==" spinCount="100000" sheet="1" objects="1" scenarios="1"/>
  <customSheetViews>
    <customSheetView guid="{C3F58662-020B-4E56-B390-38D4A953D070}">
      <selection activeCell="I31" sqref="I31"/>
      <pageMargins left="0.7" right="0.7" top="0.75" bottom="0.75" header="0.3" footer="0.3"/>
    </customSheetView>
  </customSheetViews>
  <mergeCells count="16">
    <mergeCell ref="A4:F4"/>
    <mergeCell ref="A5:F5"/>
    <mergeCell ref="A11:F11"/>
    <mergeCell ref="A2:F2"/>
    <mergeCell ref="A7:F7"/>
    <mergeCell ref="A8:F8"/>
    <mergeCell ref="A3:F3"/>
    <mergeCell ref="A9:F9"/>
    <mergeCell ref="A10:F10"/>
    <mergeCell ref="A18:F18"/>
    <mergeCell ref="A19:F19"/>
    <mergeCell ref="A12:F12"/>
    <mergeCell ref="A13:F13"/>
    <mergeCell ref="A14:B14"/>
    <mergeCell ref="A15:B15"/>
    <mergeCell ref="A16:B16"/>
  </mergeCells>
  <hyperlinks>
    <hyperlink ref="A19:F19" r:id="rId1" display="Volet 2 Invest: Guide des dépenses éligibles" xr:uid="{8DD67BB9-865C-4910-990E-A272E89EE4A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E"/>
  <dimension ref="A1:P17"/>
  <sheetViews>
    <sheetView zoomScale="80" zoomScaleNormal="80" workbookViewId="0">
      <selection activeCell="O3" sqref="O3"/>
    </sheetView>
  </sheetViews>
  <sheetFormatPr baseColWidth="10" defaultColWidth="10.7109375" defaultRowHeight="18.75" x14ac:dyDescent="0.3"/>
  <cols>
    <col min="1" max="9" width="13.42578125" style="9" customWidth="1"/>
    <col min="10" max="10" width="44.5703125" style="66" customWidth="1"/>
    <col min="11" max="11" width="13.42578125" style="140" customWidth="1"/>
    <col min="12" max="12" width="13.42578125" style="9" customWidth="1"/>
    <col min="13" max="13" width="10.7109375" style="9"/>
    <col min="14" max="14" width="13.28515625" style="9" bestFit="1" customWidth="1"/>
    <col min="15" max="15" width="31.85546875" style="9" bestFit="1" customWidth="1"/>
    <col min="16" max="16" width="14.28515625" style="9" bestFit="1" customWidth="1"/>
    <col min="17" max="16384" width="10.7109375" style="9"/>
  </cols>
  <sheetData>
    <row r="1" spans="1:16" ht="25.5" x14ac:dyDescent="0.25">
      <c r="A1" s="141" t="s">
        <v>30</v>
      </c>
      <c r="B1" s="141" t="s">
        <v>1115</v>
      </c>
      <c r="C1" s="141" t="s">
        <v>30</v>
      </c>
      <c r="D1" s="141" t="s">
        <v>1117</v>
      </c>
      <c r="E1" s="141"/>
      <c r="F1" s="141"/>
      <c r="G1" s="141"/>
      <c r="H1" s="141" t="s">
        <v>30</v>
      </c>
      <c r="I1" s="141" t="s">
        <v>30</v>
      </c>
      <c r="J1" s="141" t="s">
        <v>30</v>
      </c>
      <c r="K1" s="142" t="s">
        <v>30</v>
      </c>
      <c r="L1" s="141" t="s">
        <v>30</v>
      </c>
      <c r="M1" s="143"/>
      <c r="N1" s="143"/>
      <c r="O1" s="143" t="s">
        <v>1120</v>
      </c>
      <c r="P1" s="144" t="s">
        <v>1125</v>
      </c>
    </row>
    <row r="2" spans="1:16" ht="26.25" x14ac:dyDescent="0.25">
      <c r="A2" s="145" t="s">
        <v>31</v>
      </c>
      <c r="B2" s="145" t="s">
        <v>1112</v>
      </c>
      <c r="C2" s="145" t="s">
        <v>1096</v>
      </c>
      <c r="D2" s="145" t="s">
        <v>1118</v>
      </c>
      <c r="E2" s="145"/>
      <c r="F2" s="145"/>
      <c r="G2" s="145"/>
      <c r="H2" s="145" t="s">
        <v>1097</v>
      </c>
      <c r="I2" s="146" t="s">
        <v>90</v>
      </c>
      <c r="J2" s="137" t="s">
        <v>161</v>
      </c>
      <c r="K2" s="138" t="s">
        <v>67</v>
      </c>
      <c r="L2" s="143" t="s">
        <v>104</v>
      </c>
      <c r="M2" s="143"/>
      <c r="N2" s="143" t="s">
        <v>1103</v>
      </c>
      <c r="O2" s="143" t="s">
        <v>1121</v>
      </c>
      <c r="P2" s="143" t="s">
        <v>1123</v>
      </c>
    </row>
    <row r="3" spans="1:16" ht="15" x14ac:dyDescent="0.25">
      <c r="A3" s="145" t="s">
        <v>32</v>
      </c>
      <c r="B3" s="145" t="s">
        <v>1116</v>
      </c>
      <c r="C3" s="145" t="s">
        <v>137</v>
      </c>
      <c r="D3" s="145" t="s">
        <v>1119</v>
      </c>
      <c r="E3" s="145"/>
      <c r="F3" s="145"/>
      <c r="G3" s="145"/>
      <c r="H3" s="145" t="s">
        <v>1098</v>
      </c>
      <c r="I3" s="146"/>
      <c r="J3" s="137" t="s">
        <v>162</v>
      </c>
      <c r="K3" s="138" t="s">
        <v>68</v>
      </c>
      <c r="L3" s="143" t="s">
        <v>105</v>
      </c>
      <c r="M3" s="143"/>
      <c r="N3" s="143" t="s">
        <v>1104</v>
      </c>
      <c r="O3" s="143" t="s">
        <v>1122</v>
      </c>
      <c r="P3" s="143" t="s">
        <v>1124</v>
      </c>
    </row>
    <row r="4" spans="1:16" ht="15" x14ac:dyDescent="0.25">
      <c r="A4" s="145"/>
      <c r="B4" s="145"/>
      <c r="C4" s="145"/>
      <c r="D4" s="145"/>
      <c r="E4" s="145"/>
      <c r="F4" s="145"/>
      <c r="G4" s="145"/>
      <c r="H4" s="145"/>
      <c r="I4" s="143"/>
      <c r="J4" s="137"/>
      <c r="K4" s="138"/>
      <c r="L4" s="143" t="s">
        <v>106</v>
      </c>
      <c r="M4" s="143"/>
      <c r="N4" s="143"/>
      <c r="O4" s="143"/>
      <c r="P4" s="143"/>
    </row>
    <row r="5" spans="1:16" ht="15" x14ac:dyDescent="0.25">
      <c r="A5" s="145"/>
      <c r="B5" s="145"/>
      <c r="C5" s="145"/>
      <c r="D5" s="145"/>
      <c r="E5" s="145"/>
      <c r="F5" s="145"/>
      <c r="G5" s="145"/>
      <c r="H5" s="145"/>
      <c r="I5" s="143"/>
      <c r="J5" s="137"/>
      <c r="K5" s="138"/>
      <c r="L5" s="143" t="s">
        <v>107</v>
      </c>
      <c r="M5" s="143"/>
      <c r="N5" s="143"/>
      <c r="O5" s="143"/>
      <c r="P5" s="143"/>
    </row>
    <row r="6" spans="1:16" ht="15" x14ac:dyDescent="0.25">
      <c r="A6" s="145"/>
      <c r="B6" s="145"/>
      <c r="C6" s="145"/>
      <c r="D6" s="145"/>
      <c r="E6" s="145"/>
      <c r="F6" s="145"/>
      <c r="G6" s="145"/>
      <c r="H6" s="145"/>
      <c r="I6" s="143"/>
      <c r="J6" s="147"/>
      <c r="K6" s="138"/>
      <c r="L6" s="143" t="s">
        <v>108</v>
      </c>
      <c r="M6" s="143"/>
      <c r="N6" s="143"/>
      <c r="O6" s="143"/>
      <c r="P6" s="143"/>
    </row>
    <row r="7" spans="1:16" ht="15" x14ac:dyDescent="0.25">
      <c r="A7" s="145"/>
      <c r="B7" s="145"/>
      <c r="C7" s="145"/>
      <c r="D7" s="145"/>
      <c r="E7" s="145"/>
      <c r="F7" s="145"/>
      <c r="G7" s="145"/>
      <c r="H7" s="145"/>
      <c r="I7" s="143"/>
      <c r="J7" s="137"/>
      <c r="K7" s="138"/>
      <c r="L7" s="143" t="s">
        <v>109</v>
      </c>
      <c r="M7" s="143"/>
      <c r="N7" s="143"/>
      <c r="O7" s="143"/>
      <c r="P7" s="143"/>
    </row>
    <row r="8" spans="1:16" ht="15" x14ac:dyDescent="0.25">
      <c r="A8" s="145"/>
      <c r="B8" s="145"/>
      <c r="C8" s="145"/>
      <c r="D8" s="145"/>
      <c r="E8" s="145"/>
      <c r="F8" s="145"/>
      <c r="G8" s="145"/>
      <c r="H8" s="145"/>
      <c r="I8" s="143"/>
      <c r="J8" s="143"/>
      <c r="K8" s="138"/>
      <c r="L8" s="143" t="s">
        <v>110</v>
      </c>
      <c r="M8" s="143"/>
      <c r="N8" s="143"/>
      <c r="O8" s="143"/>
      <c r="P8" s="143"/>
    </row>
    <row r="9" spans="1:16" ht="15" x14ac:dyDescent="0.25">
      <c r="A9" s="145"/>
      <c r="B9" s="145"/>
      <c r="C9" s="145"/>
      <c r="D9" s="145"/>
      <c r="E9" s="145"/>
      <c r="F9" s="145"/>
      <c r="G9" s="145"/>
      <c r="H9" s="145"/>
      <c r="I9" s="143"/>
      <c r="J9" s="137"/>
      <c r="K9" s="138"/>
      <c r="L9" s="143" t="s">
        <v>111</v>
      </c>
      <c r="M9" s="143"/>
      <c r="N9" s="143"/>
      <c r="O9" s="143"/>
      <c r="P9" s="143"/>
    </row>
    <row r="10" spans="1:16" ht="15" x14ac:dyDescent="0.25">
      <c r="A10" s="145"/>
      <c r="B10" s="145"/>
      <c r="C10" s="145"/>
      <c r="D10" s="145"/>
      <c r="E10" s="145"/>
      <c r="F10" s="145"/>
      <c r="G10" s="145"/>
      <c r="H10" s="145"/>
      <c r="I10" s="143"/>
      <c r="J10" s="137"/>
      <c r="K10" s="138"/>
      <c r="L10" s="143" t="s">
        <v>112</v>
      </c>
      <c r="M10" s="143"/>
      <c r="N10" s="143"/>
      <c r="O10" s="143"/>
      <c r="P10" s="143"/>
    </row>
    <row r="11" spans="1:16" ht="15" x14ac:dyDescent="0.25">
      <c r="A11" s="145"/>
      <c r="B11" s="145"/>
      <c r="C11" s="145"/>
      <c r="D11" s="145"/>
      <c r="E11" s="145"/>
      <c r="F11" s="145"/>
      <c r="G11" s="145"/>
      <c r="H11" s="145"/>
      <c r="I11" s="143"/>
      <c r="J11" s="143"/>
      <c r="K11" s="138"/>
      <c r="L11" s="143" t="s">
        <v>113</v>
      </c>
      <c r="M11" s="143"/>
      <c r="N11" s="143"/>
      <c r="O11" s="143"/>
      <c r="P11" s="143"/>
    </row>
    <row r="12" spans="1:16" ht="15" x14ac:dyDescent="0.25">
      <c r="A12" s="145"/>
      <c r="B12" s="145"/>
      <c r="C12" s="145"/>
      <c r="D12" s="145"/>
      <c r="E12" s="145"/>
      <c r="F12" s="145"/>
      <c r="G12" s="145"/>
      <c r="H12" s="145"/>
      <c r="I12" s="143"/>
      <c r="J12" s="143"/>
      <c r="K12" s="138"/>
      <c r="L12" s="143" t="s">
        <v>114</v>
      </c>
      <c r="M12" s="143"/>
      <c r="N12" s="143"/>
      <c r="O12" s="143"/>
      <c r="P12" s="143"/>
    </row>
    <row r="13" spans="1:16" ht="15" x14ac:dyDescent="0.25">
      <c r="A13" s="145"/>
      <c r="B13" s="145"/>
      <c r="C13" s="145"/>
      <c r="D13" s="145"/>
      <c r="E13" s="145"/>
      <c r="F13" s="145"/>
      <c r="G13" s="145"/>
      <c r="H13" s="145"/>
      <c r="I13" s="143"/>
      <c r="J13" s="143"/>
      <c r="K13" s="138"/>
      <c r="L13" s="143" t="s">
        <v>115</v>
      </c>
      <c r="M13" s="143"/>
      <c r="N13" s="143"/>
      <c r="O13" s="143"/>
      <c r="P13" s="143"/>
    </row>
    <row r="14" spans="1:16" x14ac:dyDescent="0.25">
      <c r="A14" s="20"/>
      <c r="B14" s="20"/>
      <c r="C14" s="20"/>
      <c r="D14" s="20"/>
      <c r="E14" s="20"/>
      <c r="F14" s="20"/>
      <c r="G14" s="20"/>
      <c r="H14" s="20"/>
      <c r="J14" s="98"/>
      <c r="K14" s="139"/>
    </row>
    <row r="15" spans="1:16" x14ac:dyDescent="0.25">
      <c r="J15" s="98"/>
      <c r="K15" s="139"/>
    </row>
    <row r="16" spans="1:16" x14ac:dyDescent="0.25">
      <c r="J16" s="98"/>
      <c r="K16" s="139"/>
    </row>
    <row r="17" spans="10:11" x14ac:dyDescent="0.25">
      <c r="J17" s="98"/>
      <c r="K17" s="139"/>
    </row>
  </sheetData>
  <sheetProtection sheet="1" selectLockedCells="1" selectUnlockedCell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9AA2-0933-48BA-9BAA-69D9B623DFCE}">
  <sheetPr codeName="Feuil1">
    <tabColor theme="0"/>
  </sheetPr>
  <dimension ref="A1:N178"/>
  <sheetViews>
    <sheetView workbookViewId="0">
      <selection activeCell="D8" sqref="D8"/>
    </sheetView>
  </sheetViews>
  <sheetFormatPr baseColWidth="10" defaultRowHeight="15" x14ac:dyDescent="0.25"/>
  <cols>
    <col min="1" max="1" width="34.28515625" customWidth="1"/>
    <col min="3" max="3" width="12.5703125" style="120" bestFit="1" customWidth="1"/>
    <col min="4" max="4" width="18.7109375" bestFit="1" customWidth="1"/>
    <col min="5" max="5" width="12.28515625" bestFit="1" customWidth="1"/>
    <col min="12" max="12" width="28.28515625" bestFit="1" customWidth="1"/>
    <col min="13" max="13" width="15.28515625" bestFit="1" customWidth="1"/>
    <col min="14" max="14" width="45.7109375" bestFit="1" customWidth="1"/>
  </cols>
  <sheetData>
    <row r="1" spans="1:14" x14ac:dyDescent="0.25">
      <c r="A1" s="118" t="s">
        <v>1028</v>
      </c>
      <c r="B1" s="118" t="s">
        <v>169</v>
      </c>
      <c r="C1" s="119" t="s">
        <v>170</v>
      </c>
      <c r="D1" s="118" t="s">
        <v>171</v>
      </c>
      <c r="E1" s="118" t="s">
        <v>172</v>
      </c>
      <c r="F1" s="118" t="s">
        <v>173</v>
      </c>
      <c r="G1" s="118" t="s">
        <v>174</v>
      </c>
      <c r="H1" s="118" t="s">
        <v>175</v>
      </c>
      <c r="I1" s="118" t="s">
        <v>176</v>
      </c>
      <c r="J1" s="118" t="s">
        <v>177</v>
      </c>
      <c r="K1" s="118" t="s">
        <v>178</v>
      </c>
      <c r="L1" s="118" t="s">
        <v>1023</v>
      </c>
      <c r="M1" s="118" t="s">
        <v>1024</v>
      </c>
      <c r="N1" s="118" t="s">
        <v>1025</v>
      </c>
    </row>
    <row r="2" spans="1:14" x14ac:dyDescent="0.25">
      <c r="A2" t="s">
        <v>179</v>
      </c>
      <c r="B2" t="s">
        <v>191</v>
      </c>
      <c r="C2" s="120">
        <v>75000</v>
      </c>
      <c r="D2" t="s">
        <v>193</v>
      </c>
      <c r="E2" t="s">
        <v>194</v>
      </c>
      <c r="F2" t="s">
        <v>217</v>
      </c>
      <c r="G2" t="s">
        <v>218</v>
      </c>
      <c r="H2" t="s">
        <v>221</v>
      </c>
      <c r="I2" t="s">
        <v>224</v>
      </c>
      <c r="J2">
        <v>4540</v>
      </c>
      <c r="K2" t="s">
        <v>225</v>
      </c>
      <c r="L2" t="s">
        <v>1026</v>
      </c>
      <c r="M2" t="s">
        <v>1027</v>
      </c>
      <c r="N2" t="str">
        <f t="shared" ref="N2:N33" si="0">CONCATENATE(L2,G2,M2)</f>
        <v>Arrêté ministériel POLLEC 2020_INV_6 du 02-12-2020</v>
      </c>
    </row>
    <row r="3" spans="1:14" x14ac:dyDescent="0.25">
      <c r="A3" t="s">
        <v>180</v>
      </c>
      <c r="B3" t="s">
        <v>191</v>
      </c>
      <c r="C3" s="120">
        <v>75000</v>
      </c>
      <c r="D3" t="s">
        <v>195</v>
      </c>
      <c r="E3" t="s">
        <v>196</v>
      </c>
      <c r="F3" t="s">
        <v>217</v>
      </c>
      <c r="G3" t="s">
        <v>219</v>
      </c>
      <c r="H3" t="s">
        <v>222</v>
      </c>
      <c r="I3" t="s">
        <v>226</v>
      </c>
      <c r="J3">
        <v>5300</v>
      </c>
      <c r="K3" t="s">
        <v>227</v>
      </c>
      <c r="L3" s="11" t="s">
        <v>1026</v>
      </c>
      <c r="M3" s="11" t="s">
        <v>1027</v>
      </c>
      <c r="N3" s="11" t="str">
        <f t="shared" si="0"/>
        <v>Arrêté ministériel POLLEC 2020_INV_1 du 02-12-2020</v>
      </c>
    </row>
    <row r="4" spans="1:14" x14ac:dyDescent="0.25">
      <c r="A4" t="s">
        <v>181</v>
      </c>
      <c r="B4" t="s">
        <v>191</v>
      </c>
      <c r="C4" s="120">
        <v>75000</v>
      </c>
      <c r="D4" t="s">
        <v>197</v>
      </c>
      <c r="E4" t="s">
        <v>198</v>
      </c>
      <c r="F4" t="s">
        <v>217</v>
      </c>
      <c r="G4" t="s">
        <v>219</v>
      </c>
      <c r="H4" t="s">
        <v>222</v>
      </c>
      <c r="I4" t="s">
        <v>228</v>
      </c>
      <c r="J4">
        <v>4430</v>
      </c>
      <c r="K4" t="s">
        <v>229</v>
      </c>
      <c r="L4" s="11" t="s">
        <v>1026</v>
      </c>
      <c r="M4" s="11" t="s">
        <v>1027</v>
      </c>
      <c r="N4" s="11" t="str">
        <f t="shared" si="0"/>
        <v>Arrêté ministériel POLLEC 2020_INV_1 du 02-12-2020</v>
      </c>
    </row>
    <row r="5" spans="1:14" x14ac:dyDescent="0.25">
      <c r="A5" t="s">
        <v>182</v>
      </c>
      <c r="B5" t="s">
        <v>192</v>
      </c>
      <c r="C5" s="120">
        <v>50000</v>
      </c>
      <c r="D5" t="s">
        <v>199</v>
      </c>
      <c r="E5" t="s">
        <v>200</v>
      </c>
      <c r="F5" t="s">
        <v>217</v>
      </c>
      <c r="G5" t="s">
        <v>219</v>
      </c>
      <c r="H5" t="s">
        <v>222</v>
      </c>
      <c r="I5" t="s">
        <v>230</v>
      </c>
      <c r="J5">
        <v>4160</v>
      </c>
      <c r="K5" t="s">
        <v>231</v>
      </c>
      <c r="L5" s="11" t="s">
        <v>1026</v>
      </c>
      <c r="M5" s="11" t="s">
        <v>1027</v>
      </c>
      <c r="N5" s="11" t="str">
        <f t="shared" si="0"/>
        <v>Arrêté ministériel POLLEC 2020_INV_1 du 02-12-2020</v>
      </c>
    </row>
    <row r="6" spans="1:14" x14ac:dyDescent="0.25">
      <c r="A6" t="s">
        <v>183</v>
      </c>
      <c r="B6" t="s">
        <v>192</v>
      </c>
      <c r="C6" s="120">
        <v>50000</v>
      </c>
      <c r="D6" t="s">
        <v>201</v>
      </c>
      <c r="E6" t="s">
        <v>202</v>
      </c>
      <c r="F6" t="s">
        <v>217</v>
      </c>
      <c r="G6" t="s">
        <v>219</v>
      </c>
      <c r="H6" t="s">
        <v>222</v>
      </c>
      <c r="I6" t="s">
        <v>232</v>
      </c>
      <c r="J6">
        <v>7640</v>
      </c>
      <c r="K6" t="s">
        <v>233</v>
      </c>
      <c r="L6" s="11" t="s">
        <v>1026</v>
      </c>
      <c r="M6" s="11" t="s">
        <v>1027</v>
      </c>
      <c r="N6" s="11" t="str">
        <f t="shared" si="0"/>
        <v>Arrêté ministériel POLLEC 2020_INV_1 du 02-12-2020</v>
      </c>
    </row>
    <row r="7" spans="1:14" x14ac:dyDescent="0.25">
      <c r="A7" t="s">
        <v>184</v>
      </c>
      <c r="B7" t="s">
        <v>191</v>
      </c>
      <c r="C7" s="120">
        <v>75000</v>
      </c>
      <c r="D7" t="s">
        <v>203</v>
      </c>
      <c r="E7" t="s">
        <v>204</v>
      </c>
      <c r="F7" t="s">
        <v>217</v>
      </c>
      <c r="G7" t="s">
        <v>218</v>
      </c>
      <c r="H7" t="s">
        <v>221</v>
      </c>
      <c r="I7" t="s">
        <v>234</v>
      </c>
      <c r="J7">
        <v>6700</v>
      </c>
      <c r="K7" t="s">
        <v>235</v>
      </c>
      <c r="L7" s="11" t="s">
        <v>1026</v>
      </c>
      <c r="M7" s="11" t="s">
        <v>1027</v>
      </c>
      <c r="N7" s="11" t="str">
        <f t="shared" si="0"/>
        <v>Arrêté ministériel POLLEC 2020_INV_6 du 02-12-2020</v>
      </c>
    </row>
    <row r="8" spans="1:14" x14ac:dyDescent="0.25">
      <c r="A8" t="s">
        <v>185</v>
      </c>
      <c r="B8" t="s">
        <v>191</v>
      </c>
      <c r="C8" s="120">
        <v>50000</v>
      </c>
      <c r="D8" t="s">
        <v>205</v>
      </c>
      <c r="E8" t="s">
        <v>206</v>
      </c>
      <c r="F8" t="s">
        <v>217</v>
      </c>
      <c r="G8" t="s">
        <v>219</v>
      </c>
      <c r="H8" t="s">
        <v>222</v>
      </c>
      <c r="I8" t="s">
        <v>236</v>
      </c>
      <c r="J8">
        <v>5330</v>
      </c>
      <c r="K8" t="s">
        <v>237</v>
      </c>
      <c r="L8" s="11" t="s">
        <v>1026</v>
      </c>
      <c r="M8" s="11" t="s">
        <v>1027</v>
      </c>
      <c r="N8" s="11" t="str">
        <f t="shared" si="0"/>
        <v>Arrêté ministériel POLLEC 2020_INV_1 du 02-12-2020</v>
      </c>
    </row>
    <row r="9" spans="1:14" x14ac:dyDescent="0.25">
      <c r="A9" t="s">
        <v>186</v>
      </c>
      <c r="B9" t="s">
        <v>191</v>
      </c>
      <c r="C9" s="120">
        <v>75000</v>
      </c>
      <c r="D9" t="s">
        <v>207</v>
      </c>
      <c r="E9" t="s">
        <v>208</v>
      </c>
      <c r="F9" t="s">
        <v>217</v>
      </c>
      <c r="G9" t="s">
        <v>218</v>
      </c>
      <c r="H9" t="s">
        <v>221</v>
      </c>
      <c r="I9" t="s">
        <v>238</v>
      </c>
      <c r="J9">
        <v>7800</v>
      </c>
      <c r="K9" t="s">
        <v>239</v>
      </c>
      <c r="L9" s="11" t="s">
        <v>1026</v>
      </c>
      <c r="M9" s="11" t="s">
        <v>1027</v>
      </c>
      <c r="N9" s="11" t="str">
        <f t="shared" si="0"/>
        <v>Arrêté ministériel POLLEC 2020_INV_6 du 02-12-2020</v>
      </c>
    </row>
    <row r="10" spans="1:14" x14ac:dyDescent="0.25">
      <c r="A10" t="s">
        <v>187</v>
      </c>
      <c r="B10" t="s">
        <v>191</v>
      </c>
      <c r="C10" s="120">
        <v>50000</v>
      </c>
      <c r="D10" t="s">
        <v>209</v>
      </c>
      <c r="E10" t="s">
        <v>210</v>
      </c>
      <c r="F10" t="s">
        <v>217</v>
      </c>
      <c r="G10" t="s">
        <v>218</v>
      </c>
      <c r="H10" t="s">
        <v>221</v>
      </c>
      <c r="I10" t="s">
        <v>240</v>
      </c>
      <c r="J10">
        <v>6717</v>
      </c>
      <c r="K10" t="s">
        <v>241</v>
      </c>
      <c r="L10" s="11" t="s">
        <v>1026</v>
      </c>
      <c r="M10" s="11" t="s">
        <v>1027</v>
      </c>
      <c r="N10" s="11" t="str">
        <f t="shared" si="0"/>
        <v>Arrêté ministériel POLLEC 2020_INV_6 du 02-12-2020</v>
      </c>
    </row>
    <row r="11" spans="1:14" x14ac:dyDescent="0.25">
      <c r="A11" t="s">
        <v>188</v>
      </c>
      <c r="B11" t="s">
        <v>191</v>
      </c>
      <c r="C11" s="120">
        <v>75000</v>
      </c>
      <c r="D11" t="s">
        <v>211</v>
      </c>
      <c r="E11" t="s">
        <v>212</v>
      </c>
      <c r="F11" t="s">
        <v>217</v>
      </c>
      <c r="G11" t="s">
        <v>220</v>
      </c>
      <c r="H11" t="s">
        <v>223</v>
      </c>
      <c r="I11" t="s">
        <v>242</v>
      </c>
      <c r="J11">
        <v>6791</v>
      </c>
      <c r="K11" t="s">
        <v>243</v>
      </c>
      <c r="L11" s="11" t="s">
        <v>1026</v>
      </c>
      <c r="M11" s="11" t="s">
        <v>1027</v>
      </c>
      <c r="N11" s="11" t="str">
        <f t="shared" si="0"/>
        <v>Arrêté ministériel POLLEC 2020_INV_5 du 02-12-2020</v>
      </c>
    </row>
    <row r="12" spans="1:14" x14ac:dyDescent="0.25">
      <c r="A12" t="s">
        <v>189</v>
      </c>
      <c r="B12" t="s">
        <v>191</v>
      </c>
      <c r="C12" s="120">
        <v>75000</v>
      </c>
      <c r="D12" t="s">
        <v>213</v>
      </c>
      <c r="E12" t="s">
        <v>214</v>
      </c>
      <c r="F12" t="s">
        <v>217</v>
      </c>
      <c r="G12" t="s">
        <v>219</v>
      </c>
      <c r="H12" t="s">
        <v>222</v>
      </c>
      <c r="I12" t="s">
        <v>244</v>
      </c>
      <c r="J12">
        <v>4920</v>
      </c>
      <c r="K12" t="s">
        <v>245</v>
      </c>
      <c r="L12" s="11" t="s">
        <v>1026</v>
      </c>
      <c r="M12" s="11" t="s">
        <v>1027</v>
      </c>
      <c r="N12" s="11" t="str">
        <f t="shared" si="0"/>
        <v>Arrêté ministériel POLLEC 2020_INV_1 du 02-12-2020</v>
      </c>
    </row>
    <row r="13" spans="1:14" x14ac:dyDescent="0.25">
      <c r="A13" t="s">
        <v>190</v>
      </c>
      <c r="B13" t="s">
        <v>191</v>
      </c>
      <c r="C13" s="120">
        <v>75000</v>
      </c>
      <c r="D13" t="s">
        <v>215</v>
      </c>
      <c r="E13" t="s">
        <v>216</v>
      </c>
      <c r="F13" t="s">
        <v>217</v>
      </c>
      <c r="G13" t="s">
        <v>218</v>
      </c>
      <c r="H13" t="s">
        <v>221</v>
      </c>
      <c r="I13" t="s">
        <v>246</v>
      </c>
      <c r="J13">
        <v>6600</v>
      </c>
      <c r="K13" t="s">
        <v>247</v>
      </c>
      <c r="L13" s="11" t="s">
        <v>1026</v>
      </c>
      <c r="M13" s="11" t="s">
        <v>1027</v>
      </c>
      <c r="N13" s="11" t="str">
        <f t="shared" si="0"/>
        <v>Arrêté ministériel POLLEC 2020_INV_6 du 02-12-2020</v>
      </c>
    </row>
    <row r="14" spans="1:14" x14ac:dyDescent="0.25">
      <c r="A14" t="s">
        <v>248</v>
      </c>
      <c r="B14" t="s">
        <v>191</v>
      </c>
      <c r="C14" s="120">
        <v>50000</v>
      </c>
      <c r="D14" t="s">
        <v>259</v>
      </c>
      <c r="E14" t="s">
        <v>260</v>
      </c>
      <c r="F14" t="s">
        <v>217</v>
      </c>
      <c r="G14" t="s">
        <v>219</v>
      </c>
      <c r="H14" t="s">
        <v>222</v>
      </c>
      <c r="I14" t="s">
        <v>281</v>
      </c>
      <c r="J14">
        <v>5570</v>
      </c>
      <c r="K14" t="s">
        <v>282</v>
      </c>
      <c r="L14" s="11" t="s">
        <v>1026</v>
      </c>
      <c r="M14" s="11" t="s">
        <v>1027</v>
      </c>
      <c r="N14" s="11" t="str">
        <f t="shared" si="0"/>
        <v>Arrêté ministériel POLLEC 2020_INV_1 du 02-12-2020</v>
      </c>
    </row>
    <row r="15" spans="1:14" x14ac:dyDescent="0.25">
      <c r="A15" t="s">
        <v>249</v>
      </c>
      <c r="B15" t="s">
        <v>191</v>
      </c>
      <c r="C15" s="120">
        <v>75000</v>
      </c>
      <c r="D15" t="s">
        <v>261</v>
      </c>
      <c r="E15" t="s">
        <v>262</v>
      </c>
      <c r="F15" t="s">
        <v>217</v>
      </c>
      <c r="G15" t="s">
        <v>218</v>
      </c>
      <c r="H15" t="s">
        <v>221</v>
      </c>
      <c r="I15" t="s">
        <v>283</v>
      </c>
      <c r="J15">
        <v>7320</v>
      </c>
      <c r="K15" t="s">
        <v>284</v>
      </c>
      <c r="L15" s="11" t="s">
        <v>1026</v>
      </c>
      <c r="M15" s="11" t="s">
        <v>1027</v>
      </c>
      <c r="N15" s="11" t="str">
        <f t="shared" si="0"/>
        <v>Arrêté ministériel POLLEC 2020_INV_6 du 02-12-2020</v>
      </c>
    </row>
    <row r="16" spans="1:14" x14ac:dyDescent="0.25">
      <c r="A16" t="s">
        <v>250</v>
      </c>
      <c r="B16" t="s">
        <v>191</v>
      </c>
      <c r="C16" s="120">
        <v>50000</v>
      </c>
      <c r="D16" t="s">
        <v>263</v>
      </c>
      <c r="E16" t="s">
        <v>264</v>
      </c>
      <c r="F16" t="s">
        <v>217</v>
      </c>
      <c r="G16" t="s">
        <v>218</v>
      </c>
      <c r="H16" t="s">
        <v>221</v>
      </c>
      <c r="I16" t="s">
        <v>285</v>
      </c>
      <c r="J16">
        <v>6687</v>
      </c>
      <c r="K16" t="s">
        <v>286</v>
      </c>
      <c r="L16" s="11" t="s">
        <v>1026</v>
      </c>
      <c r="M16" s="11" t="s">
        <v>1027</v>
      </c>
      <c r="N16" s="11" t="str">
        <f t="shared" si="0"/>
        <v>Arrêté ministériel POLLEC 2020_INV_6 du 02-12-2020</v>
      </c>
    </row>
    <row r="17" spans="1:14" x14ac:dyDescent="0.25">
      <c r="A17" t="s">
        <v>251</v>
      </c>
      <c r="B17" t="s">
        <v>191</v>
      </c>
      <c r="C17" s="120">
        <v>50000</v>
      </c>
      <c r="D17" t="s">
        <v>265</v>
      </c>
      <c r="E17" t="s">
        <v>266</v>
      </c>
      <c r="F17" t="s">
        <v>217</v>
      </c>
      <c r="G17" t="s">
        <v>219</v>
      </c>
      <c r="H17" t="s">
        <v>222</v>
      </c>
      <c r="I17" t="s">
        <v>287</v>
      </c>
      <c r="J17">
        <v>6880</v>
      </c>
      <c r="K17" t="s">
        <v>288</v>
      </c>
      <c r="L17" s="11" t="s">
        <v>1026</v>
      </c>
      <c r="M17" s="11" t="s">
        <v>1027</v>
      </c>
      <c r="N17" s="11" t="str">
        <f t="shared" si="0"/>
        <v>Arrêté ministériel POLLEC 2020_INV_1 du 02-12-2020</v>
      </c>
    </row>
    <row r="18" spans="1:14" x14ac:dyDescent="0.25">
      <c r="A18" t="s">
        <v>252</v>
      </c>
      <c r="B18" t="s">
        <v>191</v>
      </c>
      <c r="C18" s="120">
        <v>50000</v>
      </c>
      <c r="D18" t="s">
        <v>267</v>
      </c>
      <c r="E18" t="s">
        <v>268</v>
      </c>
      <c r="F18" t="s">
        <v>217</v>
      </c>
      <c r="G18" t="s">
        <v>218</v>
      </c>
      <c r="H18" t="s">
        <v>221</v>
      </c>
      <c r="I18" t="s">
        <v>289</v>
      </c>
      <c r="J18">
        <v>6830</v>
      </c>
      <c r="K18" t="s">
        <v>290</v>
      </c>
      <c r="L18" s="11" t="s">
        <v>1026</v>
      </c>
      <c r="M18" s="11" t="s">
        <v>1027</v>
      </c>
      <c r="N18" s="11" t="str">
        <f t="shared" si="0"/>
        <v>Arrêté ministériel POLLEC 2020_INV_6 du 02-12-2020</v>
      </c>
    </row>
    <row r="19" spans="1:14" x14ac:dyDescent="0.25">
      <c r="A19" t="s">
        <v>253</v>
      </c>
      <c r="B19" t="s">
        <v>191</v>
      </c>
      <c r="C19" s="120">
        <v>75000</v>
      </c>
      <c r="D19" t="s">
        <v>269</v>
      </c>
      <c r="E19" t="s">
        <v>270</v>
      </c>
      <c r="F19" t="s">
        <v>217</v>
      </c>
      <c r="G19" t="s">
        <v>218</v>
      </c>
      <c r="H19" t="s">
        <v>221</v>
      </c>
      <c r="I19" t="s">
        <v>291</v>
      </c>
      <c r="J19">
        <v>1420</v>
      </c>
      <c r="K19" t="s">
        <v>292</v>
      </c>
      <c r="L19" s="11" t="s">
        <v>1026</v>
      </c>
      <c r="M19" s="11" t="s">
        <v>1027</v>
      </c>
      <c r="N19" s="11" t="str">
        <f t="shared" si="0"/>
        <v>Arrêté ministériel POLLEC 2020_INV_6 du 02-12-2020</v>
      </c>
    </row>
    <row r="20" spans="1:14" x14ac:dyDescent="0.25">
      <c r="A20" t="s">
        <v>254</v>
      </c>
      <c r="B20" t="s">
        <v>191</v>
      </c>
      <c r="C20" s="120">
        <v>50000</v>
      </c>
      <c r="D20" t="s">
        <v>271</v>
      </c>
      <c r="E20" t="s">
        <v>272</v>
      </c>
      <c r="F20" t="s">
        <v>217</v>
      </c>
      <c r="G20" t="s">
        <v>219</v>
      </c>
      <c r="H20" t="s">
        <v>222</v>
      </c>
      <c r="I20" t="s">
        <v>293</v>
      </c>
      <c r="J20">
        <v>1440</v>
      </c>
      <c r="K20" t="s">
        <v>294</v>
      </c>
      <c r="L20" s="11" t="s">
        <v>1026</v>
      </c>
      <c r="M20" s="11" t="s">
        <v>1027</v>
      </c>
      <c r="N20" s="11" t="str">
        <f t="shared" si="0"/>
        <v>Arrêté ministériel POLLEC 2020_INV_1 du 02-12-2020</v>
      </c>
    </row>
    <row r="21" spans="1:14" x14ac:dyDescent="0.25">
      <c r="A21" t="s">
        <v>255</v>
      </c>
      <c r="B21" t="s">
        <v>191</v>
      </c>
      <c r="C21" s="120">
        <v>50000</v>
      </c>
      <c r="D21" t="s">
        <v>273</v>
      </c>
      <c r="E21" t="s">
        <v>274</v>
      </c>
      <c r="F21" t="s">
        <v>217</v>
      </c>
      <c r="G21" t="s">
        <v>219</v>
      </c>
      <c r="H21" t="s">
        <v>222</v>
      </c>
      <c r="I21" t="s">
        <v>295</v>
      </c>
      <c r="J21">
        <v>4260</v>
      </c>
      <c r="K21" t="s">
        <v>296</v>
      </c>
      <c r="L21" s="11" t="s">
        <v>1026</v>
      </c>
      <c r="M21" s="11" t="s">
        <v>1027</v>
      </c>
      <c r="N21" s="11" t="str">
        <f t="shared" si="0"/>
        <v>Arrêté ministériel POLLEC 2020_INV_1 du 02-12-2020</v>
      </c>
    </row>
    <row r="22" spans="1:14" x14ac:dyDescent="0.25">
      <c r="A22" t="s">
        <v>256</v>
      </c>
      <c r="B22" t="s">
        <v>191</v>
      </c>
      <c r="C22" s="120">
        <v>50000</v>
      </c>
      <c r="D22" t="s">
        <v>275</v>
      </c>
      <c r="E22" t="s">
        <v>276</v>
      </c>
      <c r="F22" t="s">
        <v>217</v>
      </c>
      <c r="G22" t="s">
        <v>218</v>
      </c>
      <c r="H22" t="s">
        <v>221</v>
      </c>
      <c r="I22" t="s">
        <v>297</v>
      </c>
      <c r="J22">
        <v>7620</v>
      </c>
      <c r="K22" t="s">
        <v>298</v>
      </c>
      <c r="L22" s="11" t="s">
        <v>1026</v>
      </c>
      <c r="M22" s="11" t="s">
        <v>1027</v>
      </c>
      <c r="N22" s="11" t="str">
        <f t="shared" si="0"/>
        <v>Arrêté ministériel POLLEC 2020_INV_6 du 02-12-2020</v>
      </c>
    </row>
    <row r="23" spans="1:14" x14ac:dyDescent="0.25">
      <c r="A23" t="s">
        <v>257</v>
      </c>
      <c r="B23" t="s">
        <v>192</v>
      </c>
      <c r="C23" s="120">
        <v>50000</v>
      </c>
      <c r="D23" t="s">
        <v>277</v>
      </c>
      <c r="E23" t="s">
        <v>278</v>
      </c>
      <c r="F23" t="s">
        <v>217</v>
      </c>
      <c r="G23" t="s">
        <v>219</v>
      </c>
      <c r="H23" t="s">
        <v>222</v>
      </c>
      <c r="I23" t="s">
        <v>299</v>
      </c>
      <c r="J23">
        <v>4210</v>
      </c>
      <c r="K23" t="s">
        <v>300</v>
      </c>
      <c r="L23" s="11" t="s">
        <v>1026</v>
      </c>
      <c r="M23" s="11" t="s">
        <v>1027</v>
      </c>
      <c r="N23" s="11" t="str">
        <f t="shared" si="0"/>
        <v>Arrêté ministériel POLLEC 2020_INV_1 du 02-12-2020</v>
      </c>
    </row>
    <row r="24" spans="1:14" x14ac:dyDescent="0.25">
      <c r="A24" t="s">
        <v>1029</v>
      </c>
      <c r="B24" t="s">
        <v>191</v>
      </c>
      <c r="C24" s="120">
        <v>200000</v>
      </c>
      <c r="D24" t="s">
        <v>1040</v>
      </c>
      <c r="E24" t="s">
        <v>1051</v>
      </c>
      <c r="F24" t="s">
        <v>1062</v>
      </c>
      <c r="G24" t="s">
        <v>1065</v>
      </c>
      <c r="H24" t="s">
        <v>1068</v>
      </c>
      <c r="I24" t="s">
        <v>1071</v>
      </c>
      <c r="J24">
        <v>5000</v>
      </c>
      <c r="K24" t="s">
        <v>704</v>
      </c>
      <c r="L24" s="11" t="s">
        <v>1026</v>
      </c>
      <c r="M24" s="11" t="s">
        <v>1027</v>
      </c>
      <c r="N24" s="11" t="str">
        <f t="shared" si="0"/>
        <v>Arrêté ministériel POLLEC 2020_SUPRA_INV_2 du 02-12-2020</v>
      </c>
    </row>
    <row r="25" spans="1:14" x14ac:dyDescent="0.25">
      <c r="A25" t="s">
        <v>258</v>
      </c>
      <c r="B25" t="s">
        <v>191</v>
      </c>
      <c r="C25" s="120">
        <v>50000</v>
      </c>
      <c r="D25" t="s">
        <v>279</v>
      </c>
      <c r="E25" t="s">
        <v>280</v>
      </c>
      <c r="F25" t="s">
        <v>217</v>
      </c>
      <c r="G25" t="s">
        <v>219</v>
      </c>
      <c r="H25" t="s">
        <v>222</v>
      </c>
      <c r="I25" t="s">
        <v>301</v>
      </c>
      <c r="J25">
        <v>7760</v>
      </c>
      <c r="K25" t="s">
        <v>302</v>
      </c>
      <c r="L25" s="11" t="s">
        <v>1026</v>
      </c>
      <c r="M25" s="11" t="s">
        <v>1027</v>
      </c>
      <c r="N25" s="11" t="str">
        <f t="shared" si="0"/>
        <v>Arrêté ministériel POLLEC 2020_INV_1 du 02-12-2020</v>
      </c>
    </row>
    <row r="26" spans="1:14" x14ac:dyDescent="0.25">
      <c r="A26" t="s">
        <v>303</v>
      </c>
      <c r="B26" t="s">
        <v>191</v>
      </c>
      <c r="C26" s="120">
        <v>200000</v>
      </c>
      <c r="D26" t="s">
        <v>308</v>
      </c>
      <c r="E26" t="s">
        <v>309</v>
      </c>
      <c r="F26" t="s">
        <v>217</v>
      </c>
      <c r="G26" t="s">
        <v>218</v>
      </c>
      <c r="H26" t="s">
        <v>221</v>
      </c>
      <c r="I26" t="s">
        <v>318</v>
      </c>
      <c r="J26">
        <v>6000</v>
      </c>
      <c r="K26" t="s">
        <v>319</v>
      </c>
      <c r="L26" s="11" t="s">
        <v>1026</v>
      </c>
      <c r="M26" s="11" t="s">
        <v>1027</v>
      </c>
      <c r="N26" s="11" t="str">
        <f t="shared" si="0"/>
        <v>Arrêté ministériel POLLEC 2020_INV_6 du 02-12-2020</v>
      </c>
    </row>
    <row r="27" spans="1:14" x14ac:dyDescent="0.25">
      <c r="A27" t="s">
        <v>304</v>
      </c>
      <c r="B27" t="s">
        <v>192</v>
      </c>
      <c r="C27" s="120">
        <v>50000</v>
      </c>
      <c r="D27" t="s">
        <v>310</v>
      </c>
      <c r="E27" t="s">
        <v>311</v>
      </c>
      <c r="F27" t="s">
        <v>217</v>
      </c>
      <c r="G27" t="s">
        <v>219</v>
      </c>
      <c r="H27" t="s">
        <v>222</v>
      </c>
      <c r="I27" t="s">
        <v>320</v>
      </c>
      <c r="J27">
        <v>1450</v>
      </c>
      <c r="K27" t="s">
        <v>321</v>
      </c>
      <c r="L27" s="11" t="s">
        <v>1026</v>
      </c>
      <c r="M27" s="11" t="s">
        <v>1027</v>
      </c>
      <c r="N27" s="11" t="str">
        <f t="shared" si="0"/>
        <v>Arrêté ministériel POLLEC 2020_INV_1 du 02-12-2020</v>
      </c>
    </row>
    <row r="28" spans="1:14" x14ac:dyDescent="0.25">
      <c r="A28" t="s">
        <v>305</v>
      </c>
      <c r="B28" t="s">
        <v>192</v>
      </c>
      <c r="C28" s="120">
        <v>75000</v>
      </c>
      <c r="D28" t="s">
        <v>312</v>
      </c>
      <c r="E28" t="s">
        <v>313</v>
      </c>
      <c r="F28" t="s">
        <v>217</v>
      </c>
      <c r="G28" t="s">
        <v>219</v>
      </c>
      <c r="H28" t="s">
        <v>222</v>
      </c>
      <c r="I28" t="s">
        <v>322</v>
      </c>
      <c r="J28">
        <v>4053</v>
      </c>
      <c r="K28" t="s">
        <v>323</v>
      </c>
      <c r="L28" s="11" t="s">
        <v>1026</v>
      </c>
      <c r="M28" s="11" t="s">
        <v>1027</v>
      </c>
      <c r="N28" s="11" t="str">
        <f t="shared" si="0"/>
        <v>Arrêté ministériel POLLEC 2020_INV_1 du 02-12-2020</v>
      </c>
    </row>
    <row r="29" spans="1:14" x14ac:dyDescent="0.25">
      <c r="A29" t="s">
        <v>306</v>
      </c>
      <c r="B29" t="s">
        <v>191</v>
      </c>
      <c r="C29" s="120">
        <v>75000</v>
      </c>
      <c r="D29" t="s">
        <v>314</v>
      </c>
      <c r="E29" t="s">
        <v>315</v>
      </c>
      <c r="F29" t="s">
        <v>217</v>
      </c>
      <c r="G29" t="s">
        <v>218</v>
      </c>
      <c r="H29" t="s">
        <v>221</v>
      </c>
      <c r="I29" t="s">
        <v>324</v>
      </c>
      <c r="J29">
        <v>1325</v>
      </c>
      <c r="K29" t="s">
        <v>325</v>
      </c>
      <c r="L29" s="11" t="s">
        <v>1026</v>
      </c>
      <c r="M29" s="11" t="s">
        <v>1027</v>
      </c>
      <c r="N29" s="11" t="str">
        <f t="shared" si="0"/>
        <v>Arrêté ministériel POLLEC 2020_INV_6 du 02-12-2020</v>
      </c>
    </row>
    <row r="30" spans="1:14" x14ac:dyDescent="0.25">
      <c r="A30" t="s">
        <v>307</v>
      </c>
      <c r="B30" t="s">
        <v>191</v>
      </c>
      <c r="C30" s="120">
        <v>50000</v>
      </c>
      <c r="D30" t="s">
        <v>316</v>
      </c>
      <c r="E30" t="s">
        <v>317</v>
      </c>
      <c r="F30" t="s">
        <v>217</v>
      </c>
      <c r="G30" t="s">
        <v>218</v>
      </c>
      <c r="H30" t="s">
        <v>221</v>
      </c>
      <c r="I30" t="s">
        <v>326</v>
      </c>
      <c r="J30">
        <v>7950</v>
      </c>
      <c r="K30" t="s">
        <v>327</v>
      </c>
      <c r="L30" s="11" t="s">
        <v>1026</v>
      </c>
      <c r="M30" s="11" t="s">
        <v>1027</v>
      </c>
      <c r="N30" s="11" t="str">
        <f t="shared" si="0"/>
        <v>Arrêté ministériel POLLEC 2020_INV_6 du 02-12-2020</v>
      </c>
    </row>
    <row r="31" spans="1:14" x14ac:dyDescent="0.25">
      <c r="A31" t="s">
        <v>328</v>
      </c>
      <c r="B31" t="s">
        <v>191</v>
      </c>
      <c r="C31" s="120">
        <v>50000</v>
      </c>
      <c r="D31" t="s">
        <v>333</v>
      </c>
      <c r="E31" t="s">
        <v>334</v>
      </c>
      <c r="F31" t="s">
        <v>217</v>
      </c>
      <c r="G31" t="s">
        <v>218</v>
      </c>
      <c r="H31" t="s">
        <v>221</v>
      </c>
      <c r="I31" t="s">
        <v>345</v>
      </c>
      <c r="J31">
        <v>6810</v>
      </c>
      <c r="K31" t="s">
        <v>346</v>
      </c>
      <c r="L31" s="11" t="s">
        <v>1026</v>
      </c>
      <c r="M31" s="11" t="s">
        <v>1027</v>
      </c>
      <c r="N31" s="11" t="str">
        <f t="shared" si="0"/>
        <v>Arrêté ministériel POLLEC 2020_INV_6 du 02-12-2020</v>
      </c>
    </row>
    <row r="32" spans="1:14" x14ac:dyDescent="0.25">
      <c r="A32" t="s">
        <v>329</v>
      </c>
      <c r="B32" t="s">
        <v>192</v>
      </c>
      <c r="C32" s="120">
        <v>75000</v>
      </c>
      <c r="D32" t="s">
        <v>335</v>
      </c>
      <c r="E32" t="s">
        <v>336</v>
      </c>
      <c r="F32" t="s">
        <v>217</v>
      </c>
      <c r="G32" t="s">
        <v>219</v>
      </c>
      <c r="H32" t="s">
        <v>222</v>
      </c>
      <c r="I32" t="s">
        <v>347</v>
      </c>
      <c r="J32">
        <v>5590</v>
      </c>
      <c r="K32" t="s">
        <v>348</v>
      </c>
      <c r="L32" s="11" t="s">
        <v>1026</v>
      </c>
      <c r="M32" s="11" t="s">
        <v>1027</v>
      </c>
      <c r="N32" s="11" t="str">
        <f t="shared" si="0"/>
        <v>Arrêté ministériel POLLEC 2020_INV_1 du 02-12-2020</v>
      </c>
    </row>
    <row r="33" spans="1:14" x14ac:dyDescent="0.25">
      <c r="A33" t="s">
        <v>330</v>
      </c>
      <c r="B33" t="s">
        <v>192</v>
      </c>
      <c r="C33" s="120">
        <v>50000</v>
      </c>
      <c r="D33" t="s">
        <v>337</v>
      </c>
      <c r="E33" t="s">
        <v>338</v>
      </c>
      <c r="F33" t="s">
        <v>217</v>
      </c>
      <c r="G33" t="s">
        <v>220</v>
      </c>
      <c r="H33" t="s">
        <v>223</v>
      </c>
      <c r="I33" t="s">
        <v>349</v>
      </c>
      <c r="J33">
        <v>4560</v>
      </c>
      <c r="K33" t="s">
        <v>350</v>
      </c>
      <c r="L33" s="11" t="s">
        <v>1026</v>
      </c>
      <c r="M33" s="11" t="s">
        <v>1027</v>
      </c>
      <c r="N33" s="11" t="str">
        <f t="shared" si="0"/>
        <v>Arrêté ministériel POLLEC 2020_INV_5 du 02-12-2020</v>
      </c>
    </row>
    <row r="34" spans="1:14" x14ac:dyDescent="0.25">
      <c r="A34" t="s">
        <v>331</v>
      </c>
      <c r="B34" t="s">
        <v>191</v>
      </c>
      <c r="C34" s="120">
        <v>75000</v>
      </c>
      <c r="D34" t="s">
        <v>339</v>
      </c>
      <c r="E34" t="s">
        <v>340</v>
      </c>
      <c r="F34" t="s">
        <v>217</v>
      </c>
      <c r="G34" t="s">
        <v>219</v>
      </c>
      <c r="H34" t="s">
        <v>222</v>
      </c>
      <c r="I34" t="s">
        <v>351</v>
      </c>
      <c r="J34">
        <v>7780</v>
      </c>
      <c r="K34" t="s">
        <v>352</v>
      </c>
      <c r="L34" s="11" t="s">
        <v>1026</v>
      </c>
      <c r="M34" s="11" t="s">
        <v>1027</v>
      </c>
      <c r="N34" s="11" t="str">
        <f t="shared" ref="N34:N65" si="1">CONCATENATE(L34,G34,M34)</f>
        <v>Arrêté ministériel POLLEC 2020_INV_1 du 02-12-2020</v>
      </c>
    </row>
    <row r="35" spans="1:14" x14ac:dyDescent="0.25">
      <c r="A35" t="s">
        <v>1030</v>
      </c>
      <c r="B35" t="s">
        <v>191</v>
      </c>
      <c r="C35" s="120">
        <v>200000</v>
      </c>
      <c r="D35" t="s">
        <v>1041</v>
      </c>
      <c r="E35" t="s">
        <v>1052</v>
      </c>
      <c r="F35" t="s">
        <v>1062</v>
      </c>
      <c r="G35" t="s">
        <v>1065</v>
      </c>
      <c r="H35" t="s">
        <v>1068</v>
      </c>
      <c r="I35" t="s">
        <v>1072</v>
      </c>
      <c r="J35">
        <v>6730</v>
      </c>
      <c r="K35" t="s">
        <v>1073</v>
      </c>
      <c r="L35" s="11" t="s">
        <v>1026</v>
      </c>
      <c r="M35" s="11" t="s">
        <v>1027</v>
      </c>
      <c r="N35" s="11" t="str">
        <f t="shared" si="1"/>
        <v>Arrêté ministériel POLLEC 2020_SUPRA_INV_2 du 02-12-2020</v>
      </c>
    </row>
    <row r="36" spans="1:14" x14ac:dyDescent="0.25">
      <c r="A36" t="s">
        <v>332</v>
      </c>
      <c r="B36" t="s">
        <v>192</v>
      </c>
      <c r="C36" s="120">
        <v>75000</v>
      </c>
      <c r="D36" t="s">
        <v>341</v>
      </c>
      <c r="E36" t="s">
        <v>342</v>
      </c>
      <c r="F36" t="s">
        <v>217</v>
      </c>
      <c r="G36" t="s">
        <v>343</v>
      </c>
      <c r="H36" t="s">
        <v>344</v>
      </c>
      <c r="I36" t="s">
        <v>353</v>
      </c>
      <c r="J36">
        <v>6180</v>
      </c>
      <c r="K36" t="s">
        <v>354</v>
      </c>
      <c r="L36" s="11" t="s">
        <v>1026</v>
      </c>
      <c r="M36" s="11" t="s">
        <v>1027</v>
      </c>
      <c r="N36" s="11" t="str">
        <f t="shared" si="1"/>
        <v>Arrêté ministériel POLLEC 2020_INV_8 du 02-12-2020</v>
      </c>
    </row>
    <row r="37" spans="1:14" x14ac:dyDescent="0.25">
      <c r="A37" t="s">
        <v>355</v>
      </c>
      <c r="B37" t="s">
        <v>191</v>
      </c>
      <c r="C37" s="120">
        <v>75000</v>
      </c>
      <c r="D37" t="s">
        <v>366</v>
      </c>
      <c r="E37" t="s">
        <v>367</v>
      </c>
      <c r="F37" t="s">
        <v>217</v>
      </c>
      <c r="G37" t="s">
        <v>219</v>
      </c>
      <c r="H37" t="s">
        <v>222</v>
      </c>
      <c r="I37" t="s">
        <v>390</v>
      </c>
      <c r="J37">
        <v>5660</v>
      </c>
      <c r="K37" t="s">
        <v>391</v>
      </c>
      <c r="L37" s="11" t="s">
        <v>1026</v>
      </c>
      <c r="M37" s="11" t="s">
        <v>1027</v>
      </c>
      <c r="N37" s="11" t="str">
        <f t="shared" si="1"/>
        <v>Arrêté ministériel POLLEC 2020_INV_1 du 02-12-2020</v>
      </c>
    </row>
    <row r="38" spans="1:14" x14ac:dyDescent="0.25">
      <c r="A38" t="s">
        <v>356</v>
      </c>
      <c r="B38" t="s">
        <v>191</v>
      </c>
      <c r="C38" s="120">
        <v>50000</v>
      </c>
      <c r="D38" t="s">
        <v>368</v>
      </c>
      <c r="E38" t="s">
        <v>369</v>
      </c>
      <c r="F38" t="s">
        <v>217</v>
      </c>
      <c r="G38" t="s">
        <v>218</v>
      </c>
      <c r="H38" t="s">
        <v>221</v>
      </c>
      <c r="I38" t="s">
        <v>392</v>
      </c>
      <c r="J38">
        <v>4607</v>
      </c>
      <c r="K38" t="s">
        <v>393</v>
      </c>
      <c r="L38" s="11" t="s">
        <v>1026</v>
      </c>
      <c r="M38" s="11" t="s">
        <v>1027</v>
      </c>
      <c r="N38" s="11" t="str">
        <f t="shared" si="1"/>
        <v>Arrêté ministériel POLLEC 2020_INV_6 du 02-12-2020</v>
      </c>
    </row>
    <row r="39" spans="1:14" x14ac:dyDescent="0.25">
      <c r="A39" t="s">
        <v>357</v>
      </c>
      <c r="B39" t="s">
        <v>192</v>
      </c>
      <c r="C39" s="120">
        <v>50000</v>
      </c>
      <c r="D39" t="s">
        <v>370</v>
      </c>
      <c r="E39" t="s">
        <v>371</v>
      </c>
      <c r="F39" t="s">
        <v>217</v>
      </c>
      <c r="G39" t="s">
        <v>219</v>
      </c>
      <c r="H39" t="s">
        <v>222</v>
      </c>
      <c r="I39" t="s">
        <v>394</v>
      </c>
      <c r="J39">
        <v>6929</v>
      </c>
      <c r="K39" t="s">
        <v>395</v>
      </c>
      <c r="L39" s="11" t="s">
        <v>1026</v>
      </c>
      <c r="M39" s="11" t="s">
        <v>1027</v>
      </c>
      <c r="N39" s="11" t="str">
        <f t="shared" si="1"/>
        <v>Arrêté ministériel POLLEC 2020_INV_1 du 02-12-2020</v>
      </c>
    </row>
    <row r="40" spans="1:14" x14ac:dyDescent="0.25">
      <c r="A40" t="s">
        <v>358</v>
      </c>
      <c r="B40" t="s">
        <v>191</v>
      </c>
      <c r="C40" s="120">
        <v>75000</v>
      </c>
      <c r="D40" t="s">
        <v>372</v>
      </c>
      <c r="E40" t="s">
        <v>373</v>
      </c>
      <c r="F40" t="s">
        <v>217</v>
      </c>
      <c r="G40" t="s">
        <v>219</v>
      </c>
      <c r="H40" t="s">
        <v>222</v>
      </c>
      <c r="I40" t="s">
        <v>396</v>
      </c>
      <c r="J40">
        <v>5500</v>
      </c>
      <c r="K40" t="s">
        <v>397</v>
      </c>
      <c r="L40" s="11" t="s">
        <v>1026</v>
      </c>
      <c r="M40" s="11" t="s">
        <v>1027</v>
      </c>
      <c r="N40" s="11" t="str">
        <f t="shared" si="1"/>
        <v>Arrêté ministériel POLLEC 2020_INV_1 du 02-12-2020</v>
      </c>
    </row>
    <row r="41" spans="1:14" x14ac:dyDescent="0.25">
      <c r="A41" t="s">
        <v>359</v>
      </c>
      <c r="B41" t="s">
        <v>191</v>
      </c>
      <c r="C41" s="120">
        <v>75000</v>
      </c>
      <c r="D41" t="s">
        <v>374</v>
      </c>
      <c r="E41" t="s">
        <v>375</v>
      </c>
      <c r="F41" t="s">
        <v>217</v>
      </c>
      <c r="G41" t="s">
        <v>219</v>
      </c>
      <c r="H41" t="s">
        <v>222</v>
      </c>
      <c r="I41" t="s">
        <v>398</v>
      </c>
      <c r="J41">
        <v>4820</v>
      </c>
      <c r="K41" t="s">
        <v>399</v>
      </c>
      <c r="L41" s="11" t="s">
        <v>1026</v>
      </c>
      <c r="M41" s="11" t="s">
        <v>1027</v>
      </c>
      <c r="N41" s="11" t="str">
        <f t="shared" si="1"/>
        <v>Arrêté ministériel POLLEC 2020_INV_1 du 02-12-2020</v>
      </c>
    </row>
    <row r="42" spans="1:14" x14ac:dyDescent="0.25">
      <c r="A42" t="s">
        <v>360</v>
      </c>
      <c r="B42" t="s">
        <v>192</v>
      </c>
      <c r="C42" s="120">
        <v>50000</v>
      </c>
      <c r="D42" t="s">
        <v>376</v>
      </c>
      <c r="E42" t="s">
        <v>377</v>
      </c>
      <c r="F42" t="s">
        <v>217</v>
      </c>
      <c r="G42" t="s">
        <v>388</v>
      </c>
      <c r="H42" t="s">
        <v>389</v>
      </c>
      <c r="I42" t="s">
        <v>400</v>
      </c>
      <c r="J42">
        <v>4357</v>
      </c>
      <c r="K42" t="s">
        <v>401</v>
      </c>
      <c r="L42" s="11" t="s">
        <v>1026</v>
      </c>
      <c r="M42" s="11" t="s">
        <v>1027</v>
      </c>
      <c r="N42" s="11" t="str">
        <f t="shared" si="1"/>
        <v>Arrêté ministériel POLLEC 2020_INV_2 du 02-12-2020</v>
      </c>
    </row>
    <row r="43" spans="1:14" x14ac:dyDescent="0.25">
      <c r="A43" t="s">
        <v>361</v>
      </c>
      <c r="B43" t="s">
        <v>191</v>
      </c>
      <c r="C43" s="120">
        <v>75000</v>
      </c>
      <c r="D43" t="s">
        <v>378</v>
      </c>
      <c r="E43" t="s">
        <v>379</v>
      </c>
      <c r="F43" t="s">
        <v>217</v>
      </c>
      <c r="G43" t="s">
        <v>218</v>
      </c>
      <c r="H43" t="s">
        <v>221</v>
      </c>
      <c r="I43" t="s">
        <v>402</v>
      </c>
      <c r="J43">
        <v>6940</v>
      </c>
      <c r="K43" t="s">
        <v>403</v>
      </c>
      <c r="L43" s="11" t="s">
        <v>1026</v>
      </c>
      <c r="M43" s="11" t="s">
        <v>1027</v>
      </c>
      <c r="N43" s="11" t="str">
        <f t="shared" si="1"/>
        <v>Arrêté ministériel POLLEC 2020_INV_6 du 02-12-2020</v>
      </c>
    </row>
    <row r="44" spans="1:14" x14ac:dyDescent="0.25">
      <c r="A44" t="s">
        <v>362</v>
      </c>
      <c r="B44" t="s">
        <v>191</v>
      </c>
      <c r="C44" s="120">
        <v>75000</v>
      </c>
      <c r="D44" t="s">
        <v>380</v>
      </c>
      <c r="E44" t="s">
        <v>381</v>
      </c>
      <c r="F44" t="s">
        <v>217</v>
      </c>
      <c r="G44" t="s">
        <v>388</v>
      </c>
      <c r="H44" t="s">
        <v>389</v>
      </c>
      <c r="I44" t="s">
        <v>404</v>
      </c>
      <c r="J44">
        <v>7190</v>
      </c>
      <c r="K44" t="s">
        <v>405</v>
      </c>
      <c r="L44" s="11" t="s">
        <v>1026</v>
      </c>
      <c r="M44" s="11" t="s">
        <v>1027</v>
      </c>
      <c r="N44" s="11" t="str">
        <f t="shared" si="1"/>
        <v>Arrêté ministériel POLLEC 2020_INV_2 du 02-12-2020</v>
      </c>
    </row>
    <row r="45" spans="1:14" x14ac:dyDescent="0.25">
      <c r="A45" t="s">
        <v>363</v>
      </c>
      <c r="B45" t="s">
        <v>191</v>
      </c>
      <c r="C45" s="120">
        <v>75000</v>
      </c>
      <c r="D45" t="s">
        <v>382</v>
      </c>
      <c r="E45" t="s">
        <v>383</v>
      </c>
      <c r="F45" t="s">
        <v>217</v>
      </c>
      <c r="G45" t="s">
        <v>218</v>
      </c>
      <c r="H45" t="s">
        <v>221</v>
      </c>
      <c r="I45" t="s">
        <v>406</v>
      </c>
      <c r="J45">
        <v>5310</v>
      </c>
      <c r="K45" t="s">
        <v>407</v>
      </c>
      <c r="L45" s="11" t="s">
        <v>1026</v>
      </c>
      <c r="M45" s="11" t="s">
        <v>1027</v>
      </c>
      <c r="N45" s="11" t="str">
        <f t="shared" si="1"/>
        <v>Arrêté ministériel POLLEC 2020_INV_6 du 02-12-2020</v>
      </c>
    </row>
    <row r="46" spans="1:14" x14ac:dyDescent="0.25">
      <c r="A46" t="s">
        <v>364</v>
      </c>
      <c r="B46" t="s">
        <v>192</v>
      </c>
      <c r="C46" s="120">
        <v>50000</v>
      </c>
      <c r="D46" t="s">
        <v>384</v>
      </c>
      <c r="E46" t="s">
        <v>385</v>
      </c>
      <c r="F46" t="s">
        <v>217</v>
      </c>
      <c r="G46" t="s">
        <v>343</v>
      </c>
      <c r="H46" t="s">
        <v>344</v>
      </c>
      <c r="I46" t="s">
        <v>408</v>
      </c>
      <c r="J46">
        <v>7890</v>
      </c>
      <c r="K46" t="s">
        <v>409</v>
      </c>
      <c r="L46" s="11" t="s">
        <v>1026</v>
      </c>
      <c r="M46" s="11" t="s">
        <v>1027</v>
      </c>
      <c r="N46" s="11" t="str">
        <f t="shared" si="1"/>
        <v>Arrêté ministériel POLLEC 2020_INV_8 du 02-12-2020</v>
      </c>
    </row>
    <row r="47" spans="1:14" x14ac:dyDescent="0.25">
      <c r="A47" t="s">
        <v>365</v>
      </c>
      <c r="B47" t="s">
        <v>191</v>
      </c>
      <c r="C47" s="120">
        <v>75000</v>
      </c>
      <c r="D47" t="s">
        <v>386</v>
      </c>
      <c r="E47" t="s">
        <v>387</v>
      </c>
      <c r="F47" t="s">
        <v>217</v>
      </c>
      <c r="G47" t="s">
        <v>218</v>
      </c>
      <c r="H47" t="s">
        <v>221</v>
      </c>
      <c r="I47" t="s">
        <v>410</v>
      </c>
      <c r="J47">
        <v>7850</v>
      </c>
      <c r="K47" t="s">
        <v>411</v>
      </c>
      <c r="L47" s="11" t="s">
        <v>1026</v>
      </c>
      <c r="M47" s="11" t="s">
        <v>1027</v>
      </c>
      <c r="N47" s="11" t="str">
        <f t="shared" si="1"/>
        <v>Arrêté ministériel POLLEC 2020_INV_6 du 02-12-2020</v>
      </c>
    </row>
    <row r="48" spans="1:14" x14ac:dyDescent="0.25">
      <c r="A48" t="s">
        <v>412</v>
      </c>
      <c r="B48" t="s">
        <v>191</v>
      </c>
      <c r="C48" s="120">
        <v>50000</v>
      </c>
      <c r="D48" t="s">
        <v>439</v>
      </c>
      <c r="E48" t="s">
        <v>440</v>
      </c>
      <c r="F48" t="s">
        <v>217</v>
      </c>
      <c r="G48" t="s">
        <v>493</v>
      </c>
      <c r="H48" t="s">
        <v>494</v>
      </c>
      <c r="I48" t="s">
        <v>495</v>
      </c>
      <c r="J48">
        <v>7730</v>
      </c>
      <c r="K48" t="s">
        <v>496</v>
      </c>
      <c r="L48" s="11" t="s">
        <v>1026</v>
      </c>
      <c r="M48" s="11" t="s">
        <v>1027</v>
      </c>
      <c r="N48" s="11" t="str">
        <f t="shared" si="1"/>
        <v>Arrêté ministériel POLLEC 2020_INV_7 du 02-12-2020</v>
      </c>
    </row>
    <row r="49" spans="1:14" x14ac:dyDescent="0.25">
      <c r="A49" t="s">
        <v>413</v>
      </c>
      <c r="B49" t="s">
        <v>192</v>
      </c>
      <c r="C49" s="120">
        <v>50000</v>
      </c>
      <c r="D49" t="s">
        <v>441</v>
      </c>
      <c r="E49" t="s">
        <v>442</v>
      </c>
      <c r="F49" t="s">
        <v>217</v>
      </c>
      <c r="G49" t="s">
        <v>388</v>
      </c>
      <c r="H49" t="s">
        <v>389</v>
      </c>
      <c r="I49" t="s">
        <v>497</v>
      </c>
      <c r="J49">
        <v>7120</v>
      </c>
      <c r="K49" t="s">
        <v>498</v>
      </c>
      <c r="L49" s="11" t="s">
        <v>1026</v>
      </c>
      <c r="M49" s="11" t="s">
        <v>1027</v>
      </c>
      <c r="N49" s="11" t="str">
        <f t="shared" si="1"/>
        <v>Arrêté ministériel POLLEC 2020_INV_2 du 02-12-2020</v>
      </c>
    </row>
    <row r="50" spans="1:14" x14ac:dyDescent="0.25">
      <c r="A50" t="s">
        <v>414</v>
      </c>
      <c r="B50" t="s">
        <v>191</v>
      </c>
      <c r="C50" s="120">
        <v>50000</v>
      </c>
      <c r="D50" t="s">
        <v>443</v>
      </c>
      <c r="E50" t="s">
        <v>444</v>
      </c>
      <c r="F50" t="s">
        <v>217</v>
      </c>
      <c r="G50" t="s">
        <v>220</v>
      </c>
      <c r="H50" t="s">
        <v>223</v>
      </c>
      <c r="I50" t="s">
        <v>499</v>
      </c>
      <c r="J50">
        <v>6740</v>
      </c>
      <c r="K50" t="s">
        <v>500</v>
      </c>
      <c r="L50" s="11" t="s">
        <v>1026</v>
      </c>
      <c r="M50" s="11" t="s">
        <v>1027</v>
      </c>
      <c r="N50" s="11" t="str">
        <f t="shared" si="1"/>
        <v>Arrêté ministériel POLLEC 2020_INV_5 du 02-12-2020</v>
      </c>
    </row>
    <row r="51" spans="1:14" x14ac:dyDescent="0.25">
      <c r="A51" t="s">
        <v>415</v>
      </c>
      <c r="B51" t="s">
        <v>191</v>
      </c>
      <c r="C51" s="120">
        <v>50000</v>
      </c>
      <c r="D51" t="s">
        <v>445</v>
      </c>
      <c r="E51" t="s">
        <v>446</v>
      </c>
      <c r="F51" t="s">
        <v>217</v>
      </c>
      <c r="G51" t="s">
        <v>493</v>
      </c>
      <c r="H51" t="s">
        <v>494</v>
      </c>
      <c r="I51" t="s">
        <v>501</v>
      </c>
      <c r="J51">
        <v>6637</v>
      </c>
      <c r="K51" t="s">
        <v>502</v>
      </c>
      <c r="L51" s="11" t="s">
        <v>1026</v>
      </c>
      <c r="M51" s="11" t="s">
        <v>1027</v>
      </c>
      <c r="N51" s="11" t="str">
        <f t="shared" si="1"/>
        <v>Arrêté ministériel POLLEC 2020_INV_7 du 02-12-2020</v>
      </c>
    </row>
    <row r="52" spans="1:14" x14ac:dyDescent="0.25">
      <c r="A52" t="s">
        <v>416</v>
      </c>
      <c r="B52" t="s">
        <v>192</v>
      </c>
      <c r="C52" s="120">
        <v>50000</v>
      </c>
      <c r="D52" t="s">
        <v>447</v>
      </c>
      <c r="E52" t="s">
        <v>448</v>
      </c>
      <c r="F52" t="s">
        <v>217</v>
      </c>
      <c r="G52" t="s">
        <v>343</v>
      </c>
      <c r="H52" t="s">
        <v>344</v>
      </c>
      <c r="I52" t="s">
        <v>503</v>
      </c>
      <c r="J52">
        <v>5380</v>
      </c>
      <c r="K52" t="s">
        <v>504</v>
      </c>
      <c r="L52" s="11" t="s">
        <v>1026</v>
      </c>
      <c r="M52" s="11" t="s">
        <v>1027</v>
      </c>
      <c r="N52" s="11" t="str">
        <f t="shared" si="1"/>
        <v>Arrêté ministériel POLLEC 2020_INV_8 du 02-12-2020</v>
      </c>
    </row>
    <row r="53" spans="1:14" x14ac:dyDescent="0.25">
      <c r="A53" t="s">
        <v>417</v>
      </c>
      <c r="B53" t="s">
        <v>192</v>
      </c>
      <c r="C53" s="120">
        <v>50000</v>
      </c>
      <c r="D53" t="s">
        <v>449</v>
      </c>
      <c r="E53" t="s">
        <v>450</v>
      </c>
      <c r="F53" t="s">
        <v>217</v>
      </c>
      <c r="G53" t="s">
        <v>388</v>
      </c>
      <c r="H53" t="s">
        <v>389</v>
      </c>
      <c r="I53" t="s">
        <v>505</v>
      </c>
      <c r="J53">
        <v>4190</v>
      </c>
      <c r="K53" t="s">
        <v>506</v>
      </c>
      <c r="L53" s="11" t="s">
        <v>1026</v>
      </c>
      <c r="M53" s="11" t="s">
        <v>1027</v>
      </c>
      <c r="N53" s="11" t="str">
        <f t="shared" si="1"/>
        <v>Arrêté ministériel POLLEC 2020_INV_2 du 02-12-2020</v>
      </c>
    </row>
    <row r="54" spans="1:14" x14ac:dyDescent="0.25">
      <c r="A54" t="s">
        <v>418</v>
      </c>
      <c r="B54" t="s">
        <v>191</v>
      </c>
      <c r="C54" s="120">
        <v>75000</v>
      </c>
      <c r="D54" t="s">
        <v>451</v>
      </c>
      <c r="E54" t="s">
        <v>452</v>
      </c>
      <c r="F54" t="s">
        <v>217</v>
      </c>
      <c r="G54" t="s">
        <v>493</v>
      </c>
      <c r="H54" t="s">
        <v>494</v>
      </c>
      <c r="I54" t="s">
        <v>507</v>
      </c>
      <c r="J54">
        <v>4400</v>
      </c>
      <c r="K54" t="s">
        <v>508</v>
      </c>
      <c r="L54" s="11" t="s">
        <v>1026</v>
      </c>
      <c r="M54" s="11" t="s">
        <v>1027</v>
      </c>
      <c r="N54" s="11" t="str">
        <f t="shared" si="1"/>
        <v>Arrêté ministériel POLLEC 2020_INV_7 du 02-12-2020</v>
      </c>
    </row>
    <row r="55" spans="1:14" x14ac:dyDescent="0.25">
      <c r="A55" t="s">
        <v>419</v>
      </c>
      <c r="B55" t="s">
        <v>192</v>
      </c>
      <c r="C55" s="120">
        <v>75000</v>
      </c>
      <c r="D55" t="s">
        <v>453</v>
      </c>
      <c r="E55" t="s">
        <v>454</v>
      </c>
      <c r="F55" t="s">
        <v>217</v>
      </c>
      <c r="G55" t="s">
        <v>388</v>
      </c>
      <c r="H55" t="s">
        <v>389</v>
      </c>
      <c r="I55" t="s">
        <v>509</v>
      </c>
      <c r="J55">
        <v>4620</v>
      </c>
      <c r="K55" t="s">
        <v>510</v>
      </c>
      <c r="L55" s="11" t="s">
        <v>1026</v>
      </c>
      <c r="M55" s="11" t="s">
        <v>1027</v>
      </c>
      <c r="N55" s="11" t="str">
        <f t="shared" si="1"/>
        <v>Arrêté ministériel POLLEC 2020_INV_2 du 02-12-2020</v>
      </c>
    </row>
    <row r="56" spans="1:14" x14ac:dyDescent="0.25">
      <c r="A56" t="s">
        <v>420</v>
      </c>
      <c r="B56" t="s">
        <v>191</v>
      </c>
      <c r="C56" s="120">
        <v>75000</v>
      </c>
      <c r="D56" t="s">
        <v>455</v>
      </c>
      <c r="E56" t="s">
        <v>456</v>
      </c>
      <c r="F56" t="s">
        <v>217</v>
      </c>
      <c r="G56" t="s">
        <v>388</v>
      </c>
      <c r="H56" t="s">
        <v>389</v>
      </c>
      <c r="I56" t="s">
        <v>511</v>
      </c>
      <c r="J56">
        <v>6220</v>
      </c>
      <c r="K56" t="s">
        <v>512</v>
      </c>
      <c r="L56" s="11" t="s">
        <v>1026</v>
      </c>
      <c r="M56" s="11" t="s">
        <v>1027</v>
      </c>
      <c r="N56" s="11" t="str">
        <f t="shared" si="1"/>
        <v>Arrêté ministériel POLLEC 2020_INV_2 du 02-12-2020</v>
      </c>
    </row>
    <row r="57" spans="1:14" x14ac:dyDescent="0.25">
      <c r="A57" t="s">
        <v>421</v>
      </c>
      <c r="B57" t="s">
        <v>192</v>
      </c>
      <c r="C57" s="120">
        <v>50000</v>
      </c>
      <c r="D57" t="s">
        <v>457</v>
      </c>
      <c r="E57" t="s">
        <v>458</v>
      </c>
      <c r="F57" t="s">
        <v>217</v>
      </c>
      <c r="G57" t="s">
        <v>388</v>
      </c>
      <c r="H57" t="s">
        <v>389</v>
      </c>
      <c r="I57" t="s">
        <v>513</v>
      </c>
      <c r="J57">
        <v>5150</v>
      </c>
      <c r="K57" t="s">
        <v>514</v>
      </c>
      <c r="L57" s="11" t="s">
        <v>1026</v>
      </c>
      <c r="M57" s="11" t="s">
        <v>1027</v>
      </c>
      <c r="N57" s="11" t="str">
        <f t="shared" si="1"/>
        <v>Arrêté ministériel POLLEC 2020_INV_2 du 02-12-2020</v>
      </c>
    </row>
    <row r="58" spans="1:14" x14ac:dyDescent="0.25">
      <c r="A58" t="s">
        <v>422</v>
      </c>
      <c r="B58" t="s">
        <v>191</v>
      </c>
      <c r="C58" s="120">
        <v>75000</v>
      </c>
      <c r="D58" t="s">
        <v>459</v>
      </c>
      <c r="E58" t="s">
        <v>460</v>
      </c>
      <c r="F58" t="s">
        <v>217</v>
      </c>
      <c r="G58" t="s">
        <v>388</v>
      </c>
      <c r="H58" t="s">
        <v>389</v>
      </c>
      <c r="I58" t="s">
        <v>515</v>
      </c>
      <c r="J58">
        <v>5620</v>
      </c>
      <c r="K58" t="s">
        <v>516</v>
      </c>
      <c r="L58" s="11" t="s">
        <v>1026</v>
      </c>
      <c r="M58" s="11" t="s">
        <v>1027</v>
      </c>
      <c r="N58" s="11" t="str">
        <f t="shared" si="1"/>
        <v>Arrêté ministériel POLLEC 2020_INV_2 du 02-12-2020</v>
      </c>
    </row>
    <row r="59" spans="1:14" x14ac:dyDescent="0.25">
      <c r="A59" t="s">
        <v>423</v>
      </c>
      <c r="B59" t="s">
        <v>191</v>
      </c>
      <c r="C59" s="120">
        <v>50000</v>
      </c>
      <c r="D59" t="s">
        <v>461</v>
      </c>
      <c r="E59" t="s">
        <v>462</v>
      </c>
      <c r="F59" t="s">
        <v>217</v>
      </c>
      <c r="G59" t="s">
        <v>493</v>
      </c>
      <c r="H59" t="s">
        <v>494</v>
      </c>
      <c r="I59" t="s">
        <v>517</v>
      </c>
      <c r="J59">
        <v>6820</v>
      </c>
      <c r="K59" t="s">
        <v>518</v>
      </c>
      <c r="L59" s="11" t="s">
        <v>1026</v>
      </c>
      <c r="M59" s="11" t="s">
        <v>1027</v>
      </c>
      <c r="N59" s="11" t="str">
        <f t="shared" si="1"/>
        <v>Arrêté ministériel POLLEC 2020_INV_7 du 02-12-2020</v>
      </c>
    </row>
    <row r="60" spans="1:14" x14ac:dyDescent="0.25">
      <c r="A60" t="s">
        <v>424</v>
      </c>
      <c r="B60" t="s">
        <v>191</v>
      </c>
      <c r="C60" s="120">
        <v>75000</v>
      </c>
      <c r="D60" t="s">
        <v>463</v>
      </c>
      <c r="E60" t="s">
        <v>464</v>
      </c>
      <c r="F60" t="s">
        <v>217</v>
      </c>
      <c r="G60" t="s">
        <v>388</v>
      </c>
      <c r="H60" t="s">
        <v>389</v>
      </c>
      <c r="I60" t="s">
        <v>519</v>
      </c>
      <c r="J60">
        <v>6140</v>
      </c>
      <c r="K60" t="s">
        <v>520</v>
      </c>
      <c r="L60" s="11" t="s">
        <v>1026</v>
      </c>
      <c r="M60" s="11" t="s">
        <v>1027</v>
      </c>
      <c r="N60" s="11" t="str">
        <f t="shared" si="1"/>
        <v>Arrêté ministériel POLLEC 2020_INV_2 du 02-12-2020</v>
      </c>
    </row>
    <row r="61" spans="1:14" x14ac:dyDescent="0.25">
      <c r="A61" t="s">
        <v>425</v>
      </c>
      <c r="B61" t="s">
        <v>191</v>
      </c>
      <c r="C61" s="120">
        <v>75000</v>
      </c>
      <c r="D61" t="s">
        <v>465</v>
      </c>
      <c r="E61" t="s">
        <v>466</v>
      </c>
      <c r="F61" t="s">
        <v>217</v>
      </c>
      <c r="G61" t="s">
        <v>493</v>
      </c>
      <c r="H61" t="s">
        <v>494</v>
      </c>
      <c r="I61" t="s">
        <v>521</v>
      </c>
      <c r="J61">
        <v>7080</v>
      </c>
      <c r="K61" t="s">
        <v>522</v>
      </c>
      <c r="L61" s="11" t="s">
        <v>1026</v>
      </c>
      <c r="M61" s="11" t="s">
        <v>1027</v>
      </c>
      <c r="N61" s="11" t="str">
        <f t="shared" si="1"/>
        <v>Arrêté ministériel POLLEC 2020_INV_7 du 02-12-2020</v>
      </c>
    </row>
    <row r="62" spans="1:14" x14ac:dyDescent="0.25">
      <c r="A62" t="s">
        <v>426</v>
      </c>
      <c r="B62" t="s">
        <v>191</v>
      </c>
      <c r="C62" s="120">
        <v>75000</v>
      </c>
      <c r="D62" t="s">
        <v>467</v>
      </c>
      <c r="E62" t="s">
        <v>468</v>
      </c>
      <c r="F62" t="s">
        <v>217</v>
      </c>
      <c r="G62" t="s">
        <v>388</v>
      </c>
      <c r="H62" t="s">
        <v>389</v>
      </c>
      <c r="I62" t="s">
        <v>523</v>
      </c>
      <c r="J62">
        <v>7910</v>
      </c>
      <c r="K62" t="s">
        <v>524</v>
      </c>
      <c r="L62" s="11" t="s">
        <v>1026</v>
      </c>
      <c r="M62" s="11" t="s">
        <v>1027</v>
      </c>
      <c r="N62" s="11" t="str">
        <f t="shared" si="1"/>
        <v>Arrêté ministériel POLLEC 2020_INV_2 du 02-12-2020</v>
      </c>
    </row>
    <row r="63" spans="1:14" x14ac:dyDescent="0.25">
      <c r="A63" t="s">
        <v>1033</v>
      </c>
      <c r="B63" t="s">
        <v>191</v>
      </c>
      <c r="C63" s="120">
        <v>200000</v>
      </c>
      <c r="D63" t="s">
        <v>1044</v>
      </c>
      <c r="E63" t="s">
        <v>1055</v>
      </c>
      <c r="F63" t="s">
        <v>1063</v>
      </c>
      <c r="G63" t="s">
        <v>1066</v>
      </c>
      <c r="H63" t="s">
        <v>1069</v>
      </c>
      <c r="I63" t="s">
        <v>1076</v>
      </c>
      <c r="J63">
        <v>6987</v>
      </c>
      <c r="K63" t="s">
        <v>800</v>
      </c>
      <c r="L63" s="11" t="s">
        <v>1026</v>
      </c>
      <c r="M63" s="11" t="s">
        <v>1027</v>
      </c>
      <c r="N63" s="11" t="str">
        <f t="shared" si="1"/>
        <v>Arrêté ministériel POLLEC 2020_SUPRA_INV_1 du 02-12-2020</v>
      </c>
    </row>
    <row r="64" spans="1:14" x14ac:dyDescent="0.25">
      <c r="A64" t="s">
        <v>427</v>
      </c>
      <c r="B64" t="s">
        <v>191</v>
      </c>
      <c r="C64" s="120">
        <v>75000</v>
      </c>
      <c r="D64" t="s">
        <v>469</v>
      </c>
      <c r="E64" t="s">
        <v>470</v>
      </c>
      <c r="F64" t="s">
        <v>217</v>
      </c>
      <c r="G64" t="s">
        <v>220</v>
      </c>
      <c r="H64" t="s">
        <v>223</v>
      </c>
      <c r="I64" t="s">
        <v>525</v>
      </c>
      <c r="J64">
        <v>5030</v>
      </c>
      <c r="K64" t="s">
        <v>526</v>
      </c>
      <c r="L64" s="11" t="s">
        <v>1026</v>
      </c>
      <c r="M64" s="11" t="s">
        <v>1027</v>
      </c>
      <c r="N64" s="11" t="str">
        <f t="shared" si="1"/>
        <v>Arrêté ministériel POLLEC 2020_INV_5 du 02-12-2020</v>
      </c>
    </row>
    <row r="65" spans="1:14" x14ac:dyDescent="0.25">
      <c r="A65" t="s">
        <v>428</v>
      </c>
      <c r="B65" t="s">
        <v>191</v>
      </c>
      <c r="C65" s="120">
        <v>75000</v>
      </c>
      <c r="D65" t="s">
        <v>471</v>
      </c>
      <c r="E65" t="s">
        <v>472</v>
      </c>
      <c r="F65" t="s">
        <v>217</v>
      </c>
      <c r="G65" t="s">
        <v>493</v>
      </c>
      <c r="H65" t="s">
        <v>494</v>
      </c>
      <c r="I65" t="s">
        <v>527</v>
      </c>
      <c r="J65">
        <v>1470</v>
      </c>
      <c r="K65" t="s">
        <v>528</v>
      </c>
      <c r="L65" s="11" t="s">
        <v>1026</v>
      </c>
      <c r="M65" s="11" t="s">
        <v>1027</v>
      </c>
      <c r="N65" s="11" t="str">
        <f t="shared" si="1"/>
        <v>Arrêté ministériel POLLEC 2020_INV_7 du 02-12-2020</v>
      </c>
    </row>
    <row r="66" spans="1:14" x14ac:dyDescent="0.25">
      <c r="A66" t="s">
        <v>429</v>
      </c>
      <c r="B66" t="s">
        <v>191</v>
      </c>
      <c r="C66" s="120">
        <v>75000</v>
      </c>
      <c r="D66" t="s">
        <v>473</v>
      </c>
      <c r="E66" t="s">
        <v>474</v>
      </c>
      <c r="F66" t="s">
        <v>217</v>
      </c>
      <c r="G66" t="s">
        <v>493</v>
      </c>
      <c r="H66" t="s">
        <v>494</v>
      </c>
      <c r="I66" t="s">
        <v>529</v>
      </c>
      <c r="J66">
        <v>6280</v>
      </c>
      <c r="K66" t="s">
        <v>530</v>
      </c>
      <c r="L66" s="11" t="s">
        <v>1026</v>
      </c>
      <c r="M66" s="11" t="s">
        <v>1027</v>
      </c>
      <c r="N66" s="11" t="str">
        <f t="shared" ref="N66:N97" si="2">CONCATENATE(L66,G66,M66)</f>
        <v>Arrêté ministériel POLLEC 2020_INV_7 du 02-12-2020</v>
      </c>
    </row>
    <row r="67" spans="1:14" x14ac:dyDescent="0.25">
      <c r="A67" t="s">
        <v>430</v>
      </c>
      <c r="B67" t="s">
        <v>191</v>
      </c>
      <c r="C67" s="120">
        <v>50000</v>
      </c>
      <c r="D67" t="s">
        <v>475</v>
      </c>
      <c r="E67" t="s">
        <v>476</v>
      </c>
      <c r="F67" t="s">
        <v>217</v>
      </c>
      <c r="G67" t="s">
        <v>388</v>
      </c>
      <c r="H67" t="s">
        <v>389</v>
      </c>
      <c r="I67" t="s">
        <v>531</v>
      </c>
      <c r="J67">
        <v>5340</v>
      </c>
      <c r="K67" t="s">
        <v>532</v>
      </c>
      <c r="L67" s="11" t="s">
        <v>1026</v>
      </c>
      <c r="M67" s="11" t="s">
        <v>1027</v>
      </c>
      <c r="N67" s="11" t="str">
        <f t="shared" si="2"/>
        <v>Arrêté ministériel POLLEC 2020_INV_2 du 02-12-2020</v>
      </c>
    </row>
    <row r="68" spans="1:14" x14ac:dyDescent="0.25">
      <c r="A68" t="s">
        <v>431</v>
      </c>
      <c r="B68" t="s">
        <v>191</v>
      </c>
      <c r="C68" s="120">
        <v>50000</v>
      </c>
      <c r="D68" t="s">
        <v>477</v>
      </c>
      <c r="E68" t="s">
        <v>478</v>
      </c>
      <c r="F68" t="s">
        <v>217</v>
      </c>
      <c r="G68" t="s">
        <v>388</v>
      </c>
      <c r="H68" t="s">
        <v>389</v>
      </c>
      <c r="I68" t="s">
        <v>533</v>
      </c>
      <c r="J68">
        <v>6671</v>
      </c>
      <c r="K68" t="s">
        <v>534</v>
      </c>
      <c r="L68" s="11" t="s">
        <v>1026</v>
      </c>
      <c r="M68" s="11" t="s">
        <v>1027</v>
      </c>
      <c r="N68" s="11" t="str">
        <f t="shared" si="2"/>
        <v>Arrêté ministériel POLLEC 2020_INV_2 du 02-12-2020</v>
      </c>
    </row>
    <row r="69" spans="1:14" x14ac:dyDescent="0.25">
      <c r="A69" t="s">
        <v>432</v>
      </c>
      <c r="B69" t="s">
        <v>191</v>
      </c>
      <c r="C69" s="120">
        <v>75000</v>
      </c>
      <c r="D69" t="s">
        <v>479</v>
      </c>
      <c r="E69" t="s">
        <v>480</v>
      </c>
      <c r="F69" t="s">
        <v>217</v>
      </c>
      <c r="G69" t="s">
        <v>493</v>
      </c>
      <c r="H69" t="s">
        <v>494</v>
      </c>
      <c r="I69" t="s">
        <v>535</v>
      </c>
      <c r="J69">
        <v>4460</v>
      </c>
      <c r="K69" t="s">
        <v>536</v>
      </c>
      <c r="L69" s="11" t="s">
        <v>1026</v>
      </c>
      <c r="M69" s="11" t="s">
        <v>1027</v>
      </c>
      <c r="N69" s="11" t="str">
        <f t="shared" si="2"/>
        <v>Arrêté ministériel POLLEC 2020_INV_7 du 02-12-2020</v>
      </c>
    </row>
    <row r="70" spans="1:14" x14ac:dyDescent="0.25">
      <c r="A70" t="s">
        <v>433</v>
      </c>
      <c r="B70" t="s">
        <v>191</v>
      </c>
      <c r="C70" s="120">
        <v>75000</v>
      </c>
      <c r="D70" t="s">
        <v>481</v>
      </c>
      <c r="E70" t="s">
        <v>482</v>
      </c>
      <c r="F70" t="s">
        <v>217</v>
      </c>
      <c r="G70" t="s">
        <v>493</v>
      </c>
      <c r="H70" t="s">
        <v>494</v>
      </c>
      <c r="I70" t="s">
        <v>537</v>
      </c>
      <c r="J70">
        <v>1390</v>
      </c>
      <c r="K70" t="s">
        <v>538</v>
      </c>
      <c r="L70" s="11" t="s">
        <v>1026</v>
      </c>
      <c r="M70" s="11" t="s">
        <v>1027</v>
      </c>
      <c r="N70" s="11" t="str">
        <f t="shared" si="2"/>
        <v>Arrêté ministériel POLLEC 2020_INV_7 du 02-12-2020</v>
      </c>
    </row>
    <row r="71" spans="1:14" x14ac:dyDescent="0.25">
      <c r="A71" t="s">
        <v>1031</v>
      </c>
      <c r="B71" t="s">
        <v>191</v>
      </c>
      <c r="C71" s="120">
        <v>200000</v>
      </c>
      <c r="D71" t="s">
        <v>1042</v>
      </c>
      <c r="E71" t="s">
        <v>1053</v>
      </c>
      <c r="F71" t="s">
        <v>1063</v>
      </c>
      <c r="G71" t="s">
        <v>1066</v>
      </c>
      <c r="H71" t="s">
        <v>1069</v>
      </c>
      <c r="I71" t="s">
        <v>1074</v>
      </c>
      <c r="J71">
        <v>4577</v>
      </c>
      <c r="K71" t="s">
        <v>660</v>
      </c>
      <c r="L71" s="11" t="s">
        <v>1026</v>
      </c>
      <c r="M71" s="11" t="s">
        <v>1027</v>
      </c>
      <c r="N71" s="11" t="str">
        <f t="shared" si="2"/>
        <v>Arrêté ministériel POLLEC 2020_SUPRA_INV_1 du 02-12-2020</v>
      </c>
    </row>
    <row r="72" spans="1:14" x14ac:dyDescent="0.25">
      <c r="A72" t="s">
        <v>1032</v>
      </c>
      <c r="B72" t="s">
        <v>191</v>
      </c>
      <c r="C72" s="120">
        <v>200000</v>
      </c>
      <c r="D72" t="s">
        <v>1043</v>
      </c>
      <c r="E72" t="s">
        <v>1054</v>
      </c>
      <c r="F72" t="s">
        <v>1063</v>
      </c>
      <c r="G72" t="s">
        <v>1066</v>
      </c>
      <c r="H72" t="s">
        <v>1069</v>
      </c>
      <c r="I72" t="s">
        <v>1075</v>
      </c>
      <c r="J72">
        <v>5340</v>
      </c>
      <c r="K72" t="s">
        <v>430</v>
      </c>
      <c r="L72" s="11" t="s">
        <v>1026</v>
      </c>
      <c r="M72" s="11" t="s">
        <v>1027</v>
      </c>
      <c r="N72" s="11" t="str">
        <f t="shared" si="2"/>
        <v>Arrêté ministériel POLLEC 2020_SUPRA_INV_1 du 02-12-2020</v>
      </c>
    </row>
    <row r="73" spans="1:14" x14ac:dyDescent="0.25">
      <c r="A73" t="s">
        <v>434</v>
      </c>
      <c r="B73" t="s">
        <v>191</v>
      </c>
      <c r="C73" s="120">
        <v>50000</v>
      </c>
      <c r="D73" t="s">
        <v>483</v>
      </c>
      <c r="E73" t="s">
        <v>484</v>
      </c>
      <c r="F73" t="s">
        <v>217</v>
      </c>
      <c r="G73" t="s">
        <v>493</v>
      </c>
      <c r="H73" t="s">
        <v>494</v>
      </c>
      <c r="I73" t="s">
        <v>539</v>
      </c>
      <c r="J73">
        <v>6720</v>
      </c>
      <c r="K73" t="s">
        <v>540</v>
      </c>
      <c r="L73" s="11" t="s">
        <v>1026</v>
      </c>
      <c r="M73" s="11" t="s">
        <v>1027</v>
      </c>
      <c r="N73" s="11" t="str">
        <f t="shared" si="2"/>
        <v>Arrêté ministériel POLLEC 2020_INV_7 du 02-12-2020</v>
      </c>
    </row>
    <row r="74" spans="1:14" x14ac:dyDescent="0.25">
      <c r="A74" t="s">
        <v>435</v>
      </c>
      <c r="B74" t="s">
        <v>191</v>
      </c>
      <c r="C74" s="120">
        <v>50000</v>
      </c>
      <c r="D74" t="s">
        <v>485</v>
      </c>
      <c r="E74" t="s">
        <v>486</v>
      </c>
      <c r="F74" t="s">
        <v>217</v>
      </c>
      <c r="G74" t="s">
        <v>388</v>
      </c>
      <c r="H74" t="s">
        <v>389</v>
      </c>
      <c r="I74" t="s">
        <v>541</v>
      </c>
      <c r="J74">
        <v>4180</v>
      </c>
      <c r="K74" t="s">
        <v>542</v>
      </c>
      <c r="L74" s="11" t="s">
        <v>1026</v>
      </c>
      <c r="M74" s="11" t="s">
        <v>1027</v>
      </c>
      <c r="N74" s="11" t="str">
        <f t="shared" si="2"/>
        <v>Arrêté ministériel POLLEC 2020_INV_2 du 02-12-2020</v>
      </c>
    </row>
    <row r="75" spans="1:14" x14ac:dyDescent="0.25">
      <c r="A75" t="s">
        <v>436</v>
      </c>
      <c r="B75" t="s">
        <v>192</v>
      </c>
      <c r="C75" s="120">
        <v>75000</v>
      </c>
      <c r="D75" t="s">
        <v>487</v>
      </c>
      <c r="E75" t="s">
        <v>488</v>
      </c>
      <c r="F75" t="s">
        <v>217</v>
      </c>
      <c r="G75" t="s">
        <v>220</v>
      </c>
      <c r="H75" t="s">
        <v>223</v>
      </c>
      <c r="I75" t="s">
        <v>543</v>
      </c>
      <c r="J75">
        <v>4280</v>
      </c>
      <c r="K75" t="s">
        <v>544</v>
      </c>
      <c r="L75" s="11" t="s">
        <v>1026</v>
      </c>
      <c r="M75" s="11" t="s">
        <v>1027</v>
      </c>
      <c r="N75" s="11" t="str">
        <f t="shared" si="2"/>
        <v>Arrêté ministériel POLLEC 2020_INV_5 du 02-12-2020</v>
      </c>
    </row>
    <row r="76" spans="1:14" x14ac:dyDescent="0.25">
      <c r="A76" t="s">
        <v>437</v>
      </c>
      <c r="B76" t="s">
        <v>191</v>
      </c>
      <c r="C76" s="120">
        <v>50000</v>
      </c>
      <c r="D76" t="s">
        <v>489</v>
      </c>
      <c r="E76" t="s">
        <v>490</v>
      </c>
      <c r="F76" t="s">
        <v>217</v>
      </c>
      <c r="G76" t="s">
        <v>388</v>
      </c>
      <c r="H76" t="s">
        <v>389</v>
      </c>
      <c r="I76" t="s">
        <v>545</v>
      </c>
      <c r="J76">
        <v>5540</v>
      </c>
      <c r="K76" t="s">
        <v>546</v>
      </c>
      <c r="L76" s="11" t="s">
        <v>1026</v>
      </c>
      <c r="M76" s="11" t="s">
        <v>1027</v>
      </c>
      <c r="N76" s="11" t="str">
        <f t="shared" si="2"/>
        <v>Arrêté ministériel POLLEC 2020_INV_2 du 02-12-2020</v>
      </c>
    </row>
    <row r="77" spans="1:14" x14ac:dyDescent="0.25">
      <c r="A77" t="s">
        <v>438</v>
      </c>
      <c r="B77" t="s">
        <v>191</v>
      </c>
      <c r="C77" s="120">
        <v>50000</v>
      </c>
      <c r="D77" t="s">
        <v>491</v>
      </c>
      <c r="E77" t="s">
        <v>492</v>
      </c>
      <c r="F77" t="s">
        <v>217</v>
      </c>
      <c r="G77" t="s">
        <v>388</v>
      </c>
      <c r="H77" t="s">
        <v>389</v>
      </c>
      <c r="I77" t="s">
        <v>547</v>
      </c>
      <c r="J77">
        <v>5370</v>
      </c>
      <c r="K77" t="s">
        <v>548</v>
      </c>
      <c r="L77" s="11" t="s">
        <v>1026</v>
      </c>
      <c r="M77" s="11" t="s">
        <v>1027</v>
      </c>
      <c r="N77" s="11" t="str">
        <f t="shared" si="2"/>
        <v>Arrêté ministériel POLLEC 2020_INV_2 du 02-12-2020</v>
      </c>
    </row>
    <row r="78" spans="1:14" x14ac:dyDescent="0.25">
      <c r="A78" t="s">
        <v>549</v>
      </c>
      <c r="B78" t="s">
        <v>191</v>
      </c>
      <c r="C78" s="120">
        <v>50000</v>
      </c>
      <c r="D78" t="s">
        <v>550</v>
      </c>
      <c r="E78" t="s">
        <v>551</v>
      </c>
      <c r="F78" t="s">
        <v>217</v>
      </c>
      <c r="G78" t="s">
        <v>388</v>
      </c>
      <c r="H78" t="s">
        <v>389</v>
      </c>
      <c r="I78" t="s">
        <v>552</v>
      </c>
      <c r="J78">
        <v>6887</v>
      </c>
      <c r="K78" t="s">
        <v>553</v>
      </c>
      <c r="L78" s="11" t="s">
        <v>1026</v>
      </c>
      <c r="M78" s="11" t="s">
        <v>1027</v>
      </c>
      <c r="N78" s="11" t="str">
        <f t="shared" si="2"/>
        <v>Arrêté ministériel POLLEC 2020_INV_2 du 02-12-2020</v>
      </c>
    </row>
    <row r="79" spans="1:14" x14ac:dyDescent="0.25">
      <c r="A79" t="s">
        <v>554</v>
      </c>
      <c r="B79" t="s">
        <v>191</v>
      </c>
      <c r="C79" s="120">
        <v>75000</v>
      </c>
      <c r="D79" t="s">
        <v>573</v>
      </c>
      <c r="E79" t="s">
        <v>574</v>
      </c>
      <c r="F79" t="s">
        <v>217</v>
      </c>
      <c r="G79" t="s">
        <v>493</v>
      </c>
      <c r="H79" t="s">
        <v>494</v>
      </c>
      <c r="I79" t="s">
        <v>615</v>
      </c>
      <c r="J79">
        <v>4650</v>
      </c>
      <c r="K79" t="s">
        <v>616</v>
      </c>
      <c r="L79" s="11" t="s">
        <v>1026</v>
      </c>
      <c r="M79" s="11" t="s">
        <v>1027</v>
      </c>
      <c r="N79" s="11" t="str">
        <f t="shared" si="2"/>
        <v>Arrêté ministériel POLLEC 2020_INV_7 du 02-12-2020</v>
      </c>
    </row>
    <row r="80" spans="1:14" x14ac:dyDescent="0.25">
      <c r="A80" t="s">
        <v>555</v>
      </c>
      <c r="B80" t="s">
        <v>191</v>
      </c>
      <c r="C80" s="120">
        <v>50000</v>
      </c>
      <c r="D80" t="s">
        <v>575</v>
      </c>
      <c r="E80" t="s">
        <v>576</v>
      </c>
      <c r="F80" t="s">
        <v>217</v>
      </c>
      <c r="G80" t="s">
        <v>493</v>
      </c>
      <c r="H80" t="s">
        <v>494</v>
      </c>
      <c r="I80" t="s">
        <v>617</v>
      </c>
      <c r="J80">
        <v>6990</v>
      </c>
      <c r="K80" t="s">
        <v>618</v>
      </c>
      <c r="L80" s="11" t="s">
        <v>1026</v>
      </c>
      <c r="M80" s="11" t="s">
        <v>1027</v>
      </c>
      <c r="N80" s="11" t="str">
        <f t="shared" si="2"/>
        <v>Arrêté ministériel POLLEC 2020_INV_7 du 02-12-2020</v>
      </c>
    </row>
    <row r="81" spans="1:14" x14ac:dyDescent="0.25">
      <c r="A81" t="s">
        <v>556</v>
      </c>
      <c r="B81" t="s">
        <v>191</v>
      </c>
      <c r="C81" s="120">
        <v>50000</v>
      </c>
      <c r="D81" t="s">
        <v>577</v>
      </c>
      <c r="E81" t="s">
        <v>578</v>
      </c>
      <c r="F81" t="s">
        <v>217</v>
      </c>
      <c r="G81" t="s">
        <v>493</v>
      </c>
      <c r="H81" t="s">
        <v>494</v>
      </c>
      <c r="I81" t="s">
        <v>619</v>
      </c>
      <c r="J81">
        <v>6660</v>
      </c>
      <c r="K81" t="s">
        <v>620</v>
      </c>
      <c r="L81" s="11" t="s">
        <v>1026</v>
      </c>
      <c r="M81" s="11" t="s">
        <v>1027</v>
      </c>
      <c r="N81" s="11" t="str">
        <f t="shared" si="2"/>
        <v>Arrêté ministériel POLLEC 2020_INV_7 du 02-12-2020</v>
      </c>
    </row>
    <row r="82" spans="1:14" x14ac:dyDescent="0.25">
      <c r="A82" t="s">
        <v>557</v>
      </c>
      <c r="B82" t="s">
        <v>192</v>
      </c>
      <c r="C82" s="120">
        <v>75000</v>
      </c>
      <c r="D82" t="s">
        <v>579</v>
      </c>
      <c r="E82" t="s">
        <v>580</v>
      </c>
      <c r="F82" t="s">
        <v>217</v>
      </c>
      <c r="G82" t="s">
        <v>388</v>
      </c>
      <c r="H82" t="s">
        <v>389</v>
      </c>
      <c r="I82" t="s">
        <v>621</v>
      </c>
      <c r="J82">
        <v>4500</v>
      </c>
      <c r="K82" t="s">
        <v>622</v>
      </c>
      <c r="L82" s="11" t="s">
        <v>1026</v>
      </c>
      <c r="M82" s="11" t="s">
        <v>1027</v>
      </c>
      <c r="N82" s="11" t="str">
        <f t="shared" si="2"/>
        <v>Arrêté ministériel POLLEC 2020_INV_2 du 02-12-2020</v>
      </c>
    </row>
    <row r="83" spans="1:14" x14ac:dyDescent="0.25">
      <c r="A83" t="s">
        <v>1034</v>
      </c>
      <c r="B83" t="s">
        <v>191</v>
      </c>
      <c r="C83" s="120">
        <v>200000</v>
      </c>
      <c r="D83" t="s">
        <v>1045</v>
      </c>
      <c r="E83" t="s">
        <v>1056</v>
      </c>
      <c r="F83" t="s">
        <v>1062</v>
      </c>
      <c r="G83" t="s">
        <v>1065</v>
      </c>
      <c r="H83" t="s">
        <v>1068</v>
      </c>
      <c r="I83" t="s">
        <v>1077</v>
      </c>
      <c r="J83">
        <v>7500</v>
      </c>
      <c r="K83" t="s">
        <v>913</v>
      </c>
      <c r="L83" s="11" t="s">
        <v>1026</v>
      </c>
      <c r="M83" s="11" t="s">
        <v>1027</v>
      </c>
      <c r="N83" s="11" t="str">
        <f t="shared" si="2"/>
        <v>Arrêté ministériel POLLEC 2020_SUPRA_INV_2 du 02-12-2020</v>
      </c>
    </row>
    <row r="84" spans="1:14" x14ac:dyDescent="0.25">
      <c r="A84" t="s">
        <v>1035</v>
      </c>
      <c r="B84" t="s">
        <v>191</v>
      </c>
      <c r="C84" s="120">
        <v>200000</v>
      </c>
      <c r="D84" t="s">
        <v>1046</v>
      </c>
      <c r="E84" t="s">
        <v>1057</v>
      </c>
      <c r="F84" t="s">
        <v>1062</v>
      </c>
      <c r="G84" t="s">
        <v>1065</v>
      </c>
      <c r="H84" t="s">
        <v>1068</v>
      </c>
      <c r="I84" t="s">
        <v>1078</v>
      </c>
      <c r="J84">
        <v>1400</v>
      </c>
      <c r="K84" t="s">
        <v>759</v>
      </c>
      <c r="L84" s="11" t="s">
        <v>1026</v>
      </c>
      <c r="M84" s="11" t="s">
        <v>1027</v>
      </c>
      <c r="N84" s="11" t="str">
        <f t="shared" si="2"/>
        <v>Arrêté ministériel POLLEC 2020_SUPRA_INV_2 du 02-12-2020</v>
      </c>
    </row>
    <row r="85" spans="1:14" x14ac:dyDescent="0.25">
      <c r="A85" t="s">
        <v>558</v>
      </c>
      <c r="B85" t="s">
        <v>191</v>
      </c>
      <c r="C85" s="120">
        <v>50000</v>
      </c>
      <c r="D85" t="s">
        <v>581</v>
      </c>
      <c r="E85" t="s">
        <v>582</v>
      </c>
      <c r="F85" t="s">
        <v>217</v>
      </c>
      <c r="G85" t="s">
        <v>388</v>
      </c>
      <c r="H85" t="s">
        <v>389</v>
      </c>
      <c r="I85" t="s">
        <v>623</v>
      </c>
      <c r="J85">
        <v>1460</v>
      </c>
      <c r="K85" t="s">
        <v>624</v>
      </c>
      <c r="L85" s="11" t="s">
        <v>1026</v>
      </c>
      <c r="M85" s="11" t="s">
        <v>1027</v>
      </c>
      <c r="N85" s="11" t="str">
        <f t="shared" si="2"/>
        <v>Arrêté ministériel POLLEC 2020_INV_2 du 02-12-2020</v>
      </c>
    </row>
    <row r="86" spans="1:14" x14ac:dyDescent="0.25">
      <c r="A86" t="s">
        <v>559</v>
      </c>
      <c r="B86" t="s">
        <v>191</v>
      </c>
      <c r="C86" s="120">
        <v>50000</v>
      </c>
      <c r="D86" t="s">
        <v>583</v>
      </c>
      <c r="E86" t="s">
        <v>584</v>
      </c>
      <c r="F86" t="s">
        <v>217</v>
      </c>
      <c r="G86" t="s">
        <v>388</v>
      </c>
      <c r="H86" t="s">
        <v>389</v>
      </c>
      <c r="I86" t="s">
        <v>625</v>
      </c>
      <c r="J86">
        <v>4845</v>
      </c>
      <c r="K86" t="s">
        <v>626</v>
      </c>
      <c r="L86" s="11" t="s">
        <v>1026</v>
      </c>
      <c r="M86" s="11" t="s">
        <v>1027</v>
      </c>
      <c r="N86" s="11" t="str">
        <f t="shared" si="2"/>
        <v>Arrêté ministériel POLLEC 2020_INV_2 du 02-12-2020</v>
      </c>
    </row>
    <row r="87" spans="1:14" x14ac:dyDescent="0.25">
      <c r="A87" t="s">
        <v>560</v>
      </c>
      <c r="B87" t="s">
        <v>191</v>
      </c>
      <c r="C87" s="120">
        <v>75000</v>
      </c>
      <c r="D87" t="s">
        <v>585</v>
      </c>
      <c r="E87" t="s">
        <v>586</v>
      </c>
      <c r="F87" t="s">
        <v>217</v>
      </c>
      <c r="G87" t="s">
        <v>493</v>
      </c>
      <c r="H87" t="s">
        <v>494</v>
      </c>
      <c r="I87" t="s">
        <v>627</v>
      </c>
      <c r="J87">
        <v>1370</v>
      </c>
      <c r="K87" t="s">
        <v>628</v>
      </c>
      <c r="L87" s="11" t="s">
        <v>1026</v>
      </c>
      <c r="M87" s="11" t="s">
        <v>1027</v>
      </c>
      <c r="N87" s="11" t="str">
        <f t="shared" si="2"/>
        <v>Arrêté ministériel POLLEC 2020_INV_7 du 02-12-2020</v>
      </c>
    </row>
    <row r="88" spans="1:14" x14ac:dyDescent="0.25">
      <c r="A88" t="s">
        <v>561</v>
      </c>
      <c r="B88" t="s">
        <v>191</v>
      </c>
      <c r="C88" s="120">
        <v>50000</v>
      </c>
      <c r="D88" t="s">
        <v>587</v>
      </c>
      <c r="E88" t="s">
        <v>588</v>
      </c>
      <c r="F88" t="s">
        <v>217</v>
      </c>
      <c r="G88" t="s">
        <v>388</v>
      </c>
      <c r="H88" t="s">
        <v>389</v>
      </c>
      <c r="I88" t="s">
        <v>629</v>
      </c>
      <c r="J88">
        <v>5080</v>
      </c>
      <c r="K88" t="s">
        <v>630</v>
      </c>
      <c r="L88" s="11" t="s">
        <v>1026</v>
      </c>
      <c r="M88" s="11" t="s">
        <v>1027</v>
      </c>
      <c r="N88" s="11" t="str">
        <f t="shared" si="2"/>
        <v>Arrêté ministériel POLLEC 2020_INV_2 du 02-12-2020</v>
      </c>
    </row>
    <row r="89" spans="1:14" x14ac:dyDescent="0.25">
      <c r="A89" t="s">
        <v>562</v>
      </c>
      <c r="B89" t="s">
        <v>191</v>
      </c>
      <c r="C89" s="120">
        <v>50000</v>
      </c>
      <c r="D89" t="s">
        <v>589</v>
      </c>
      <c r="E89" t="s">
        <v>590</v>
      </c>
      <c r="F89" t="s">
        <v>217</v>
      </c>
      <c r="G89" t="s">
        <v>611</v>
      </c>
      <c r="H89" t="s">
        <v>613</v>
      </c>
      <c r="I89" t="s">
        <v>631</v>
      </c>
      <c r="J89">
        <v>1310</v>
      </c>
      <c r="K89" t="s">
        <v>632</v>
      </c>
      <c r="L89" s="11" t="s">
        <v>1026</v>
      </c>
      <c r="M89" s="11" t="s">
        <v>1027</v>
      </c>
      <c r="N89" s="11" t="str">
        <f t="shared" si="2"/>
        <v>Arrêté ministériel POLLEC 2020_INV_3 du 02-12-2020</v>
      </c>
    </row>
    <row r="90" spans="1:14" x14ac:dyDescent="0.25">
      <c r="A90" t="s">
        <v>563</v>
      </c>
      <c r="B90" t="s">
        <v>191</v>
      </c>
      <c r="C90" s="120">
        <v>110000</v>
      </c>
      <c r="D90" t="s">
        <v>591</v>
      </c>
      <c r="E90" t="s">
        <v>592</v>
      </c>
      <c r="F90" t="s">
        <v>217</v>
      </c>
      <c r="G90" t="s">
        <v>611</v>
      </c>
      <c r="H90" t="s">
        <v>613</v>
      </c>
      <c r="I90" t="s">
        <v>633</v>
      </c>
      <c r="J90">
        <v>7100</v>
      </c>
      <c r="K90" t="s">
        <v>634</v>
      </c>
      <c r="L90" s="11" t="s">
        <v>1026</v>
      </c>
      <c r="M90" s="11" t="s">
        <v>1027</v>
      </c>
      <c r="N90" s="11" t="str">
        <f t="shared" si="2"/>
        <v>Arrêté ministériel POLLEC 2020_INV_3 du 02-12-2020</v>
      </c>
    </row>
    <row r="91" spans="1:14" x14ac:dyDescent="0.25">
      <c r="A91" t="s">
        <v>564</v>
      </c>
      <c r="B91" t="s">
        <v>191</v>
      </c>
      <c r="C91" s="120">
        <v>50000</v>
      </c>
      <c r="D91" t="s">
        <v>593</v>
      </c>
      <c r="E91" t="s">
        <v>594</v>
      </c>
      <c r="F91" t="s">
        <v>217</v>
      </c>
      <c r="G91" t="s">
        <v>493</v>
      </c>
      <c r="H91" t="s">
        <v>494</v>
      </c>
      <c r="I91" t="s">
        <v>635</v>
      </c>
      <c r="J91">
        <v>6980</v>
      </c>
      <c r="K91" t="s">
        <v>636</v>
      </c>
      <c r="L91" s="11" t="s">
        <v>1026</v>
      </c>
      <c r="M91" s="11" t="s">
        <v>1027</v>
      </c>
      <c r="N91" s="11" t="str">
        <f t="shared" si="2"/>
        <v>Arrêté ministériel POLLEC 2020_INV_7 du 02-12-2020</v>
      </c>
    </row>
    <row r="92" spans="1:14" x14ac:dyDescent="0.25">
      <c r="A92" t="s">
        <v>565</v>
      </c>
      <c r="B92" t="s">
        <v>191</v>
      </c>
      <c r="C92" s="120">
        <v>75000</v>
      </c>
      <c r="D92" t="s">
        <v>595</v>
      </c>
      <c r="E92" t="s">
        <v>596</v>
      </c>
      <c r="F92" t="s">
        <v>217</v>
      </c>
      <c r="G92" t="s">
        <v>493</v>
      </c>
      <c r="H92" t="s">
        <v>494</v>
      </c>
      <c r="I92" t="s">
        <v>637</v>
      </c>
      <c r="J92">
        <v>1380</v>
      </c>
      <c r="K92" t="s">
        <v>638</v>
      </c>
      <c r="L92" s="11" t="s">
        <v>1026</v>
      </c>
      <c r="M92" s="11" t="s">
        <v>1027</v>
      </c>
      <c r="N92" s="11" t="str">
        <f t="shared" si="2"/>
        <v>Arrêté ministériel POLLEC 2020_INV_7 du 02-12-2020</v>
      </c>
    </row>
    <row r="93" spans="1:14" x14ac:dyDescent="0.25">
      <c r="A93" t="s">
        <v>566</v>
      </c>
      <c r="B93" t="s">
        <v>192</v>
      </c>
      <c r="C93" s="120">
        <v>50000</v>
      </c>
      <c r="D93" t="s">
        <v>597</v>
      </c>
      <c r="E93" t="s">
        <v>598</v>
      </c>
      <c r="F93" t="s">
        <v>217</v>
      </c>
      <c r="G93" t="s">
        <v>612</v>
      </c>
      <c r="H93" t="s">
        <v>614</v>
      </c>
      <c r="I93" t="s">
        <v>639</v>
      </c>
      <c r="J93">
        <v>6860</v>
      </c>
      <c r="K93" t="s">
        <v>640</v>
      </c>
      <c r="L93" s="11" t="s">
        <v>1026</v>
      </c>
      <c r="M93" s="11" t="s">
        <v>1027</v>
      </c>
      <c r="N93" s="11" t="str">
        <f t="shared" si="2"/>
        <v>Arrêté ministériel POLLEC 2020_INV_9 du 02-12-2020</v>
      </c>
    </row>
    <row r="94" spans="1:14" x14ac:dyDescent="0.25">
      <c r="A94" t="s">
        <v>567</v>
      </c>
      <c r="B94" t="s">
        <v>191</v>
      </c>
      <c r="C94" s="120">
        <v>50000</v>
      </c>
      <c r="D94" t="s">
        <v>599</v>
      </c>
      <c r="E94" t="s">
        <v>600</v>
      </c>
      <c r="F94" t="s">
        <v>217</v>
      </c>
      <c r="G94" t="s">
        <v>218</v>
      </c>
      <c r="H94" t="s">
        <v>221</v>
      </c>
      <c r="I94" t="s">
        <v>641</v>
      </c>
      <c r="J94">
        <v>7870</v>
      </c>
      <c r="K94" t="s">
        <v>642</v>
      </c>
      <c r="L94" s="11" t="s">
        <v>1026</v>
      </c>
      <c r="M94" s="11" t="s">
        <v>1027</v>
      </c>
      <c r="N94" s="11" t="str">
        <f t="shared" si="2"/>
        <v>Arrêté ministériel POLLEC 2020_INV_6 du 02-12-2020</v>
      </c>
    </row>
    <row r="95" spans="1:14" x14ac:dyDescent="0.25">
      <c r="A95" t="s">
        <v>568</v>
      </c>
      <c r="B95" t="s">
        <v>191</v>
      </c>
      <c r="C95" s="120">
        <v>50000</v>
      </c>
      <c r="D95" t="s">
        <v>601</v>
      </c>
      <c r="E95" t="s">
        <v>602</v>
      </c>
      <c r="F95" t="s">
        <v>217</v>
      </c>
      <c r="G95" t="s">
        <v>493</v>
      </c>
      <c r="H95" t="s">
        <v>494</v>
      </c>
      <c r="I95" t="s">
        <v>643</v>
      </c>
      <c r="J95">
        <v>6210</v>
      </c>
      <c r="K95" t="s">
        <v>644</v>
      </c>
      <c r="L95" s="11" t="s">
        <v>1026</v>
      </c>
      <c r="M95" s="11" t="s">
        <v>1027</v>
      </c>
      <c r="N95" s="11" t="str">
        <f t="shared" si="2"/>
        <v>Arrêté ministériel POLLEC 2020_INV_7 du 02-12-2020</v>
      </c>
    </row>
    <row r="96" spans="1:14" x14ac:dyDescent="0.25">
      <c r="A96" t="s">
        <v>569</v>
      </c>
      <c r="B96" t="s">
        <v>191</v>
      </c>
      <c r="C96" s="120">
        <v>75000</v>
      </c>
      <c r="D96" t="s">
        <v>603</v>
      </c>
      <c r="E96" t="s">
        <v>604</v>
      </c>
      <c r="F96" t="s">
        <v>217</v>
      </c>
      <c r="G96" t="s">
        <v>493</v>
      </c>
      <c r="H96" t="s">
        <v>494</v>
      </c>
      <c r="I96" t="s">
        <v>645</v>
      </c>
      <c r="J96">
        <v>7860</v>
      </c>
      <c r="K96" t="s">
        <v>646</v>
      </c>
      <c r="L96" s="11" t="s">
        <v>1026</v>
      </c>
      <c r="M96" s="11" t="s">
        <v>1027</v>
      </c>
      <c r="N96" s="11" t="str">
        <f t="shared" si="2"/>
        <v>Arrêté ministériel POLLEC 2020_INV_7 du 02-12-2020</v>
      </c>
    </row>
    <row r="97" spans="1:14" x14ac:dyDescent="0.25">
      <c r="A97" t="s">
        <v>570</v>
      </c>
      <c r="B97" t="s">
        <v>191</v>
      </c>
      <c r="C97" s="120">
        <v>50000</v>
      </c>
      <c r="D97" t="s">
        <v>605</v>
      </c>
      <c r="E97" t="s">
        <v>606</v>
      </c>
      <c r="F97" t="s">
        <v>217</v>
      </c>
      <c r="G97" t="s">
        <v>493</v>
      </c>
      <c r="H97" t="s">
        <v>494</v>
      </c>
      <c r="I97" t="s">
        <v>647</v>
      </c>
      <c r="J97">
        <v>6890</v>
      </c>
      <c r="K97" t="s">
        <v>648</v>
      </c>
      <c r="L97" s="11" t="s">
        <v>1026</v>
      </c>
      <c r="M97" s="11" t="s">
        <v>1027</v>
      </c>
      <c r="N97" s="11" t="str">
        <f t="shared" si="2"/>
        <v>Arrêté ministériel POLLEC 2020_INV_7 du 02-12-2020</v>
      </c>
    </row>
    <row r="98" spans="1:14" x14ac:dyDescent="0.25">
      <c r="A98" t="s">
        <v>571</v>
      </c>
      <c r="B98" t="s">
        <v>191</v>
      </c>
      <c r="C98" s="120">
        <v>75000</v>
      </c>
      <c r="D98" t="s">
        <v>607</v>
      </c>
      <c r="E98" t="s">
        <v>608</v>
      </c>
      <c r="F98" t="s">
        <v>217</v>
      </c>
      <c r="G98" t="s">
        <v>611</v>
      </c>
      <c r="H98" t="s">
        <v>613</v>
      </c>
      <c r="I98" t="s">
        <v>649</v>
      </c>
      <c r="J98">
        <v>6800</v>
      </c>
      <c r="K98" t="s">
        <v>650</v>
      </c>
      <c r="L98" s="11" t="s">
        <v>1026</v>
      </c>
      <c r="M98" s="11" t="s">
        <v>1027</v>
      </c>
      <c r="N98" s="11" t="str">
        <f t="shared" ref="N98:N129" si="3">CONCATENATE(L98,G98,M98)</f>
        <v>Arrêté ministériel POLLEC 2020_INV_3 du 02-12-2020</v>
      </c>
    </row>
    <row r="99" spans="1:14" x14ac:dyDescent="0.25">
      <c r="A99" t="s">
        <v>572</v>
      </c>
      <c r="B99" t="s">
        <v>191</v>
      </c>
      <c r="C99" s="120">
        <v>200000</v>
      </c>
      <c r="D99" t="s">
        <v>609</v>
      </c>
      <c r="E99" t="s">
        <v>610</v>
      </c>
      <c r="F99" t="s">
        <v>217</v>
      </c>
      <c r="G99" t="s">
        <v>220</v>
      </c>
      <c r="H99" t="s">
        <v>223</v>
      </c>
      <c r="I99" t="s">
        <v>651</v>
      </c>
      <c r="J99">
        <v>4000</v>
      </c>
      <c r="K99" t="s">
        <v>652</v>
      </c>
      <c r="L99" s="11" t="s">
        <v>1026</v>
      </c>
      <c r="M99" s="11" t="s">
        <v>1027</v>
      </c>
      <c r="N99" s="11" t="str">
        <f t="shared" si="3"/>
        <v>Arrêté ministériel POLLEC 2020_INV_5 du 02-12-2020</v>
      </c>
    </row>
    <row r="100" spans="1:14" x14ac:dyDescent="0.25">
      <c r="A100" t="s">
        <v>653</v>
      </c>
      <c r="B100" t="s">
        <v>191</v>
      </c>
      <c r="C100" s="120">
        <v>75000</v>
      </c>
      <c r="D100" t="s">
        <v>663</v>
      </c>
      <c r="E100" t="s">
        <v>664</v>
      </c>
      <c r="F100" t="s">
        <v>217</v>
      </c>
      <c r="G100" t="s">
        <v>220</v>
      </c>
      <c r="H100" t="s">
        <v>223</v>
      </c>
      <c r="I100" t="s">
        <v>683</v>
      </c>
      <c r="J100">
        <v>4960</v>
      </c>
      <c r="K100" t="s">
        <v>684</v>
      </c>
      <c r="L100" s="11" t="s">
        <v>1026</v>
      </c>
      <c r="M100" s="11" t="s">
        <v>1027</v>
      </c>
      <c r="N100" s="11" t="str">
        <f t="shared" si="3"/>
        <v>Arrêté ministériel POLLEC 2020_INV_5 du 02-12-2020</v>
      </c>
    </row>
    <row r="101" spans="1:14" x14ac:dyDescent="0.25">
      <c r="A101" t="s">
        <v>654</v>
      </c>
      <c r="B101" t="s">
        <v>192</v>
      </c>
      <c r="C101" s="120">
        <v>50000</v>
      </c>
      <c r="D101" t="s">
        <v>665</v>
      </c>
      <c r="E101" t="s">
        <v>666</v>
      </c>
      <c r="F101" t="s">
        <v>217</v>
      </c>
      <c r="G101" t="s">
        <v>611</v>
      </c>
      <c r="H101" t="s">
        <v>613</v>
      </c>
      <c r="I101" t="s">
        <v>685</v>
      </c>
      <c r="J101">
        <v>6960</v>
      </c>
      <c r="K101" t="s">
        <v>686</v>
      </c>
      <c r="L101" s="11" t="s">
        <v>1026</v>
      </c>
      <c r="M101" s="11" t="s">
        <v>1027</v>
      </c>
      <c r="N101" s="11" t="str">
        <f t="shared" si="3"/>
        <v>Arrêté ministériel POLLEC 2020_INV_3 du 02-12-2020</v>
      </c>
    </row>
    <row r="102" spans="1:14" x14ac:dyDescent="0.25">
      <c r="A102" t="s">
        <v>655</v>
      </c>
      <c r="B102" t="s">
        <v>192</v>
      </c>
      <c r="C102" s="120">
        <v>75000</v>
      </c>
      <c r="D102" t="s">
        <v>667</v>
      </c>
      <c r="E102" t="s">
        <v>668</v>
      </c>
      <c r="F102" t="s">
        <v>217</v>
      </c>
      <c r="G102" t="s">
        <v>612</v>
      </c>
      <c r="H102" t="s">
        <v>614</v>
      </c>
      <c r="I102" t="s">
        <v>687</v>
      </c>
      <c r="J102">
        <v>6900</v>
      </c>
      <c r="K102" t="s">
        <v>688</v>
      </c>
      <c r="L102" s="11" t="s">
        <v>1026</v>
      </c>
      <c r="M102" s="11" t="s">
        <v>1027</v>
      </c>
      <c r="N102" s="11" t="str">
        <f t="shared" si="3"/>
        <v>Arrêté ministériel POLLEC 2020_INV_9 du 02-12-2020</v>
      </c>
    </row>
    <row r="103" spans="1:14" x14ac:dyDescent="0.25">
      <c r="A103" t="s">
        <v>656</v>
      </c>
      <c r="B103" t="s">
        <v>192</v>
      </c>
      <c r="C103" s="120">
        <v>50000</v>
      </c>
      <c r="D103" t="s">
        <v>669</v>
      </c>
      <c r="E103" t="s">
        <v>670</v>
      </c>
      <c r="F103" t="s">
        <v>217</v>
      </c>
      <c r="G103" t="s">
        <v>612</v>
      </c>
      <c r="H103" t="s">
        <v>614</v>
      </c>
      <c r="I103" t="s">
        <v>689</v>
      </c>
      <c r="J103">
        <v>4570</v>
      </c>
      <c r="K103" t="s">
        <v>690</v>
      </c>
      <c r="L103" s="11" t="s">
        <v>1026</v>
      </c>
      <c r="M103" s="11" t="s">
        <v>1027</v>
      </c>
      <c r="N103" s="11" t="str">
        <f t="shared" si="3"/>
        <v>Arrêté ministériel POLLEC 2020_INV_9 du 02-12-2020</v>
      </c>
    </row>
    <row r="104" spans="1:14" x14ac:dyDescent="0.25">
      <c r="A104" t="s">
        <v>657</v>
      </c>
      <c r="B104" t="s">
        <v>191</v>
      </c>
      <c r="C104" s="120">
        <v>50000</v>
      </c>
      <c r="D104" t="s">
        <v>671</v>
      </c>
      <c r="E104" t="s">
        <v>672</v>
      </c>
      <c r="F104" t="s">
        <v>217</v>
      </c>
      <c r="G104" t="s">
        <v>220</v>
      </c>
      <c r="H104" t="s">
        <v>223</v>
      </c>
      <c r="I104" t="s">
        <v>691</v>
      </c>
      <c r="J104">
        <v>6630</v>
      </c>
      <c r="K104" t="s">
        <v>692</v>
      </c>
      <c r="L104" s="11" t="s">
        <v>1026</v>
      </c>
      <c r="M104" s="11" t="s">
        <v>1027</v>
      </c>
      <c r="N104" s="11" t="str">
        <f t="shared" si="3"/>
        <v>Arrêté ministériel POLLEC 2020_INV_5 du 02-12-2020</v>
      </c>
    </row>
    <row r="105" spans="1:14" x14ac:dyDescent="0.25">
      <c r="A105" t="s">
        <v>658</v>
      </c>
      <c r="B105" t="s">
        <v>191</v>
      </c>
      <c r="C105" s="120">
        <v>50000</v>
      </c>
      <c r="D105" t="s">
        <v>673</v>
      </c>
      <c r="E105" t="s">
        <v>674</v>
      </c>
      <c r="F105" t="s">
        <v>217</v>
      </c>
      <c r="G105" t="s">
        <v>611</v>
      </c>
      <c r="H105" t="s">
        <v>613</v>
      </c>
      <c r="I105" t="s">
        <v>693</v>
      </c>
      <c r="J105">
        <v>6769</v>
      </c>
      <c r="K105" t="s">
        <v>694</v>
      </c>
      <c r="L105" s="11" t="s">
        <v>1026</v>
      </c>
      <c r="M105" s="11" t="s">
        <v>1027</v>
      </c>
      <c r="N105" s="11" t="str">
        <f t="shared" si="3"/>
        <v>Arrêté ministériel POLLEC 2020_INV_3 du 02-12-2020</v>
      </c>
    </row>
    <row r="106" spans="1:14" x14ac:dyDescent="0.25">
      <c r="A106" t="s">
        <v>659</v>
      </c>
      <c r="B106" t="s">
        <v>192</v>
      </c>
      <c r="C106" s="120">
        <v>50000</v>
      </c>
      <c r="D106" t="s">
        <v>675</v>
      </c>
      <c r="E106" t="s">
        <v>676</v>
      </c>
      <c r="F106" t="s">
        <v>217</v>
      </c>
      <c r="G106" t="s">
        <v>611</v>
      </c>
      <c r="H106" t="s">
        <v>613</v>
      </c>
      <c r="I106" t="s">
        <v>695</v>
      </c>
      <c r="J106">
        <v>6780</v>
      </c>
      <c r="K106" t="s">
        <v>696</v>
      </c>
      <c r="L106" s="11" t="s">
        <v>1026</v>
      </c>
      <c r="M106" s="11" t="s">
        <v>1027</v>
      </c>
      <c r="N106" s="11" t="str">
        <f t="shared" si="3"/>
        <v>Arrêté ministériel POLLEC 2020_INV_3 du 02-12-2020</v>
      </c>
    </row>
    <row r="107" spans="1:14" x14ac:dyDescent="0.25">
      <c r="A107" t="s">
        <v>660</v>
      </c>
      <c r="B107" t="s">
        <v>192</v>
      </c>
      <c r="C107" s="120">
        <v>50000</v>
      </c>
      <c r="D107" t="s">
        <v>677</v>
      </c>
      <c r="E107" t="s">
        <v>678</v>
      </c>
      <c r="F107" t="s">
        <v>217</v>
      </c>
      <c r="G107" t="s">
        <v>612</v>
      </c>
      <c r="H107" t="s">
        <v>614</v>
      </c>
      <c r="I107" t="s">
        <v>697</v>
      </c>
      <c r="J107">
        <v>4577</v>
      </c>
      <c r="K107" t="s">
        <v>698</v>
      </c>
      <c r="L107" s="11" t="s">
        <v>1026</v>
      </c>
      <c r="M107" s="11" t="s">
        <v>1027</v>
      </c>
      <c r="N107" s="11" t="str">
        <f t="shared" si="3"/>
        <v>Arrêté ministériel POLLEC 2020_INV_9 du 02-12-2020</v>
      </c>
    </row>
    <row r="108" spans="1:14" x14ac:dyDescent="0.25">
      <c r="A108" t="s">
        <v>661</v>
      </c>
      <c r="B108" t="s">
        <v>191</v>
      </c>
      <c r="C108" s="120">
        <v>50000</v>
      </c>
      <c r="D108" t="s">
        <v>679</v>
      </c>
      <c r="E108" t="s">
        <v>680</v>
      </c>
      <c r="F108" t="s">
        <v>217</v>
      </c>
      <c r="G108" t="s">
        <v>493</v>
      </c>
      <c r="H108" t="s">
        <v>494</v>
      </c>
      <c r="I108" t="s">
        <v>621</v>
      </c>
      <c r="J108">
        <v>6590</v>
      </c>
      <c r="K108" t="s">
        <v>699</v>
      </c>
      <c r="L108" s="11" t="s">
        <v>1026</v>
      </c>
      <c r="M108" s="11" t="s">
        <v>1027</v>
      </c>
      <c r="N108" s="11" t="str">
        <f t="shared" si="3"/>
        <v>Arrêté ministériel POLLEC 2020_INV_7 du 02-12-2020</v>
      </c>
    </row>
    <row r="109" spans="1:14" x14ac:dyDescent="0.25">
      <c r="A109" t="s">
        <v>662</v>
      </c>
      <c r="B109" t="s">
        <v>191</v>
      </c>
      <c r="C109" s="120">
        <v>110000</v>
      </c>
      <c r="D109" t="s">
        <v>681</v>
      </c>
      <c r="E109" t="s">
        <v>682</v>
      </c>
      <c r="F109" t="s">
        <v>217</v>
      </c>
      <c r="G109" t="s">
        <v>218</v>
      </c>
      <c r="H109" t="s">
        <v>221</v>
      </c>
      <c r="I109" t="s">
        <v>700</v>
      </c>
      <c r="J109">
        <v>7000</v>
      </c>
      <c r="K109" t="s">
        <v>701</v>
      </c>
      <c r="L109" s="11" t="s">
        <v>1026</v>
      </c>
      <c r="M109" s="11" t="s">
        <v>1027</v>
      </c>
      <c r="N109" s="11" t="str">
        <f t="shared" si="3"/>
        <v>Arrêté ministériel POLLEC 2020_INV_6 du 02-12-2020</v>
      </c>
    </row>
    <row r="110" spans="1:14" x14ac:dyDescent="0.25">
      <c r="A110" t="s">
        <v>702</v>
      </c>
      <c r="B110" t="s">
        <v>191</v>
      </c>
      <c r="C110" s="120">
        <v>110000</v>
      </c>
      <c r="D110" t="s">
        <v>717</v>
      </c>
      <c r="E110" t="s">
        <v>718</v>
      </c>
      <c r="F110" t="s">
        <v>217</v>
      </c>
      <c r="G110" t="s">
        <v>611</v>
      </c>
      <c r="H110" t="s">
        <v>613</v>
      </c>
      <c r="I110" t="s">
        <v>747</v>
      </c>
      <c r="J110">
        <v>7700</v>
      </c>
      <c r="K110" t="s">
        <v>748</v>
      </c>
      <c r="L110" s="11" t="s">
        <v>1026</v>
      </c>
      <c r="M110" s="11" t="s">
        <v>1027</v>
      </c>
      <c r="N110" s="11" t="str">
        <f t="shared" si="3"/>
        <v>Arrêté ministériel POLLEC 2020_INV_3 du 02-12-2020</v>
      </c>
    </row>
    <row r="111" spans="1:14" x14ac:dyDescent="0.25">
      <c r="A111" t="s">
        <v>703</v>
      </c>
      <c r="B111" t="s">
        <v>191</v>
      </c>
      <c r="C111" s="120">
        <v>50000</v>
      </c>
      <c r="D111" t="s">
        <v>719</v>
      </c>
      <c r="E111" t="s">
        <v>720</v>
      </c>
      <c r="F111" t="s">
        <v>217</v>
      </c>
      <c r="G111" t="s">
        <v>611</v>
      </c>
      <c r="H111" t="s">
        <v>613</v>
      </c>
      <c r="I111" t="s">
        <v>749</v>
      </c>
      <c r="J111">
        <v>6750</v>
      </c>
      <c r="K111" t="s">
        <v>750</v>
      </c>
      <c r="L111" s="11" t="s">
        <v>1026</v>
      </c>
      <c r="M111" s="11" t="s">
        <v>1027</v>
      </c>
      <c r="N111" s="11" t="str">
        <f t="shared" si="3"/>
        <v>Arrêté ministériel POLLEC 2020_INV_3 du 02-12-2020</v>
      </c>
    </row>
    <row r="112" spans="1:14" x14ac:dyDescent="0.25">
      <c r="A112" t="s">
        <v>704</v>
      </c>
      <c r="B112" t="s">
        <v>191</v>
      </c>
      <c r="C112" s="120">
        <v>200000</v>
      </c>
      <c r="D112" t="s">
        <v>721</v>
      </c>
      <c r="E112" t="s">
        <v>722</v>
      </c>
      <c r="F112" t="s">
        <v>217</v>
      </c>
      <c r="G112" t="s">
        <v>343</v>
      </c>
      <c r="H112" t="s">
        <v>344</v>
      </c>
      <c r="I112" t="s">
        <v>751</v>
      </c>
      <c r="J112">
        <v>5000</v>
      </c>
      <c r="K112" t="s">
        <v>752</v>
      </c>
      <c r="L112" s="11" t="s">
        <v>1026</v>
      </c>
      <c r="M112" s="11" t="s">
        <v>1027</v>
      </c>
      <c r="N112" s="11" t="str">
        <f t="shared" si="3"/>
        <v>Arrêté ministériel POLLEC 2020_INV_8 du 02-12-2020</v>
      </c>
    </row>
    <row r="113" spans="1:14" x14ac:dyDescent="0.25">
      <c r="A113" t="s">
        <v>705</v>
      </c>
      <c r="B113" t="s">
        <v>191</v>
      </c>
      <c r="C113" s="120">
        <v>50000</v>
      </c>
      <c r="D113" t="s">
        <v>723</v>
      </c>
      <c r="E113" t="s">
        <v>724</v>
      </c>
      <c r="F113" t="s">
        <v>217</v>
      </c>
      <c r="G113" t="s">
        <v>611</v>
      </c>
      <c r="H113" t="s">
        <v>613</v>
      </c>
      <c r="I113" t="s">
        <v>753</v>
      </c>
      <c r="J113">
        <v>6950</v>
      </c>
      <c r="K113" t="s">
        <v>754</v>
      </c>
      <c r="L113" s="11" t="s">
        <v>1026</v>
      </c>
      <c r="M113" s="11" t="s">
        <v>1027</v>
      </c>
      <c r="N113" s="11" t="str">
        <f t="shared" si="3"/>
        <v>Arrêté ministériel POLLEC 2020_INV_3 du 02-12-2020</v>
      </c>
    </row>
    <row r="114" spans="1:14" x14ac:dyDescent="0.25">
      <c r="A114" t="s">
        <v>706</v>
      </c>
      <c r="B114" t="s">
        <v>191</v>
      </c>
      <c r="C114" s="120">
        <v>50000</v>
      </c>
      <c r="D114" t="s">
        <v>725</v>
      </c>
      <c r="E114" t="s">
        <v>726</v>
      </c>
      <c r="F114" t="s">
        <v>217</v>
      </c>
      <c r="G114" t="s">
        <v>611</v>
      </c>
      <c r="H114" t="s">
        <v>613</v>
      </c>
      <c r="I114" t="s">
        <v>621</v>
      </c>
      <c r="J114">
        <v>6840</v>
      </c>
      <c r="K114" t="s">
        <v>755</v>
      </c>
      <c r="L114" s="11" t="s">
        <v>1026</v>
      </c>
      <c r="M114" s="11" t="s">
        <v>1027</v>
      </c>
      <c r="N114" s="11" t="str">
        <f t="shared" si="3"/>
        <v>Arrêté ministériel POLLEC 2020_INV_3 du 02-12-2020</v>
      </c>
    </row>
    <row r="115" spans="1:14" x14ac:dyDescent="0.25">
      <c r="A115" t="s">
        <v>707</v>
      </c>
      <c r="B115" t="s">
        <v>191</v>
      </c>
      <c r="C115" s="120">
        <v>50000</v>
      </c>
      <c r="D115" t="s">
        <v>727</v>
      </c>
      <c r="E115" t="s">
        <v>728</v>
      </c>
      <c r="F115" t="s">
        <v>217</v>
      </c>
      <c r="G115" t="s">
        <v>611</v>
      </c>
      <c r="H115" t="s">
        <v>613</v>
      </c>
      <c r="I115" t="s">
        <v>756</v>
      </c>
      <c r="J115">
        <v>4120</v>
      </c>
      <c r="K115" t="s">
        <v>757</v>
      </c>
      <c r="L115" s="11" t="s">
        <v>1026</v>
      </c>
      <c r="M115" s="11" t="s">
        <v>1027</v>
      </c>
      <c r="N115" s="11" t="str">
        <f t="shared" si="3"/>
        <v>Arrêté ministériel POLLEC 2020_INV_3 du 02-12-2020</v>
      </c>
    </row>
    <row r="116" spans="1:14" x14ac:dyDescent="0.25">
      <c r="A116" t="s">
        <v>708</v>
      </c>
      <c r="B116" t="s">
        <v>192</v>
      </c>
      <c r="C116" s="120">
        <v>75000</v>
      </c>
      <c r="D116" t="s">
        <v>729</v>
      </c>
      <c r="E116" t="s">
        <v>730</v>
      </c>
      <c r="F116" t="s">
        <v>217</v>
      </c>
      <c r="G116" t="s">
        <v>611</v>
      </c>
      <c r="H116" t="s">
        <v>613</v>
      </c>
      <c r="I116" t="s">
        <v>758</v>
      </c>
      <c r="J116">
        <v>1400</v>
      </c>
      <c r="K116" t="s">
        <v>759</v>
      </c>
      <c r="L116" s="11" t="s">
        <v>1026</v>
      </c>
      <c r="M116" s="11" t="s">
        <v>1027</v>
      </c>
      <c r="N116" s="11" t="str">
        <f t="shared" si="3"/>
        <v>Arrêté ministériel POLLEC 2020_INV_3 du 02-12-2020</v>
      </c>
    </row>
    <row r="117" spans="1:14" x14ac:dyDescent="0.25">
      <c r="A117" t="s">
        <v>709</v>
      </c>
      <c r="B117" t="s">
        <v>191</v>
      </c>
      <c r="C117" s="120">
        <v>50000</v>
      </c>
      <c r="D117" t="s">
        <v>731</v>
      </c>
      <c r="E117" t="s">
        <v>732</v>
      </c>
      <c r="F117" t="s">
        <v>217</v>
      </c>
      <c r="G117" t="s">
        <v>611</v>
      </c>
      <c r="H117" t="s">
        <v>613</v>
      </c>
      <c r="I117" t="s">
        <v>760</v>
      </c>
      <c r="J117">
        <v>1350</v>
      </c>
      <c r="K117" t="s">
        <v>761</v>
      </c>
      <c r="L117" s="11" t="s">
        <v>1026</v>
      </c>
      <c r="M117" s="11" t="s">
        <v>1027</v>
      </c>
      <c r="N117" s="11" t="str">
        <f t="shared" si="3"/>
        <v>Arrêté ministériel POLLEC 2020_INV_3 du 02-12-2020</v>
      </c>
    </row>
    <row r="118" spans="1:14" x14ac:dyDescent="0.25">
      <c r="A118" t="s">
        <v>710</v>
      </c>
      <c r="B118" t="s">
        <v>191</v>
      </c>
      <c r="C118" s="120">
        <v>75000</v>
      </c>
      <c r="D118" t="s">
        <v>733</v>
      </c>
      <c r="E118" t="s">
        <v>734</v>
      </c>
      <c r="F118" t="s">
        <v>217</v>
      </c>
      <c r="G118" t="s">
        <v>611</v>
      </c>
      <c r="H118" t="s">
        <v>613</v>
      </c>
      <c r="I118" t="s">
        <v>762</v>
      </c>
      <c r="J118">
        <v>1340</v>
      </c>
      <c r="K118" t="s">
        <v>763</v>
      </c>
      <c r="L118" s="11" t="s">
        <v>1026</v>
      </c>
      <c r="M118" s="11" t="s">
        <v>1027</v>
      </c>
      <c r="N118" s="11" t="str">
        <f t="shared" si="3"/>
        <v>Arrêté ministériel POLLEC 2020_INV_3 du 02-12-2020</v>
      </c>
    </row>
    <row r="119" spans="1:14" x14ac:dyDescent="0.25">
      <c r="A119" t="s">
        <v>711</v>
      </c>
      <c r="B119" t="s">
        <v>192</v>
      </c>
      <c r="C119" s="120">
        <v>50000</v>
      </c>
      <c r="D119" t="s">
        <v>735</v>
      </c>
      <c r="E119" t="s">
        <v>736</v>
      </c>
      <c r="F119" t="s">
        <v>217</v>
      </c>
      <c r="G119" t="s">
        <v>611</v>
      </c>
      <c r="H119" t="s">
        <v>613</v>
      </c>
      <c r="I119" t="s">
        <v>764</v>
      </c>
      <c r="J119">
        <v>4590</v>
      </c>
      <c r="K119" t="s">
        <v>765</v>
      </c>
      <c r="L119" s="11" t="s">
        <v>1026</v>
      </c>
      <c r="M119" s="11" t="s">
        <v>1027</v>
      </c>
      <c r="N119" s="11" t="str">
        <f t="shared" si="3"/>
        <v>Arrêté ministériel POLLEC 2020_INV_3 du 02-12-2020</v>
      </c>
    </row>
    <row r="120" spans="1:14" x14ac:dyDescent="0.25">
      <c r="A120" t="s">
        <v>712</v>
      </c>
      <c r="B120" t="s">
        <v>191</v>
      </c>
      <c r="C120" s="120">
        <v>75000</v>
      </c>
      <c r="D120" t="s">
        <v>737</v>
      </c>
      <c r="E120" t="s">
        <v>738</v>
      </c>
      <c r="F120" t="s">
        <v>217</v>
      </c>
      <c r="G120" t="s">
        <v>343</v>
      </c>
      <c r="H120" t="s">
        <v>344</v>
      </c>
      <c r="I120" t="s">
        <v>766</v>
      </c>
      <c r="J120">
        <v>4684</v>
      </c>
      <c r="K120" t="s">
        <v>767</v>
      </c>
      <c r="L120" s="11" t="s">
        <v>1026</v>
      </c>
      <c r="M120" s="11" t="s">
        <v>1027</v>
      </c>
      <c r="N120" s="11" t="str">
        <f t="shared" si="3"/>
        <v>Arrêté ministériel POLLEC 2020_INV_8 du 02-12-2020</v>
      </c>
    </row>
    <row r="121" spans="1:14" x14ac:dyDescent="0.25">
      <c r="A121" t="s">
        <v>713</v>
      </c>
      <c r="B121" t="s">
        <v>191</v>
      </c>
      <c r="C121" s="120">
        <v>50000</v>
      </c>
      <c r="D121" t="s">
        <v>739</v>
      </c>
      <c r="E121" t="s">
        <v>740</v>
      </c>
      <c r="F121" t="s">
        <v>217</v>
      </c>
      <c r="G121" t="s">
        <v>611</v>
      </c>
      <c r="H121" t="s">
        <v>613</v>
      </c>
      <c r="I121" t="s">
        <v>768</v>
      </c>
      <c r="J121">
        <v>6850</v>
      </c>
      <c r="K121" t="s">
        <v>769</v>
      </c>
      <c r="L121" s="11" t="s">
        <v>1026</v>
      </c>
      <c r="M121" s="11" t="s">
        <v>1027</v>
      </c>
      <c r="N121" s="11" t="str">
        <f t="shared" si="3"/>
        <v>Arrêté ministériel POLLEC 2020_INV_3 du 02-12-2020</v>
      </c>
    </row>
    <row r="122" spans="1:14" x14ac:dyDescent="0.25">
      <c r="A122" t="s">
        <v>1036</v>
      </c>
      <c r="B122" t="s">
        <v>191</v>
      </c>
      <c r="C122" s="120">
        <v>200000</v>
      </c>
      <c r="D122" t="s">
        <v>1047</v>
      </c>
      <c r="E122" t="s">
        <v>1058</v>
      </c>
      <c r="F122" t="s">
        <v>1063</v>
      </c>
      <c r="G122" t="s">
        <v>1066</v>
      </c>
      <c r="H122" t="s">
        <v>1069</v>
      </c>
      <c r="I122" t="s">
        <v>1079</v>
      </c>
      <c r="J122">
        <v>6900</v>
      </c>
      <c r="K122" t="s">
        <v>655</v>
      </c>
      <c r="L122" s="11" t="s">
        <v>1026</v>
      </c>
      <c r="M122" s="11" t="s">
        <v>1027</v>
      </c>
      <c r="N122" s="11" t="str">
        <f t="shared" si="3"/>
        <v>Arrêté ministériel POLLEC 2020_SUPRA_INV_1 du 02-12-2020</v>
      </c>
    </row>
    <row r="123" spans="1:14" x14ac:dyDescent="0.25">
      <c r="A123" t="s">
        <v>714</v>
      </c>
      <c r="B123" t="s">
        <v>191</v>
      </c>
      <c r="C123" s="120">
        <v>50000</v>
      </c>
      <c r="D123" t="s">
        <v>741</v>
      </c>
      <c r="E123" t="s">
        <v>742</v>
      </c>
      <c r="F123" t="s">
        <v>217</v>
      </c>
      <c r="G123" t="s">
        <v>343</v>
      </c>
      <c r="H123" t="s">
        <v>344</v>
      </c>
      <c r="I123" t="s">
        <v>770</v>
      </c>
      <c r="J123">
        <v>7740</v>
      </c>
      <c r="K123" t="s">
        <v>771</v>
      </c>
      <c r="L123" s="11" t="s">
        <v>1026</v>
      </c>
      <c r="M123" s="11" t="s">
        <v>1027</v>
      </c>
      <c r="N123" s="11" t="str">
        <f t="shared" si="3"/>
        <v>Arrêté ministériel POLLEC 2020_INV_8 du 02-12-2020</v>
      </c>
    </row>
    <row r="124" spans="1:14" x14ac:dyDescent="0.25">
      <c r="A124" t="s">
        <v>715</v>
      </c>
      <c r="B124" t="s">
        <v>192</v>
      </c>
      <c r="C124" s="120">
        <v>50000</v>
      </c>
      <c r="D124" t="s">
        <v>743</v>
      </c>
      <c r="E124" t="s">
        <v>744</v>
      </c>
      <c r="F124" t="s">
        <v>217</v>
      </c>
      <c r="G124" t="s">
        <v>220</v>
      </c>
      <c r="H124" t="s">
        <v>223</v>
      </c>
      <c r="I124" t="s">
        <v>772</v>
      </c>
      <c r="J124">
        <v>4860</v>
      </c>
      <c r="K124" t="s">
        <v>773</v>
      </c>
      <c r="L124" s="11" t="s">
        <v>1026</v>
      </c>
      <c r="M124" s="11" t="s">
        <v>1027</v>
      </c>
      <c r="N124" s="11" t="str">
        <f t="shared" si="3"/>
        <v>Arrêté ministériel POLLEC 2020_INV_5 du 02-12-2020</v>
      </c>
    </row>
    <row r="125" spans="1:14" x14ac:dyDescent="0.25">
      <c r="A125" t="s">
        <v>716</v>
      </c>
      <c r="B125" t="s">
        <v>191</v>
      </c>
      <c r="C125" s="120">
        <v>75000</v>
      </c>
      <c r="D125" t="s">
        <v>745</v>
      </c>
      <c r="E125" t="s">
        <v>746</v>
      </c>
      <c r="F125" t="s">
        <v>217</v>
      </c>
      <c r="G125" t="s">
        <v>220</v>
      </c>
      <c r="H125" t="s">
        <v>223</v>
      </c>
      <c r="I125" t="s">
        <v>774</v>
      </c>
      <c r="J125">
        <v>7600</v>
      </c>
      <c r="K125" t="s">
        <v>775</v>
      </c>
      <c r="L125" s="11" t="s">
        <v>1026</v>
      </c>
      <c r="M125" s="11" t="s">
        <v>1027</v>
      </c>
      <c r="N125" s="11" t="str">
        <f t="shared" si="3"/>
        <v>Arrêté ministériel POLLEC 2020_INV_5 du 02-12-2020</v>
      </c>
    </row>
    <row r="126" spans="1:14" x14ac:dyDescent="0.25">
      <c r="A126" t="s">
        <v>776</v>
      </c>
      <c r="B126" t="s">
        <v>191</v>
      </c>
      <c r="C126" s="120">
        <v>50000</v>
      </c>
      <c r="D126" t="s">
        <v>781</v>
      </c>
      <c r="E126" t="s">
        <v>782</v>
      </c>
      <c r="F126" t="s">
        <v>217</v>
      </c>
      <c r="G126" t="s">
        <v>611</v>
      </c>
      <c r="H126" t="s">
        <v>613</v>
      </c>
      <c r="I126" t="s">
        <v>791</v>
      </c>
      <c r="J126">
        <v>5600</v>
      </c>
      <c r="K126" t="s">
        <v>792</v>
      </c>
      <c r="L126" s="11" t="s">
        <v>1026</v>
      </c>
      <c r="M126" s="11" t="s">
        <v>1027</v>
      </c>
      <c r="N126" s="11" t="str">
        <f t="shared" si="3"/>
        <v>Arrêté ministériel POLLEC 2020_INV_3 du 02-12-2020</v>
      </c>
    </row>
    <row r="127" spans="1:14" x14ac:dyDescent="0.25">
      <c r="A127" t="s">
        <v>777</v>
      </c>
      <c r="B127" t="s">
        <v>192</v>
      </c>
      <c r="C127" s="120">
        <v>50000</v>
      </c>
      <c r="D127" t="s">
        <v>783</v>
      </c>
      <c r="E127" t="s">
        <v>784</v>
      </c>
      <c r="F127" t="s">
        <v>217</v>
      </c>
      <c r="G127" t="s">
        <v>612</v>
      </c>
      <c r="H127" t="s">
        <v>614</v>
      </c>
      <c r="I127" t="s">
        <v>793</v>
      </c>
      <c r="J127">
        <v>4850</v>
      </c>
      <c r="K127" t="s">
        <v>794</v>
      </c>
      <c r="L127" s="11" t="s">
        <v>1026</v>
      </c>
      <c r="M127" s="11" t="s">
        <v>1027</v>
      </c>
      <c r="N127" s="11" t="str">
        <f t="shared" si="3"/>
        <v>Arrêté ministériel POLLEC 2020_INV_9 du 02-12-2020</v>
      </c>
    </row>
    <row r="128" spans="1:14" x14ac:dyDescent="0.25">
      <c r="A128" t="s">
        <v>778</v>
      </c>
      <c r="B128" t="s">
        <v>191</v>
      </c>
      <c r="C128" s="120">
        <v>75000</v>
      </c>
      <c r="D128" t="s">
        <v>785</v>
      </c>
      <c r="E128" t="s">
        <v>786</v>
      </c>
      <c r="F128" t="s">
        <v>217</v>
      </c>
      <c r="G128" t="s">
        <v>611</v>
      </c>
      <c r="H128" t="s">
        <v>613</v>
      </c>
      <c r="I128" t="s">
        <v>795</v>
      </c>
      <c r="J128">
        <v>6230</v>
      </c>
      <c r="K128" t="s">
        <v>796</v>
      </c>
      <c r="L128" s="11" t="s">
        <v>1026</v>
      </c>
      <c r="M128" s="11" t="s">
        <v>1027</v>
      </c>
      <c r="N128" s="11" t="str">
        <f t="shared" si="3"/>
        <v>Arrêté ministériel POLLEC 2020_INV_3 du 02-12-2020</v>
      </c>
    </row>
    <row r="129" spans="1:14" x14ac:dyDescent="0.25">
      <c r="A129" t="s">
        <v>779</v>
      </c>
      <c r="B129" t="s">
        <v>191</v>
      </c>
      <c r="C129" s="120">
        <v>75000</v>
      </c>
      <c r="D129" t="s">
        <v>787</v>
      </c>
      <c r="E129" t="s">
        <v>788</v>
      </c>
      <c r="F129" t="s">
        <v>217</v>
      </c>
      <c r="G129" t="s">
        <v>343</v>
      </c>
      <c r="H129" t="s">
        <v>344</v>
      </c>
      <c r="I129" t="s">
        <v>797</v>
      </c>
      <c r="J129">
        <v>5170</v>
      </c>
      <c r="K129" t="s">
        <v>798</v>
      </c>
      <c r="L129" s="11" t="s">
        <v>1026</v>
      </c>
      <c r="M129" s="11" t="s">
        <v>1027</v>
      </c>
      <c r="N129" s="11" t="str">
        <f t="shared" si="3"/>
        <v>Arrêté ministériel POLLEC 2020_INV_8 du 02-12-2020</v>
      </c>
    </row>
    <row r="130" spans="1:14" x14ac:dyDescent="0.25">
      <c r="A130" t="s">
        <v>1037</v>
      </c>
      <c r="B130" t="s">
        <v>191</v>
      </c>
      <c r="C130" s="120">
        <v>200000</v>
      </c>
      <c r="D130" t="s">
        <v>1048</v>
      </c>
      <c r="E130" t="s">
        <v>1059</v>
      </c>
      <c r="F130" t="s">
        <v>1064</v>
      </c>
      <c r="G130" t="s">
        <v>1067</v>
      </c>
      <c r="H130" t="s">
        <v>1070</v>
      </c>
      <c r="I130" t="s">
        <v>1080</v>
      </c>
      <c r="J130">
        <v>7000</v>
      </c>
      <c r="K130" t="s">
        <v>662</v>
      </c>
      <c r="L130" s="11" t="s">
        <v>1026</v>
      </c>
      <c r="M130" s="11" t="s">
        <v>1027</v>
      </c>
      <c r="N130" s="11" t="str">
        <f t="shared" ref="N130:N161" si="4">CONCATENATE(L130,G130,M130)</f>
        <v>Arrêté ministériel POLLEC 2020_SUPRA_INV_3 du 02-12-2020</v>
      </c>
    </row>
    <row r="131" spans="1:14" x14ac:dyDescent="0.25">
      <c r="A131" t="s">
        <v>1038</v>
      </c>
      <c r="B131" t="s">
        <v>191</v>
      </c>
      <c r="C131" s="120">
        <v>200000</v>
      </c>
      <c r="D131" t="s">
        <v>1049</v>
      </c>
      <c r="E131" t="s">
        <v>1060</v>
      </c>
      <c r="F131" t="s">
        <v>1064</v>
      </c>
      <c r="G131" t="s">
        <v>1067</v>
      </c>
      <c r="H131" t="s">
        <v>1070</v>
      </c>
      <c r="I131" t="s">
        <v>1081</v>
      </c>
      <c r="J131">
        <v>4000</v>
      </c>
      <c r="K131" t="s">
        <v>572</v>
      </c>
      <c r="L131" s="11" t="s">
        <v>1026</v>
      </c>
      <c r="M131" s="11" t="s">
        <v>1027</v>
      </c>
      <c r="N131" s="11" t="str">
        <f t="shared" si="4"/>
        <v>Arrêté ministériel POLLEC 2020_SUPRA_INV_3 du 02-12-2020</v>
      </c>
    </row>
    <row r="132" spans="1:14" x14ac:dyDescent="0.25">
      <c r="A132" t="s">
        <v>1039</v>
      </c>
      <c r="B132" t="s">
        <v>191</v>
      </c>
      <c r="C132" s="120">
        <v>200000</v>
      </c>
      <c r="D132" t="s">
        <v>1050</v>
      </c>
      <c r="E132" t="s">
        <v>1061</v>
      </c>
      <c r="F132" t="s">
        <v>1064</v>
      </c>
      <c r="G132" t="s">
        <v>1067</v>
      </c>
      <c r="H132" t="s">
        <v>1070</v>
      </c>
      <c r="I132" t="s">
        <v>1082</v>
      </c>
      <c r="J132">
        <v>6700</v>
      </c>
      <c r="K132" t="s">
        <v>184</v>
      </c>
      <c r="L132" s="11" t="s">
        <v>1026</v>
      </c>
      <c r="M132" s="11" t="s">
        <v>1027</v>
      </c>
      <c r="N132" s="11" t="str">
        <f t="shared" si="4"/>
        <v>Arrêté ministériel POLLEC 2020_SUPRA_INV_3 du 02-12-2020</v>
      </c>
    </row>
    <row r="133" spans="1:14" x14ac:dyDescent="0.25">
      <c r="A133" t="s">
        <v>780</v>
      </c>
      <c r="B133" t="s">
        <v>191</v>
      </c>
      <c r="C133" s="120">
        <v>75000</v>
      </c>
      <c r="D133" t="s">
        <v>789</v>
      </c>
      <c r="E133" t="s">
        <v>790</v>
      </c>
      <c r="F133" t="s">
        <v>217</v>
      </c>
      <c r="G133" t="s">
        <v>611</v>
      </c>
      <c r="H133" t="s">
        <v>613</v>
      </c>
      <c r="I133" t="s">
        <v>394</v>
      </c>
      <c r="J133">
        <v>7390</v>
      </c>
      <c r="K133" t="s">
        <v>799</v>
      </c>
      <c r="L133" s="11" t="s">
        <v>1026</v>
      </c>
      <c r="M133" s="11" t="s">
        <v>1027</v>
      </c>
      <c r="N133" s="11" t="str">
        <f t="shared" si="4"/>
        <v>Arrêté ministériel POLLEC 2020_INV_3 du 02-12-2020</v>
      </c>
    </row>
    <row r="134" spans="1:14" x14ac:dyDescent="0.25">
      <c r="A134" t="s">
        <v>800</v>
      </c>
      <c r="B134" t="s">
        <v>191</v>
      </c>
      <c r="C134" s="120">
        <v>50000</v>
      </c>
      <c r="D134" t="s">
        <v>820</v>
      </c>
      <c r="E134" t="s">
        <v>821</v>
      </c>
      <c r="F134" t="s">
        <v>217</v>
      </c>
      <c r="G134" t="s">
        <v>611</v>
      </c>
      <c r="H134" t="s">
        <v>613</v>
      </c>
      <c r="I134" t="s">
        <v>862</v>
      </c>
      <c r="J134">
        <v>6987</v>
      </c>
      <c r="K134" t="s">
        <v>863</v>
      </c>
      <c r="L134" s="11" t="s">
        <v>1026</v>
      </c>
      <c r="M134" s="11" t="s">
        <v>1027</v>
      </c>
      <c r="N134" s="11" t="str">
        <f t="shared" si="4"/>
        <v>Arrêté ministériel POLLEC 2020_INV_3 du 02-12-2020</v>
      </c>
    </row>
    <row r="135" spans="1:14" x14ac:dyDescent="0.25">
      <c r="A135" t="s">
        <v>801</v>
      </c>
      <c r="B135" t="s">
        <v>191</v>
      </c>
      <c r="C135" s="120">
        <v>75000</v>
      </c>
      <c r="D135" t="s">
        <v>822</v>
      </c>
      <c r="E135" t="s">
        <v>823</v>
      </c>
      <c r="F135" t="s">
        <v>217</v>
      </c>
      <c r="G135" t="s">
        <v>343</v>
      </c>
      <c r="H135" t="s">
        <v>344</v>
      </c>
      <c r="I135" t="s">
        <v>864</v>
      </c>
      <c r="J135">
        <v>1330</v>
      </c>
      <c r="K135" t="s">
        <v>865</v>
      </c>
      <c r="L135" s="11" t="s">
        <v>1026</v>
      </c>
      <c r="M135" s="11" t="s">
        <v>1027</v>
      </c>
      <c r="N135" s="11" t="str">
        <f t="shared" si="4"/>
        <v>Arrêté ministériel POLLEC 2020_INV_8 du 02-12-2020</v>
      </c>
    </row>
    <row r="136" spans="1:14" x14ac:dyDescent="0.25">
      <c r="A136" t="s">
        <v>802</v>
      </c>
      <c r="B136" t="s">
        <v>191</v>
      </c>
      <c r="C136" s="120">
        <v>75000</v>
      </c>
      <c r="D136" t="s">
        <v>824</v>
      </c>
      <c r="E136" t="s">
        <v>825</v>
      </c>
      <c r="F136" t="s">
        <v>217</v>
      </c>
      <c r="G136" t="s">
        <v>860</v>
      </c>
      <c r="H136" t="s">
        <v>861</v>
      </c>
      <c r="I136" t="s">
        <v>866</v>
      </c>
      <c r="J136">
        <v>5580</v>
      </c>
      <c r="K136" t="s">
        <v>867</v>
      </c>
      <c r="L136" s="11" t="s">
        <v>1026</v>
      </c>
      <c r="M136" s="11" t="s">
        <v>1027</v>
      </c>
      <c r="N136" s="11" t="str">
        <f t="shared" si="4"/>
        <v>Arrêté ministériel POLLEC 2020_INV_4 du 02-12-2020</v>
      </c>
    </row>
    <row r="137" spans="1:14" x14ac:dyDescent="0.25">
      <c r="A137" t="s">
        <v>803</v>
      </c>
      <c r="B137" t="s">
        <v>191</v>
      </c>
      <c r="C137" s="120">
        <v>50000</v>
      </c>
      <c r="D137" t="s">
        <v>826</v>
      </c>
      <c r="E137" t="s">
        <v>827</v>
      </c>
      <c r="F137" t="s">
        <v>217</v>
      </c>
      <c r="G137" t="s">
        <v>343</v>
      </c>
      <c r="H137" t="s">
        <v>344</v>
      </c>
      <c r="I137" t="s">
        <v>868</v>
      </c>
      <c r="J137">
        <v>6767</v>
      </c>
      <c r="K137" t="s">
        <v>869</v>
      </c>
      <c r="L137" s="11" t="s">
        <v>1026</v>
      </c>
      <c r="M137" s="11" t="s">
        <v>1027</v>
      </c>
      <c r="N137" s="11" t="str">
        <f t="shared" si="4"/>
        <v>Arrêté ministériel POLLEC 2020_INV_8 du 02-12-2020</v>
      </c>
    </row>
    <row r="138" spans="1:14" x14ac:dyDescent="0.25">
      <c r="A138" t="s">
        <v>804</v>
      </c>
      <c r="B138" t="s">
        <v>191</v>
      </c>
      <c r="C138" s="120">
        <v>50000</v>
      </c>
      <c r="D138" t="s">
        <v>828</v>
      </c>
      <c r="E138" t="s">
        <v>829</v>
      </c>
      <c r="F138" t="s">
        <v>217</v>
      </c>
      <c r="G138" t="s">
        <v>860</v>
      </c>
      <c r="H138" t="s">
        <v>861</v>
      </c>
      <c r="I138" t="s">
        <v>870</v>
      </c>
      <c r="J138">
        <v>7618</v>
      </c>
      <c r="K138" t="s">
        <v>871</v>
      </c>
      <c r="L138" s="11" t="s">
        <v>1026</v>
      </c>
      <c r="M138" s="11" t="s">
        <v>1027</v>
      </c>
      <c r="N138" s="11" t="str">
        <f t="shared" si="4"/>
        <v>Arrêté ministériel POLLEC 2020_INV_4 du 02-12-2020</v>
      </c>
    </row>
    <row r="139" spans="1:14" x14ac:dyDescent="0.25">
      <c r="A139" t="s">
        <v>805</v>
      </c>
      <c r="B139" t="s">
        <v>192</v>
      </c>
      <c r="C139" s="120">
        <v>50000</v>
      </c>
      <c r="D139" t="s">
        <v>830</v>
      </c>
      <c r="E139" t="s">
        <v>831</v>
      </c>
      <c r="F139" t="s">
        <v>217</v>
      </c>
      <c r="G139" t="s">
        <v>860</v>
      </c>
      <c r="H139" t="s">
        <v>861</v>
      </c>
      <c r="I139" t="s">
        <v>872</v>
      </c>
      <c r="J139">
        <v>6680</v>
      </c>
      <c r="K139" t="s">
        <v>873</v>
      </c>
      <c r="L139" s="11" t="s">
        <v>1026</v>
      </c>
      <c r="M139" s="11" t="s">
        <v>1027</v>
      </c>
      <c r="N139" s="11" t="str">
        <f t="shared" si="4"/>
        <v>Arrêté ministériel POLLEC 2020_INV_4 du 02-12-2020</v>
      </c>
    </row>
    <row r="140" spans="1:14" x14ac:dyDescent="0.25">
      <c r="A140" t="s">
        <v>806</v>
      </c>
      <c r="B140" t="s">
        <v>191</v>
      </c>
      <c r="C140" s="120">
        <v>50000</v>
      </c>
      <c r="D140" t="s">
        <v>832</v>
      </c>
      <c r="E140" t="s">
        <v>833</v>
      </c>
      <c r="F140" t="s">
        <v>217</v>
      </c>
      <c r="G140" t="s">
        <v>343</v>
      </c>
      <c r="H140" t="s">
        <v>344</v>
      </c>
      <c r="I140" t="s">
        <v>874</v>
      </c>
      <c r="J140">
        <v>4470</v>
      </c>
      <c r="K140" t="s">
        <v>875</v>
      </c>
      <c r="L140" s="11" t="s">
        <v>1026</v>
      </c>
      <c r="M140" s="11" t="s">
        <v>1027</v>
      </c>
      <c r="N140" s="11" t="str">
        <f t="shared" si="4"/>
        <v>Arrêté ministériel POLLEC 2020_INV_8 du 02-12-2020</v>
      </c>
    </row>
    <row r="141" spans="1:14" x14ac:dyDescent="0.25">
      <c r="A141" t="s">
        <v>807</v>
      </c>
      <c r="B141" t="s">
        <v>191</v>
      </c>
      <c r="C141" s="120">
        <v>75000</v>
      </c>
      <c r="D141" t="s">
        <v>834</v>
      </c>
      <c r="E141" t="s">
        <v>835</v>
      </c>
      <c r="F141" t="s">
        <v>217</v>
      </c>
      <c r="G141" t="s">
        <v>343</v>
      </c>
      <c r="H141" t="s">
        <v>344</v>
      </c>
      <c r="I141" t="s">
        <v>876</v>
      </c>
      <c r="J141">
        <v>7330</v>
      </c>
      <c r="K141" t="s">
        <v>877</v>
      </c>
      <c r="L141" s="11" t="s">
        <v>1026</v>
      </c>
      <c r="M141" s="11" t="s">
        <v>1027</v>
      </c>
      <c r="N141" s="11" t="str">
        <f t="shared" si="4"/>
        <v>Arrêté ministériel POLLEC 2020_INV_8 du 02-12-2020</v>
      </c>
    </row>
    <row r="142" spans="1:14" x14ac:dyDescent="0.25">
      <c r="A142" t="s">
        <v>808</v>
      </c>
      <c r="B142" t="s">
        <v>192</v>
      </c>
      <c r="C142" s="120">
        <v>50000</v>
      </c>
      <c r="D142" t="s">
        <v>836</v>
      </c>
      <c r="E142" t="s">
        <v>837</v>
      </c>
      <c r="F142" t="s">
        <v>217</v>
      </c>
      <c r="G142" t="s">
        <v>860</v>
      </c>
      <c r="H142" t="s">
        <v>861</v>
      </c>
      <c r="I142" t="s">
        <v>635</v>
      </c>
      <c r="J142">
        <v>6870</v>
      </c>
      <c r="K142" t="s">
        <v>878</v>
      </c>
      <c r="L142" s="11" t="s">
        <v>1026</v>
      </c>
      <c r="M142" s="11" t="s">
        <v>1027</v>
      </c>
      <c r="N142" s="11" t="str">
        <f t="shared" si="4"/>
        <v>Arrêté ministériel POLLEC 2020_INV_4 du 02-12-2020</v>
      </c>
    </row>
    <row r="143" spans="1:14" x14ac:dyDescent="0.25">
      <c r="A143" t="s">
        <v>809</v>
      </c>
      <c r="B143" t="s">
        <v>191</v>
      </c>
      <c r="C143" s="120">
        <v>50000</v>
      </c>
      <c r="D143" t="s">
        <v>838</v>
      </c>
      <c r="E143" t="s">
        <v>839</v>
      </c>
      <c r="F143" t="s">
        <v>217</v>
      </c>
      <c r="G143" t="s">
        <v>860</v>
      </c>
      <c r="H143" t="s">
        <v>861</v>
      </c>
      <c r="I143" t="s">
        <v>879</v>
      </c>
      <c r="J143">
        <v>6747</v>
      </c>
      <c r="K143" t="s">
        <v>880</v>
      </c>
      <c r="L143" s="11" t="s">
        <v>1026</v>
      </c>
      <c r="M143" s="11" t="s">
        <v>1027</v>
      </c>
      <c r="N143" s="11" t="str">
        <f t="shared" si="4"/>
        <v>Arrêté ministériel POLLEC 2020_INV_4 du 02-12-2020</v>
      </c>
    </row>
    <row r="144" spans="1:14" x14ac:dyDescent="0.25">
      <c r="A144" t="s">
        <v>810</v>
      </c>
      <c r="B144" t="s">
        <v>191</v>
      </c>
      <c r="C144" s="120">
        <v>75000</v>
      </c>
      <c r="D144" t="s">
        <v>840</v>
      </c>
      <c r="E144" t="s">
        <v>841</v>
      </c>
      <c r="F144" t="s">
        <v>217</v>
      </c>
      <c r="G144" t="s">
        <v>860</v>
      </c>
      <c r="H144" t="s">
        <v>861</v>
      </c>
      <c r="I144" t="s">
        <v>881</v>
      </c>
      <c r="J144">
        <v>5060</v>
      </c>
      <c r="K144" t="s">
        <v>882</v>
      </c>
      <c r="L144" s="11" t="s">
        <v>1026</v>
      </c>
      <c r="M144" s="11" t="s">
        <v>1027</v>
      </c>
      <c r="N144" s="11" t="str">
        <f t="shared" si="4"/>
        <v>Arrêté ministériel POLLEC 2020_INV_4 du 02-12-2020</v>
      </c>
    </row>
    <row r="145" spans="1:14" x14ac:dyDescent="0.25">
      <c r="A145" t="s">
        <v>811</v>
      </c>
      <c r="B145" t="s">
        <v>191</v>
      </c>
      <c r="C145" s="120">
        <v>110000</v>
      </c>
      <c r="D145" t="s">
        <v>842</v>
      </c>
      <c r="E145" t="s">
        <v>843</v>
      </c>
      <c r="F145" t="s">
        <v>217</v>
      </c>
      <c r="G145" t="s">
        <v>220</v>
      </c>
      <c r="H145" t="s">
        <v>223</v>
      </c>
      <c r="I145" t="s">
        <v>883</v>
      </c>
      <c r="J145">
        <v>4100</v>
      </c>
      <c r="K145" t="s">
        <v>884</v>
      </c>
      <c r="L145" s="11" t="s">
        <v>1026</v>
      </c>
      <c r="M145" s="11" t="s">
        <v>1027</v>
      </c>
      <c r="N145" s="11" t="str">
        <f t="shared" si="4"/>
        <v>Arrêté ministériel POLLEC 2020_INV_5 du 02-12-2020</v>
      </c>
    </row>
    <row r="146" spans="1:14" x14ac:dyDescent="0.25">
      <c r="A146" t="s">
        <v>812</v>
      </c>
      <c r="B146" t="s">
        <v>191</v>
      </c>
      <c r="C146" s="120">
        <v>50000</v>
      </c>
      <c r="D146" t="s">
        <v>844</v>
      </c>
      <c r="E146" t="s">
        <v>845</v>
      </c>
      <c r="F146" t="s">
        <v>217</v>
      </c>
      <c r="G146" t="s">
        <v>343</v>
      </c>
      <c r="H146" t="s">
        <v>344</v>
      </c>
      <c r="I146" t="s">
        <v>885</v>
      </c>
      <c r="J146">
        <v>7830</v>
      </c>
      <c r="K146" t="s">
        <v>886</v>
      </c>
      <c r="L146" s="11" t="s">
        <v>1026</v>
      </c>
      <c r="M146" s="11" t="s">
        <v>1027</v>
      </c>
      <c r="N146" s="11" t="str">
        <f t="shared" si="4"/>
        <v>Arrêté ministériel POLLEC 2020_INV_8 du 02-12-2020</v>
      </c>
    </row>
    <row r="147" spans="1:14" x14ac:dyDescent="0.25">
      <c r="A147" t="s">
        <v>813</v>
      </c>
      <c r="B147" t="s">
        <v>191</v>
      </c>
      <c r="C147" s="120">
        <v>50000</v>
      </c>
      <c r="D147" t="s">
        <v>846</v>
      </c>
      <c r="E147" t="s">
        <v>847</v>
      </c>
      <c r="F147" t="s">
        <v>217</v>
      </c>
      <c r="G147" t="s">
        <v>860</v>
      </c>
      <c r="H147" t="s">
        <v>861</v>
      </c>
      <c r="I147" t="s">
        <v>887</v>
      </c>
      <c r="J147">
        <v>6470</v>
      </c>
      <c r="K147" t="s">
        <v>888</v>
      </c>
      <c r="L147" s="11" t="s">
        <v>1026</v>
      </c>
      <c r="M147" s="11" t="s">
        <v>1027</v>
      </c>
      <c r="N147" s="11" t="str">
        <f t="shared" si="4"/>
        <v>Arrêté ministériel POLLEC 2020_INV_4 du 02-12-2020</v>
      </c>
    </row>
    <row r="148" spans="1:14" x14ac:dyDescent="0.25">
      <c r="A148" t="s">
        <v>814</v>
      </c>
      <c r="B148" t="s">
        <v>192</v>
      </c>
      <c r="C148" s="120">
        <v>75000</v>
      </c>
      <c r="D148" t="s">
        <v>848</v>
      </c>
      <c r="E148" t="s">
        <v>849</v>
      </c>
      <c r="F148" t="s">
        <v>217</v>
      </c>
      <c r="G148" t="s">
        <v>860</v>
      </c>
      <c r="H148" t="s">
        <v>861</v>
      </c>
      <c r="I148" t="s">
        <v>889</v>
      </c>
      <c r="J148">
        <v>7060</v>
      </c>
      <c r="K148" t="s">
        <v>890</v>
      </c>
      <c r="L148" s="11" t="s">
        <v>1026</v>
      </c>
      <c r="M148" s="11" t="s">
        <v>1027</v>
      </c>
      <c r="N148" s="11" t="str">
        <f t="shared" si="4"/>
        <v>Arrêté ministériel POLLEC 2020_INV_4 du 02-12-2020</v>
      </c>
    </row>
    <row r="149" spans="1:14" x14ac:dyDescent="0.25">
      <c r="A149" t="s">
        <v>815</v>
      </c>
      <c r="B149" t="s">
        <v>191</v>
      </c>
      <c r="C149" s="120">
        <v>50000</v>
      </c>
      <c r="D149" t="s">
        <v>850</v>
      </c>
      <c r="E149" t="s">
        <v>851</v>
      </c>
      <c r="F149" t="s">
        <v>217</v>
      </c>
      <c r="G149" t="s">
        <v>860</v>
      </c>
      <c r="H149" t="s">
        <v>861</v>
      </c>
      <c r="I149" t="s">
        <v>891</v>
      </c>
      <c r="J149">
        <v>5377</v>
      </c>
      <c r="K149" t="s">
        <v>892</v>
      </c>
      <c r="L149" s="11" t="s">
        <v>1026</v>
      </c>
      <c r="M149" s="11" t="s">
        <v>1027</v>
      </c>
      <c r="N149" s="11" t="str">
        <f t="shared" si="4"/>
        <v>Arrêté ministériel POLLEC 2020_INV_4 du 02-12-2020</v>
      </c>
    </row>
    <row r="150" spans="1:14" x14ac:dyDescent="0.25">
      <c r="A150" t="s">
        <v>816</v>
      </c>
      <c r="B150" t="s">
        <v>191</v>
      </c>
      <c r="C150" s="120">
        <v>75000</v>
      </c>
      <c r="D150" t="s">
        <v>852</v>
      </c>
      <c r="E150" t="s">
        <v>853</v>
      </c>
      <c r="F150" t="s">
        <v>217</v>
      </c>
      <c r="G150" t="s">
        <v>860</v>
      </c>
      <c r="H150" t="s">
        <v>861</v>
      </c>
      <c r="I150" t="s">
        <v>893</v>
      </c>
      <c r="J150">
        <v>4630</v>
      </c>
      <c r="K150" t="s">
        <v>894</v>
      </c>
      <c r="L150" s="11" t="s">
        <v>1026</v>
      </c>
      <c r="M150" s="11" t="s">
        <v>1027</v>
      </c>
      <c r="N150" s="11" t="str">
        <f t="shared" si="4"/>
        <v>Arrêté ministériel POLLEC 2020_INV_4 du 02-12-2020</v>
      </c>
    </row>
    <row r="151" spans="1:14" x14ac:dyDescent="0.25">
      <c r="A151" t="s">
        <v>817</v>
      </c>
      <c r="B151" t="s">
        <v>191</v>
      </c>
      <c r="C151" s="120">
        <v>50000</v>
      </c>
      <c r="D151" t="s">
        <v>854</v>
      </c>
      <c r="E151" t="s">
        <v>855</v>
      </c>
      <c r="F151" t="s">
        <v>217</v>
      </c>
      <c r="G151" t="s">
        <v>343</v>
      </c>
      <c r="H151" t="s">
        <v>344</v>
      </c>
      <c r="I151" t="s">
        <v>895</v>
      </c>
      <c r="J151">
        <v>4900</v>
      </c>
      <c r="K151" t="s">
        <v>896</v>
      </c>
      <c r="L151" s="11" t="s">
        <v>1026</v>
      </c>
      <c r="M151" s="11" t="s">
        <v>1027</v>
      </c>
      <c r="N151" s="11" t="str">
        <f t="shared" si="4"/>
        <v>Arrêté ministériel POLLEC 2020_INV_8 du 02-12-2020</v>
      </c>
    </row>
    <row r="152" spans="1:14" x14ac:dyDescent="0.25">
      <c r="A152" t="s">
        <v>818</v>
      </c>
      <c r="B152" t="s">
        <v>191</v>
      </c>
      <c r="C152" s="120">
        <v>75000</v>
      </c>
      <c r="D152" t="s">
        <v>856</v>
      </c>
      <c r="E152" t="s">
        <v>857</v>
      </c>
      <c r="F152" t="s">
        <v>217</v>
      </c>
      <c r="G152" t="s">
        <v>860</v>
      </c>
      <c r="H152" t="s">
        <v>861</v>
      </c>
      <c r="I152" t="s">
        <v>897</v>
      </c>
      <c r="J152">
        <v>4140</v>
      </c>
      <c r="K152" t="s">
        <v>898</v>
      </c>
      <c r="L152" s="11" t="s">
        <v>1026</v>
      </c>
      <c r="M152" s="11" t="s">
        <v>1027</v>
      </c>
      <c r="N152" s="11" t="str">
        <f t="shared" si="4"/>
        <v>Arrêté ministériel POLLEC 2020_INV_4 du 02-12-2020</v>
      </c>
    </row>
    <row r="153" spans="1:14" x14ac:dyDescent="0.25">
      <c r="A153" t="s">
        <v>819</v>
      </c>
      <c r="B153" t="s">
        <v>191</v>
      </c>
      <c r="C153" s="120">
        <v>50000</v>
      </c>
      <c r="D153" t="s">
        <v>858</v>
      </c>
      <c r="E153" t="s">
        <v>859</v>
      </c>
      <c r="F153" t="s">
        <v>217</v>
      </c>
      <c r="G153" t="s">
        <v>860</v>
      </c>
      <c r="H153" t="s">
        <v>861</v>
      </c>
      <c r="I153" t="s">
        <v>899</v>
      </c>
      <c r="J153">
        <v>4970</v>
      </c>
      <c r="K153" t="s">
        <v>900</v>
      </c>
      <c r="L153" s="11" t="s">
        <v>1026</v>
      </c>
      <c r="M153" s="11" t="s">
        <v>1027</v>
      </c>
      <c r="N153" s="11" t="str">
        <f t="shared" si="4"/>
        <v>Arrêté ministériel POLLEC 2020_INV_4 du 02-12-2020</v>
      </c>
    </row>
    <row r="154" spans="1:14" x14ac:dyDescent="0.25">
      <c r="A154" t="s">
        <v>901</v>
      </c>
      <c r="B154" t="s">
        <v>191</v>
      </c>
      <c r="C154" s="120">
        <v>50000</v>
      </c>
      <c r="D154" t="s">
        <v>903</v>
      </c>
      <c r="E154" t="s">
        <v>904</v>
      </c>
      <c r="F154" t="s">
        <v>217</v>
      </c>
      <c r="G154" t="s">
        <v>860</v>
      </c>
      <c r="H154" t="s">
        <v>861</v>
      </c>
      <c r="I154" t="s">
        <v>907</v>
      </c>
      <c r="J154">
        <v>6927</v>
      </c>
      <c r="K154" t="s">
        <v>908</v>
      </c>
      <c r="L154" s="11" t="s">
        <v>1026</v>
      </c>
      <c r="M154" s="11" t="s">
        <v>1027</v>
      </c>
      <c r="N154" s="11" t="str">
        <f t="shared" si="4"/>
        <v>Arrêté ministériel POLLEC 2020_INV_4 du 02-12-2020</v>
      </c>
    </row>
    <row r="155" spans="1:14" x14ac:dyDescent="0.25">
      <c r="A155" t="s">
        <v>902</v>
      </c>
      <c r="B155" t="s">
        <v>192</v>
      </c>
      <c r="C155" s="120">
        <v>50000</v>
      </c>
      <c r="D155" t="s">
        <v>905</v>
      </c>
      <c r="E155" t="s">
        <v>906</v>
      </c>
      <c r="F155" t="s">
        <v>217</v>
      </c>
      <c r="G155" t="s">
        <v>860</v>
      </c>
      <c r="H155" t="s">
        <v>861</v>
      </c>
      <c r="I155" t="s">
        <v>909</v>
      </c>
      <c r="J155">
        <v>6970</v>
      </c>
      <c r="K155" t="s">
        <v>910</v>
      </c>
      <c r="L155" s="11" t="s">
        <v>1026</v>
      </c>
      <c r="M155" s="11" t="s">
        <v>1027</v>
      </c>
      <c r="N155" s="11" t="str">
        <f t="shared" si="4"/>
        <v>Arrêté ministériel POLLEC 2020_INV_4 du 02-12-2020</v>
      </c>
    </row>
    <row r="156" spans="1:14" x14ac:dyDescent="0.25">
      <c r="A156" t="s">
        <v>911</v>
      </c>
      <c r="B156" t="s">
        <v>192</v>
      </c>
      <c r="C156" s="120">
        <v>50000</v>
      </c>
      <c r="D156" t="s">
        <v>934</v>
      </c>
      <c r="E156" t="s">
        <v>935</v>
      </c>
      <c r="F156" t="s">
        <v>217</v>
      </c>
      <c r="G156" t="s">
        <v>220</v>
      </c>
      <c r="H156" t="s">
        <v>223</v>
      </c>
      <c r="I156" t="s">
        <v>980</v>
      </c>
      <c r="J156">
        <v>4557</v>
      </c>
      <c r="K156" t="s">
        <v>981</v>
      </c>
      <c r="L156" s="11" t="s">
        <v>1026</v>
      </c>
      <c r="M156" s="11" t="s">
        <v>1027</v>
      </c>
      <c r="N156" s="11" t="str">
        <f t="shared" si="4"/>
        <v>Arrêté ministériel POLLEC 2020_INV_5 du 02-12-2020</v>
      </c>
    </row>
    <row r="157" spans="1:14" x14ac:dyDescent="0.25">
      <c r="A157" t="s">
        <v>912</v>
      </c>
      <c r="B157" t="s">
        <v>191</v>
      </c>
      <c r="C157" s="120">
        <v>50000</v>
      </c>
      <c r="D157" t="s">
        <v>936</v>
      </c>
      <c r="E157" t="s">
        <v>937</v>
      </c>
      <c r="F157" t="s">
        <v>217</v>
      </c>
      <c r="G157" t="s">
        <v>860</v>
      </c>
      <c r="H157" t="s">
        <v>861</v>
      </c>
      <c r="I157" t="s">
        <v>982</v>
      </c>
      <c r="J157">
        <v>6730</v>
      </c>
      <c r="K157" t="s">
        <v>983</v>
      </c>
      <c r="L157" s="11" t="s">
        <v>1026</v>
      </c>
      <c r="M157" s="11" t="s">
        <v>1027</v>
      </c>
      <c r="N157" s="11" t="str">
        <f t="shared" si="4"/>
        <v>Arrêté ministériel POLLEC 2020_INV_4 du 02-12-2020</v>
      </c>
    </row>
    <row r="158" spans="1:14" x14ac:dyDescent="0.25">
      <c r="A158" t="s">
        <v>913</v>
      </c>
      <c r="B158" t="s">
        <v>191</v>
      </c>
      <c r="C158" s="120">
        <v>110000</v>
      </c>
      <c r="D158" t="s">
        <v>938</v>
      </c>
      <c r="E158" t="s">
        <v>939</v>
      </c>
      <c r="F158" t="s">
        <v>217</v>
      </c>
      <c r="G158" t="s">
        <v>860</v>
      </c>
      <c r="H158" t="s">
        <v>861</v>
      </c>
      <c r="I158" t="s">
        <v>984</v>
      </c>
      <c r="J158">
        <v>7500</v>
      </c>
      <c r="K158" t="s">
        <v>985</v>
      </c>
      <c r="L158" s="11" t="s">
        <v>1026</v>
      </c>
      <c r="M158" s="11" t="s">
        <v>1027</v>
      </c>
      <c r="N158" s="11" t="str">
        <f t="shared" si="4"/>
        <v>Arrêté ministériel POLLEC 2020_INV_4 du 02-12-2020</v>
      </c>
    </row>
    <row r="159" spans="1:14" x14ac:dyDescent="0.25">
      <c r="A159" t="s">
        <v>914</v>
      </c>
      <c r="B159" t="s">
        <v>191</v>
      </c>
      <c r="C159" s="120">
        <v>75000</v>
      </c>
      <c r="D159" t="s">
        <v>940</v>
      </c>
      <c r="E159" t="s">
        <v>941</v>
      </c>
      <c r="F159" t="s">
        <v>217</v>
      </c>
      <c r="G159" t="s">
        <v>860</v>
      </c>
      <c r="H159" t="s">
        <v>861</v>
      </c>
      <c r="I159" t="s">
        <v>768</v>
      </c>
      <c r="J159">
        <v>1480</v>
      </c>
      <c r="K159" t="s">
        <v>986</v>
      </c>
      <c r="L159" s="11" t="s">
        <v>1026</v>
      </c>
      <c r="M159" s="11" t="s">
        <v>1027</v>
      </c>
      <c r="N159" s="11" t="str">
        <f t="shared" si="4"/>
        <v>Arrêté ministériel POLLEC 2020_INV_4 du 02-12-2020</v>
      </c>
    </row>
    <row r="160" spans="1:14" x14ac:dyDescent="0.25">
      <c r="A160" t="s">
        <v>915</v>
      </c>
      <c r="B160" t="s">
        <v>192</v>
      </c>
      <c r="C160" s="120">
        <v>50000</v>
      </c>
      <c r="D160" t="s">
        <v>942</v>
      </c>
      <c r="E160" t="s">
        <v>943</v>
      </c>
      <c r="F160" t="s">
        <v>217</v>
      </c>
      <c r="G160" t="s">
        <v>860</v>
      </c>
      <c r="H160" t="s">
        <v>861</v>
      </c>
      <c r="I160" t="s">
        <v>987</v>
      </c>
      <c r="J160">
        <v>6640</v>
      </c>
      <c r="K160" t="s">
        <v>988</v>
      </c>
      <c r="L160" s="11" t="s">
        <v>1026</v>
      </c>
      <c r="M160" s="11" t="s">
        <v>1027</v>
      </c>
      <c r="N160" s="11" t="str">
        <f t="shared" si="4"/>
        <v>Arrêté ministériel POLLEC 2020_INV_4 du 02-12-2020</v>
      </c>
    </row>
    <row r="161" spans="1:14" x14ac:dyDescent="0.25">
      <c r="A161" t="s">
        <v>916</v>
      </c>
      <c r="B161" t="s">
        <v>191</v>
      </c>
      <c r="C161" s="120">
        <v>50000</v>
      </c>
      <c r="D161" t="s">
        <v>944</v>
      </c>
      <c r="E161" t="s">
        <v>945</v>
      </c>
      <c r="F161" t="s">
        <v>217</v>
      </c>
      <c r="G161" t="s">
        <v>860</v>
      </c>
      <c r="H161" t="s">
        <v>861</v>
      </c>
      <c r="I161" t="s">
        <v>989</v>
      </c>
      <c r="J161">
        <v>4537</v>
      </c>
      <c r="K161" t="s">
        <v>990</v>
      </c>
      <c r="L161" s="11" t="s">
        <v>1026</v>
      </c>
      <c r="M161" s="11" t="s">
        <v>1027</v>
      </c>
      <c r="N161" s="11" t="str">
        <f t="shared" si="4"/>
        <v>Arrêté ministériel POLLEC 2020_INV_4 du 02-12-2020</v>
      </c>
    </row>
    <row r="162" spans="1:14" x14ac:dyDescent="0.25">
      <c r="A162" t="s">
        <v>917</v>
      </c>
      <c r="B162" t="s">
        <v>191</v>
      </c>
      <c r="C162" s="120">
        <v>110000</v>
      </c>
      <c r="D162" t="s">
        <v>946</v>
      </c>
      <c r="E162" t="s">
        <v>947</v>
      </c>
      <c r="F162" t="s">
        <v>217</v>
      </c>
      <c r="G162" t="s">
        <v>343</v>
      </c>
      <c r="H162" t="s">
        <v>344</v>
      </c>
      <c r="I162" t="s">
        <v>991</v>
      </c>
      <c r="J162">
        <v>4800</v>
      </c>
      <c r="K162" t="s">
        <v>992</v>
      </c>
      <c r="L162" s="11" t="s">
        <v>1026</v>
      </c>
      <c r="M162" s="11" t="s">
        <v>1027</v>
      </c>
      <c r="N162" s="11" t="str">
        <f t="shared" ref="N162:N178" si="5">CONCATENATE(L162,G162,M162)</f>
        <v>Arrêté ministériel POLLEC 2020_INV_8 du 02-12-2020</v>
      </c>
    </row>
    <row r="163" spans="1:14" x14ac:dyDescent="0.25">
      <c r="A163" t="s">
        <v>918</v>
      </c>
      <c r="B163" t="s">
        <v>191</v>
      </c>
      <c r="C163" s="120">
        <v>50000</v>
      </c>
      <c r="D163" t="s">
        <v>948</v>
      </c>
      <c r="E163" t="s">
        <v>949</v>
      </c>
      <c r="F163" t="s">
        <v>217</v>
      </c>
      <c r="G163" t="s">
        <v>343</v>
      </c>
      <c r="H163" t="s">
        <v>344</v>
      </c>
      <c r="I163" t="s">
        <v>993</v>
      </c>
      <c r="J163">
        <v>6690</v>
      </c>
      <c r="K163" t="s">
        <v>994</v>
      </c>
      <c r="L163" s="11" t="s">
        <v>1026</v>
      </c>
      <c r="M163" s="11" t="s">
        <v>1027</v>
      </c>
      <c r="N163" s="11" t="str">
        <f t="shared" si="5"/>
        <v>Arrêté ministériel POLLEC 2020_INV_8 du 02-12-2020</v>
      </c>
    </row>
    <row r="164" spans="1:14" x14ac:dyDescent="0.25">
      <c r="A164" t="s">
        <v>919</v>
      </c>
      <c r="B164" t="s">
        <v>191</v>
      </c>
      <c r="C164" s="120">
        <v>50000</v>
      </c>
      <c r="D164" t="s">
        <v>950</v>
      </c>
      <c r="E164" t="s">
        <v>951</v>
      </c>
      <c r="F164" t="s">
        <v>217</v>
      </c>
      <c r="G164" t="s">
        <v>860</v>
      </c>
      <c r="H164" t="s">
        <v>861</v>
      </c>
      <c r="I164" t="s">
        <v>995</v>
      </c>
      <c r="J164">
        <v>1495</v>
      </c>
      <c r="K164" t="s">
        <v>996</v>
      </c>
      <c r="L164" s="11" t="s">
        <v>1026</v>
      </c>
      <c r="M164" s="11" t="s">
        <v>1027</v>
      </c>
      <c r="N164" s="11" t="str">
        <f t="shared" si="5"/>
        <v>Arrêté ministériel POLLEC 2020_INV_4 du 02-12-2020</v>
      </c>
    </row>
    <row r="165" spans="1:14" x14ac:dyDescent="0.25">
      <c r="A165" t="s">
        <v>920</v>
      </c>
      <c r="B165" t="s">
        <v>191</v>
      </c>
      <c r="C165" s="120">
        <v>50000</v>
      </c>
      <c r="D165" t="s">
        <v>952</v>
      </c>
      <c r="E165" t="s">
        <v>953</v>
      </c>
      <c r="F165" t="s">
        <v>217</v>
      </c>
      <c r="G165" t="s">
        <v>343</v>
      </c>
      <c r="H165" t="s">
        <v>344</v>
      </c>
      <c r="I165" t="s">
        <v>997</v>
      </c>
      <c r="J165">
        <v>4530</v>
      </c>
      <c r="K165" t="s">
        <v>998</v>
      </c>
      <c r="L165" s="11" t="s">
        <v>1026</v>
      </c>
      <c r="M165" s="11" t="s">
        <v>1027</v>
      </c>
      <c r="N165" s="11" t="str">
        <f t="shared" si="5"/>
        <v>Arrêté ministériel POLLEC 2020_INV_8 du 02-12-2020</v>
      </c>
    </row>
    <row r="166" spans="1:14" x14ac:dyDescent="0.25">
      <c r="A166" t="s">
        <v>921</v>
      </c>
      <c r="B166" t="s">
        <v>192</v>
      </c>
      <c r="C166" s="120">
        <v>50000</v>
      </c>
      <c r="D166" t="s">
        <v>954</v>
      </c>
      <c r="E166" t="s">
        <v>955</v>
      </c>
      <c r="F166" t="s">
        <v>217</v>
      </c>
      <c r="G166" t="s">
        <v>220</v>
      </c>
      <c r="H166" t="s">
        <v>223</v>
      </c>
      <c r="I166" t="s">
        <v>999</v>
      </c>
      <c r="J166">
        <v>5670</v>
      </c>
      <c r="K166" t="s">
        <v>1000</v>
      </c>
      <c r="L166" s="11" t="s">
        <v>1026</v>
      </c>
      <c r="M166" s="11" t="s">
        <v>1027</v>
      </c>
      <c r="N166" s="11" t="str">
        <f t="shared" si="5"/>
        <v>Arrêté ministériel POLLEC 2020_INV_5 du 02-12-2020</v>
      </c>
    </row>
    <row r="167" spans="1:14" x14ac:dyDescent="0.25">
      <c r="A167" t="s">
        <v>922</v>
      </c>
      <c r="B167" t="s">
        <v>191</v>
      </c>
      <c r="C167" s="120">
        <v>75000</v>
      </c>
      <c r="D167" t="s">
        <v>956</v>
      </c>
      <c r="E167" t="s">
        <v>957</v>
      </c>
      <c r="F167" t="s">
        <v>217</v>
      </c>
      <c r="G167" t="s">
        <v>343</v>
      </c>
      <c r="H167" t="s">
        <v>344</v>
      </c>
      <c r="I167" t="s">
        <v>1001</v>
      </c>
      <c r="J167">
        <v>6760</v>
      </c>
      <c r="K167" t="s">
        <v>1002</v>
      </c>
      <c r="L167" s="11" t="s">
        <v>1026</v>
      </c>
      <c r="M167" s="11" t="s">
        <v>1027</v>
      </c>
      <c r="N167" s="11" t="str">
        <f t="shared" si="5"/>
        <v>Arrêté ministériel POLLEC 2020_INV_8 du 02-12-2020</v>
      </c>
    </row>
    <row r="168" spans="1:14" x14ac:dyDescent="0.25">
      <c r="A168" t="s">
        <v>923</v>
      </c>
      <c r="B168" t="s">
        <v>192</v>
      </c>
      <c r="C168" s="120">
        <v>75000</v>
      </c>
      <c r="D168" t="s">
        <v>958</v>
      </c>
      <c r="E168" t="s">
        <v>959</v>
      </c>
      <c r="F168" t="s">
        <v>217</v>
      </c>
      <c r="G168" t="s">
        <v>612</v>
      </c>
      <c r="H168" t="s">
        <v>614</v>
      </c>
      <c r="I168" t="s">
        <v>1003</v>
      </c>
      <c r="J168">
        <v>4600</v>
      </c>
      <c r="K168" t="s">
        <v>1004</v>
      </c>
      <c r="L168" s="11" t="s">
        <v>1026</v>
      </c>
      <c r="M168" s="11" t="s">
        <v>1027</v>
      </c>
      <c r="N168" s="11" t="str">
        <f t="shared" si="5"/>
        <v>Arrêté ministériel POLLEC 2020_INV_9 du 02-12-2020</v>
      </c>
    </row>
    <row r="169" spans="1:14" x14ac:dyDescent="0.25">
      <c r="A169" t="s">
        <v>924</v>
      </c>
      <c r="B169" s="11" t="s">
        <v>191</v>
      </c>
      <c r="C169" s="120">
        <v>50000</v>
      </c>
      <c r="D169" t="s">
        <v>960</v>
      </c>
      <c r="E169" t="s">
        <v>961</v>
      </c>
      <c r="F169" t="s">
        <v>217</v>
      </c>
      <c r="G169" t="s">
        <v>220</v>
      </c>
      <c r="H169" t="s">
        <v>223</v>
      </c>
      <c r="I169" t="s">
        <v>1005</v>
      </c>
      <c r="J169">
        <v>4950</v>
      </c>
      <c r="K169" t="s">
        <v>1006</v>
      </c>
      <c r="L169" s="11" t="s">
        <v>1026</v>
      </c>
      <c r="M169" s="11" t="s">
        <v>1027</v>
      </c>
      <c r="N169" s="11" t="str">
        <f t="shared" si="5"/>
        <v>Arrêté ministériel POLLEC 2020_INV_5 du 02-12-2020</v>
      </c>
    </row>
    <row r="170" spans="1:14" x14ac:dyDescent="0.25">
      <c r="A170" t="s">
        <v>925</v>
      </c>
      <c r="B170" s="11" t="s">
        <v>191</v>
      </c>
      <c r="C170" s="120">
        <v>50000</v>
      </c>
      <c r="D170" t="s">
        <v>962</v>
      </c>
      <c r="E170" t="s">
        <v>963</v>
      </c>
      <c r="F170" t="s">
        <v>217</v>
      </c>
      <c r="G170" t="s">
        <v>343</v>
      </c>
      <c r="H170" t="s">
        <v>344</v>
      </c>
      <c r="I170" t="s">
        <v>633</v>
      </c>
      <c r="J170">
        <v>1457</v>
      </c>
      <c r="K170" t="s">
        <v>1007</v>
      </c>
      <c r="L170" s="11" t="s">
        <v>1026</v>
      </c>
      <c r="M170" s="11" t="s">
        <v>1027</v>
      </c>
      <c r="N170" s="11" t="str">
        <f t="shared" si="5"/>
        <v>Arrêté ministériel POLLEC 2020_INV_8 du 02-12-2020</v>
      </c>
    </row>
    <row r="171" spans="1:14" x14ac:dyDescent="0.25">
      <c r="A171" t="s">
        <v>926</v>
      </c>
      <c r="B171" s="11" t="s">
        <v>192</v>
      </c>
      <c r="C171" s="120">
        <v>75000</v>
      </c>
      <c r="D171" t="s">
        <v>964</v>
      </c>
      <c r="E171" t="s">
        <v>965</v>
      </c>
      <c r="F171" t="s">
        <v>217</v>
      </c>
      <c r="G171" t="s">
        <v>220</v>
      </c>
      <c r="H171" t="s">
        <v>223</v>
      </c>
      <c r="I171" t="s">
        <v>1008</v>
      </c>
      <c r="J171">
        <v>4520</v>
      </c>
      <c r="K171" t="s">
        <v>1009</v>
      </c>
      <c r="L171" s="11" t="s">
        <v>1026</v>
      </c>
      <c r="M171" s="11" t="s">
        <v>1027</v>
      </c>
      <c r="N171" s="11" t="str">
        <f t="shared" si="5"/>
        <v>Arrêté ministériel POLLEC 2020_INV_5 du 02-12-2020</v>
      </c>
    </row>
    <row r="172" spans="1:14" x14ac:dyDescent="0.25">
      <c r="A172" t="s">
        <v>927</v>
      </c>
      <c r="B172" s="11" t="s">
        <v>191</v>
      </c>
      <c r="C172" s="120">
        <v>75000</v>
      </c>
      <c r="D172" t="s">
        <v>966</v>
      </c>
      <c r="E172" t="s">
        <v>967</v>
      </c>
      <c r="F172" t="s">
        <v>217</v>
      </c>
      <c r="G172" t="s">
        <v>343</v>
      </c>
      <c r="H172" t="s">
        <v>344</v>
      </c>
      <c r="I172" t="s">
        <v>1010</v>
      </c>
      <c r="J172">
        <v>4300</v>
      </c>
      <c r="K172" t="s">
        <v>1011</v>
      </c>
      <c r="L172" s="11" t="s">
        <v>1026</v>
      </c>
      <c r="M172" s="11" t="s">
        <v>1027</v>
      </c>
      <c r="N172" s="11" t="str">
        <f t="shared" si="5"/>
        <v>Arrêté ministériel POLLEC 2020_INV_8 du 02-12-2020</v>
      </c>
    </row>
    <row r="173" spans="1:14" x14ac:dyDescent="0.25">
      <c r="A173" t="s">
        <v>928</v>
      </c>
      <c r="B173" s="11" t="s">
        <v>191</v>
      </c>
      <c r="C173" s="120">
        <v>50000</v>
      </c>
      <c r="D173" t="s">
        <v>968</v>
      </c>
      <c r="E173" t="s">
        <v>969</v>
      </c>
      <c r="F173" t="s">
        <v>217</v>
      </c>
      <c r="G173" t="s">
        <v>220</v>
      </c>
      <c r="H173" t="s">
        <v>223</v>
      </c>
      <c r="I173" t="s">
        <v>1012</v>
      </c>
      <c r="J173">
        <v>4219</v>
      </c>
      <c r="K173" t="s">
        <v>1013</v>
      </c>
      <c r="L173" s="11" t="s">
        <v>1026</v>
      </c>
      <c r="M173" s="11" t="s">
        <v>1027</v>
      </c>
      <c r="N173" s="11" t="str">
        <f t="shared" si="5"/>
        <v>Arrêté ministériel POLLEC 2020_INV_5 du 02-12-2020</v>
      </c>
    </row>
    <row r="174" spans="1:14" x14ac:dyDescent="0.25">
      <c r="A174" t="s">
        <v>929</v>
      </c>
      <c r="B174" s="11" t="s">
        <v>191</v>
      </c>
      <c r="C174" s="120">
        <v>75000</v>
      </c>
      <c r="D174" t="s">
        <v>970</v>
      </c>
      <c r="E174" t="s">
        <v>971</v>
      </c>
      <c r="F174" t="s">
        <v>217</v>
      </c>
      <c r="G174" t="s">
        <v>343</v>
      </c>
      <c r="H174" t="s">
        <v>344</v>
      </c>
      <c r="I174" t="s">
        <v>1014</v>
      </c>
      <c r="J174">
        <v>1410</v>
      </c>
      <c r="K174" t="s">
        <v>1015</v>
      </c>
      <c r="L174" s="11" t="s">
        <v>1026</v>
      </c>
      <c r="M174" s="11" t="s">
        <v>1027</v>
      </c>
      <c r="N174" s="11" t="str">
        <f t="shared" si="5"/>
        <v>Arrêté ministériel POLLEC 2020_INV_8 du 02-12-2020</v>
      </c>
    </row>
    <row r="175" spans="1:14" x14ac:dyDescent="0.25">
      <c r="A175" t="s">
        <v>930</v>
      </c>
      <c r="B175" s="11" t="s">
        <v>191</v>
      </c>
      <c r="C175" s="120">
        <v>75000</v>
      </c>
      <c r="D175" t="s">
        <v>972</v>
      </c>
      <c r="E175" t="s">
        <v>973</v>
      </c>
      <c r="F175" t="s">
        <v>217</v>
      </c>
      <c r="G175" t="s">
        <v>220</v>
      </c>
      <c r="H175" t="s">
        <v>223</v>
      </c>
      <c r="I175" t="s">
        <v>1016</v>
      </c>
      <c r="J175">
        <v>1300</v>
      </c>
      <c r="K175" t="s">
        <v>1017</v>
      </c>
      <c r="L175" s="11" t="s">
        <v>1026</v>
      </c>
      <c r="M175" s="11" t="s">
        <v>1027</v>
      </c>
      <c r="N175" s="11" t="str">
        <f t="shared" si="5"/>
        <v>Arrêté ministériel POLLEC 2020_INV_5 du 02-12-2020</v>
      </c>
    </row>
    <row r="176" spans="1:14" x14ac:dyDescent="0.25">
      <c r="A176" t="s">
        <v>931</v>
      </c>
      <c r="B176" s="11" t="s">
        <v>191</v>
      </c>
      <c r="C176" s="120">
        <v>50000</v>
      </c>
      <c r="D176" t="s">
        <v>974</v>
      </c>
      <c r="E176" t="s">
        <v>975</v>
      </c>
      <c r="F176" t="s">
        <v>217</v>
      </c>
      <c r="G176" t="s">
        <v>220</v>
      </c>
      <c r="H176" t="s">
        <v>223</v>
      </c>
      <c r="I176" t="s">
        <v>1018</v>
      </c>
      <c r="J176">
        <v>4840</v>
      </c>
      <c r="K176" t="s">
        <v>1019</v>
      </c>
      <c r="L176" s="11" t="s">
        <v>1026</v>
      </c>
      <c r="M176" s="11" t="s">
        <v>1027</v>
      </c>
      <c r="N176" s="11" t="str">
        <f t="shared" si="5"/>
        <v>Arrêté ministériel POLLEC 2020_INV_5 du 02-12-2020</v>
      </c>
    </row>
    <row r="177" spans="1:14" x14ac:dyDescent="0.25">
      <c r="A177" t="s">
        <v>932</v>
      </c>
      <c r="B177" s="11" t="s">
        <v>192</v>
      </c>
      <c r="C177" s="120">
        <v>50000</v>
      </c>
      <c r="D177" t="s">
        <v>976</v>
      </c>
      <c r="E177" t="s">
        <v>977</v>
      </c>
      <c r="F177" t="s">
        <v>217</v>
      </c>
      <c r="G177" t="s">
        <v>612</v>
      </c>
      <c r="H177" t="s">
        <v>614</v>
      </c>
      <c r="I177" t="s">
        <v>768</v>
      </c>
      <c r="J177">
        <v>6920</v>
      </c>
      <c r="K177" t="s">
        <v>1020</v>
      </c>
      <c r="L177" s="11" t="s">
        <v>1026</v>
      </c>
      <c r="M177" s="11" t="s">
        <v>1027</v>
      </c>
      <c r="N177" s="11" t="str">
        <f t="shared" si="5"/>
        <v>Arrêté ministériel POLLEC 2020_INV_9 du 02-12-2020</v>
      </c>
    </row>
    <row r="178" spans="1:14" x14ac:dyDescent="0.25">
      <c r="A178" t="s">
        <v>933</v>
      </c>
      <c r="B178" s="11" t="s">
        <v>192</v>
      </c>
      <c r="C178" s="120">
        <v>50000</v>
      </c>
      <c r="D178" t="s">
        <v>978</v>
      </c>
      <c r="E178" t="s">
        <v>979</v>
      </c>
      <c r="F178" t="s">
        <v>217</v>
      </c>
      <c r="G178" t="s">
        <v>220</v>
      </c>
      <c r="H178" t="s">
        <v>223</v>
      </c>
      <c r="I178" t="s">
        <v>1021</v>
      </c>
      <c r="J178">
        <v>5530</v>
      </c>
      <c r="K178" t="s">
        <v>1022</v>
      </c>
      <c r="L178" s="11" t="s">
        <v>1026</v>
      </c>
      <c r="M178" s="11" t="s">
        <v>1027</v>
      </c>
      <c r="N178" s="11" t="str">
        <f t="shared" si="5"/>
        <v>Arrêté ministériel POLLEC 2020_INV_5 du 02-12-2020</v>
      </c>
    </row>
  </sheetData>
  <sheetProtection sheet="1" objects="1" scenarios="1"/>
  <sortState xmlns:xlrd2="http://schemas.microsoft.com/office/spreadsheetml/2017/richdata2" ref="A2:N180">
    <sortCondition ref="A2:A180"/>
  </sortState>
  <phoneticPr fontId="51"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DENTIF">
    <tabColor rgb="FFFFFF00"/>
  </sheetPr>
  <dimension ref="A1:AE66"/>
  <sheetViews>
    <sheetView showGridLines="0" zoomScaleNormal="100" zoomScaleSheetLayoutView="80" zoomScalePageLayoutView="75" workbookViewId="0">
      <selection activeCell="B11" sqref="B11"/>
    </sheetView>
  </sheetViews>
  <sheetFormatPr baseColWidth="10" defaultColWidth="10.7109375" defaultRowHeight="15" x14ac:dyDescent="0.25"/>
  <cols>
    <col min="1" max="1" width="59.28515625" style="212" customWidth="1"/>
    <col min="2" max="2" width="54.140625" style="211" customWidth="1"/>
    <col min="3" max="3" width="15.85546875" style="211" customWidth="1"/>
    <col min="4" max="4" width="17.7109375" style="211" customWidth="1"/>
    <col min="5" max="5" width="15.28515625" style="211" customWidth="1"/>
    <col min="6" max="6" width="40.7109375" style="211" customWidth="1"/>
    <col min="7" max="7" width="3.42578125" style="208" customWidth="1"/>
    <col min="8" max="8" width="3.28515625" style="208" customWidth="1"/>
    <col min="9" max="9" width="3.5703125" style="208" customWidth="1"/>
    <col min="10" max="10" width="0.7109375" style="208" customWidth="1"/>
    <col min="11" max="11" width="3.28515625" style="208" customWidth="1"/>
    <col min="12" max="12" width="1.7109375" style="208" customWidth="1"/>
    <col min="13" max="13" width="2" style="208" customWidth="1"/>
    <col min="14" max="14" width="4.7109375" style="208" customWidth="1"/>
    <col min="15" max="16" width="1.7109375" style="208" customWidth="1"/>
    <col min="17" max="17" width="3.28515625" style="208" customWidth="1"/>
    <col min="18" max="18" width="1.7109375" style="205" customWidth="1"/>
    <col min="19" max="27" width="10.7109375" style="205"/>
    <col min="28" max="16384" width="10.7109375" style="211"/>
  </cols>
  <sheetData>
    <row r="1" spans="1:31" s="166" customFormat="1" ht="29.25" customHeight="1" x14ac:dyDescent="0.25">
      <c r="A1" s="162" t="s">
        <v>62</v>
      </c>
      <c r="B1" s="163"/>
      <c r="C1" s="163"/>
      <c r="D1" s="164"/>
      <c r="E1" s="164"/>
      <c r="F1" s="165"/>
      <c r="R1" s="167"/>
      <c r="S1" s="167"/>
      <c r="T1" s="168"/>
      <c r="U1" s="168"/>
      <c r="V1" s="168"/>
      <c r="W1" s="168"/>
      <c r="X1" s="168"/>
      <c r="Y1" s="168"/>
      <c r="Z1" s="168"/>
      <c r="AA1" s="168"/>
      <c r="AB1" s="169"/>
      <c r="AC1" s="169"/>
      <c r="AD1" s="169"/>
      <c r="AE1" s="169"/>
    </row>
    <row r="2" spans="1:31" s="173" customFormat="1" ht="30" customHeight="1" x14ac:dyDescent="0.25">
      <c r="A2" s="170" t="s">
        <v>1090</v>
      </c>
      <c r="B2" s="171"/>
      <c r="C2" s="171"/>
      <c r="D2" s="172" t="s">
        <v>55</v>
      </c>
      <c r="F2" s="174"/>
      <c r="R2" s="175"/>
      <c r="S2" s="176"/>
      <c r="T2" s="176"/>
      <c r="U2" s="176"/>
      <c r="V2" s="176"/>
      <c r="W2" s="176"/>
      <c r="X2" s="176"/>
      <c r="Y2" s="176"/>
      <c r="Z2" s="176"/>
      <c r="AA2" s="176"/>
      <c r="AB2" s="177"/>
      <c r="AC2" s="177"/>
      <c r="AD2" s="177"/>
      <c r="AE2" s="177"/>
    </row>
    <row r="3" spans="1:31" s="173" customFormat="1" x14ac:dyDescent="0.25">
      <c r="A3" s="178"/>
      <c r="B3" s="179"/>
      <c r="C3" s="171"/>
      <c r="D3" s="180"/>
      <c r="E3" s="181" t="s">
        <v>1</v>
      </c>
      <c r="F3" s="218" t="s">
        <v>1098</v>
      </c>
      <c r="R3" s="175"/>
      <c r="S3" s="176"/>
      <c r="T3" s="176"/>
      <c r="U3" s="176"/>
      <c r="V3" s="176"/>
      <c r="W3" s="176"/>
      <c r="X3" s="176"/>
      <c r="Y3" s="176"/>
      <c r="Z3" s="176"/>
      <c r="AA3" s="176"/>
      <c r="AB3" s="177"/>
      <c r="AC3" s="177"/>
      <c r="AD3" s="177"/>
      <c r="AE3" s="177"/>
    </row>
    <row r="4" spans="1:31" s="173" customFormat="1" x14ac:dyDescent="0.25">
      <c r="A4" s="182" t="s">
        <v>166</v>
      </c>
      <c r="B4" s="183" t="s">
        <v>159</v>
      </c>
      <c r="C4" s="171"/>
      <c r="D4" s="184"/>
      <c r="E4" s="181" t="s">
        <v>18</v>
      </c>
      <c r="F4" s="219"/>
      <c r="R4" s="175"/>
      <c r="S4" s="176"/>
      <c r="T4" s="176"/>
      <c r="U4" s="176"/>
      <c r="V4" s="176"/>
      <c r="W4" s="176"/>
      <c r="X4" s="176"/>
      <c r="Y4" s="176"/>
      <c r="Z4" s="176"/>
      <c r="AA4" s="176"/>
      <c r="AB4" s="177"/>
      <c r="AC4" s="177"/>
      <c r="AD4" s="177"/>
      <c r="AE4" s="177"/>
    </row>
    <row r="5" spans="1:31" s="173" customFormat="1" x14ac:dyDescent="0.25">
      <c r="A5" s="182" t="s">
        <v>16</v>
      </c>
      <c r="B5" s="213"/>
      <c r="C5" s="171"/>
      <c r="D5" s="184"/>
      <c r="E5" s="185" t="s">
        <v>19</v>
      </c>
      <c r="F5" s="220"/>
      <c r="R5" s="175"/>
      <c r="S5" s="176"/>
      <c r="T5" s="176"/>
      <c r="U5" s="176"/>
      <c r="V5" s="176"/>
      <c r="W5" s="176"/>
      <c r="X5" s="176"/>
      <c r="Y5" s="176"/>
      <c r="Z5" s="176"/>
      <c r="AA5" s="176"/>
      <c r="AB5" s="177"/>
      <c r="AC5" s="177"/>
      <c r="AD5" s="177"/>
      <c r="AE5" s="177"/>
    </row>
    <row r="6" spans="1:31" s="173" customFormat="1" x14ac:dyDescent="0.25">
      <c r="A6" s="186" t="s">
        <v>136</v>
      </c>
      <c r="B6" s="187">
        <v>44197</v>
      </c>
      <c r="C6" s="171"/>
      <c r="D6" s="428" t="s">
        <v>89</v>
      </c>
      <c r="E6" s="429"/>
      <c r="F6" s="121">
        <f>(YEAR(IDENTIF_FIN_DC)-YEAR(IDENTIF_DEB_DC))*12+MONTH(IDENTIF_FIN_DC)-MONTH(IDENTIF_DEB_DC)+1</f>
        <v>1</v>
      </c>
    </row>
    <row r="7" spans="1:31" s="173" customFormat="1" x14ac:dyDescent="0.25">
      <c r="A7" s="186" t="s">
        <v>140</v>
      </c>
      <c r="B7" s="187">
        <v>45473</v>
      </c>
      <c r="C7" s="171"/>
      <c r="D7" s="179"/>
      <c r="E7" s="179"/>
      <c r="F7" s="179"/>
    </row>
    <row r="8" spans="1:31" s="173" customFormat="1" x14ac:dyDescent="0.25">
      <c r="A8" s="188" t="s">
        <v>156</v>
      </c>
      <c r="B8" s="189">
        <v>0.75</v>
      </c>
      <c r="C8" s="179"/>
      <c r="D8" s="179"/>
      <c r="E8" s="179"/>
      <c r="F8" s="179"/>
    </row>
    <row r="9" spans="1:31" s="179" customFormat="1" ht="18.75" customHeight="1" x14ac:dyDescent="0.25">
      <c r="A9" s="190"/>
      <c r="B9" s="190"/>
      <c r="R9" s="175"/>
      <c r="S9" s="168"/>
      <c r="T9" s="168"/>
      <c r="U9" s="168"/>
      <c r="V9" s="168"/>
      <c r="W9" s="168"/>
      <c r="X9" s="168"/>
      <c r="Y9" s="168"/>
      <c r="Z9" s="168"/>
      <c r="AA9" s="168"/>
      <c r="AB9" s="169"/>
      <c r="AC9" s="169"/>
      <c r="AD9" s="169"/>
      <c r="AE9" s="169"/>
    </row>
    <row r="10" spans="1:31" s="179" customFormat="1" ht="47.65" customHeight="1" x14ac:dyDescent="0.25">
      <c r="A10" s="431" t="s">
        <v>1092</v>
      </c>
      <c r="B10" s="431"/>
      <c r="D10" s="191" t="s">
        <v>1091</v>
      </c>
      <c r="R10" s="175"/>
      <c r="S10" s="168"/>
      <c r="T10" s="168"/>
      <c r="U10" s="168"/>
      <c r="V10" s="168"/>
      <c r="W10" s="168"/>
      <c r="X10" s="168"/>
      <c r="Y10" s="168"/>
      <c r="Z10" s="168"/>
      <c r="AA10" s="168"/>
      <c r="AB10" s="169"/>
      <c r="AC10" s="169"/>
      <c r="AD10" s="169"/>
      <c r="AE10" s="169"/>
    </row>
    <row r="11" spans="1:31" s="179" customFormat="1" ht="18.75" customHeight="1" x14ac:dyDescent="0.25">
      <c r="A11" s="192" t="s">
        <v>132</v>
      </c>
      <c r="B11" s="214" t="s">
        <v>182</v>
      </c>
      <c r="D11" s="184"/>
      <c r="E11" s="193" t="s">
        <v>1111</v>
      </c>
      <c r="F11" s="221" t="s">
        <v>1115</v>
      </c>
      <c r="R11" s="175"/>
      <c r="S11" s="168"/>
      <c r="T11" s="168"/>
      <c r="U11" s="168"/>
      <c r="V11" s="168"/>
      <c r="W11" s="168"/>
      <c r="X11" s="168"/>
      <c r="Y11" s="168"/>
      <c r="Z11" s="168"/>
      <c r="AA11" s="168"/>
      <c r="AB11" s="169"/>
      <c r="AC11" s="169"/>
      <c r="AD11" s="169"/>
      <c r="AE11" s="169"/>
    </row>
    <row r="12" spans="1:31" s="179" customFormat="1" ht="18.75" customHeight="1" x14ac:dyDescent="0.25">
      <c r="A12" s="194" t="s">
        <v>1083</v>
      </c>
      <c r="B12" s="215" t="str">
        <f>VLOOKUP($B$11,TAB_POLLEC_20_INV,5,0)</f>
        <v xml:space="preserve">0216.693.545 </v>
      </c>
      <c r="D12" s="184"/>
      <c r="E12" s="193" t="s">
        <v>1113</v>
      </c>
      <c r="F12" s="221"/>
      <c r="R12" s="175"/>
      <c r="S12" s="168"/>
      <c r="T12" s="168"/>
      <c r="U12" s="168"/>
      <c r="V12" s="168"/>
      <c r="W12" s="168"/>
      <c r="X12" s="168"/>
      <c r="Y12" s="168"/>
      <c r="Z12" s="168"/>
      <c r="AA12" s="168"/>
      <c r="AB12" s="169"/>
      <c r="AC12" s="169"/>
      <c r="AD12" s="169"/>
      <c r="AE12" s="169"/>
    </row>
    <row r="13" spans="1:31" s="179" customFormat="1" ht="18.75" customHeight="1" x14ac:dyDescent="0.25">
      <c r="A13" s="194" t="s">
        <v>1084</v>
      </c>
      <c r="B13" s="215" t="str">
        <f>VLOOKUP($B$11,TAB_POLLEC_20_INV,4,0)</f>
        <v>BE95 0910 0041 0358</v>
      </c>
      <c r="D13" s="184"/>
      <c r="E13" s="193" t="s">
        <v>1087</v>
      </c>
      <c r="F13" s="221"/>
      <c r="R13" s="175"/>
      <c r="S13" s="168"/>
      <c r="T13" s="168"/>
      <c r="U13" s="168"/>
      <c r="V13" s="168"/>
      <c r="W13" s="168"/>
      <c r="X13" s="168"/>
      <c r="Y13" s="168"/>
      <c r="Z13" s="168"/>
      <c r="AA13" s="168"/>
      <c r="AB13" s="169"/>
      <c r="AC13" s="169"/>
      <c r="AD13" s="169"/>
      <c r="AE13" s="169"/>
    </row>
    <row r="14" spans="1:31" s="179" customFormat="1" ht="18.75" customHeight="1" x14ac:dyDescent="0.25">
      <c r="A14" s="192" t="s">
        <v>103</v>
      </c>
      <c r="B14" s="214"/>
      <c r="D14" s="184"/>
      <c r="E14" s="193" t="s">
        <v>1088</v>
      </c>
      <c r="F14" s="221"/>
      <c r="R14" s="175"/>
      <c r="S14" s="168"/>
      <c r="T14" s="168"/>
      <c r="U14" s="168"/>
      <c r="V14" s="168"/>
      <c r="W14" s="168"/>
      <c r="X14" s="168"/>
      <c r="Y14" s="168"/>
      <c r="Z14" s="168"/>
      <c r="AA14" s="168"/>
      <c r="AB14" s="169"/>
      <c r="AC14" s="169"/>
      <c r="AD14" s="169"/>
      <c r="AE14" s="169"/>
    </row>
    <row r="15" spans="1:31" s="179" customFormat="1" ht="18.75" customHeight="1" x14ac:dyDescent="0.25">
      <c r="A15" s="192" t="s">
        <v>101</v>
      </c>
      <c r="B15" s="214"/>
      <c r="D15" s="432" t="s">
        <v>1089</v>
      </c>
      <c r="E15" s="433"/>
      <c r="F15" s="221"/>
      <c r="R15" s="175"/>
      <c r="S15" s="168"/>
      <c r="T15" s="168"/>
      <c r="U15" s="168"/>
      <c r="V15" s="168"/>
      <c r="W15" s="168"/>
      <c r="X15" s="168"/>
      <c r="Y15" s="168"/>
      <c r="Z15" s="168"/>
      <c r="AA15" s="168"/>
      <c r="AB15" s="169"/>
      <c r="AC15" s="169"/>
      <c r="AD15" s="169"/>
      <c r="AE15" s="169"/>
    </row>
    <row r="16" spans="1:31" s="179" customFormat="1" ht="18.75" customHeight="1" x14ac:dyDescent="0.25">
      <c r="A16" s="192" t="s">
        <v>102</v>
      </c>
      <c r="B16" s="214"/>
      <c r="R16" s="175"/>
      <c r="S16" s="168"/>
      <c r="T16" s="168"/>
      <c r="U16" s="168"/>
      <c r="V16" s="168"/>
      <c r="W16" s="168"/>
      <c r="X16" s="168"/>
      <c r="Y16" s="168"/>
      <c r="Z16" s="168"/>
      <c r="AA16" s="168"/>
      <c r="AB16" s="169"/>
      <c r="AC16" s="169"/>
      <c r="AD16" s="169"/>
      <c r="AE16" s="169"/>
    </row>
    <row r="17" spans="1:31" s="179" customFormat="1" ht="22.15" customHeight="1" x14ac:dyDescent="0.25">
      <c r="A17" s="195" t="s">
        <v>64</v>
      </c>
      <c r="B17" s="216" t="s">
        <v>30</v>
      </c>
      <c r="R17" s="175"/>
      <c r="S17" s="168"/>
      <c r="T17" s="168"/>
      <c r="U17" s="168"/>
      <c r="V17" s="168"/>
      <c r="W17" s="168"/>
      <c r="X17" s="168"/>
      <c r="Y17" s="168"/>
      <c r="Z17" s="168"/>
      <c r="AA17" s="168"/>
      <c r="AB17" s="169"/>
      <c r="AC17" s="169"/>
      <c r="AD17" s="169"/>
      <c r="AE17" s="169"/>
    </row>
    <row r="18" spans="1:31" s="179" customFormat="1" ht="57" customHeight="1" x14ac:dyDescent="0.25">
      <c r="A18" s="196" t="s">
        <v>2</v>
      </c>
      <c r="B18" s="217"/>
      <c r="R18" s="175"/>
      <c r="S18" s="168"/>
      <c r="T18" s="168"/>
      <c r="U18" s="168"/>
      <c r="V18" s="168"/>
      <c r="W18" s="168"/>
      <c r="X18" s="168"/>
      <c r="Y18" s="168"/>
      <c r="Z18" s="168"/>
      <c r="AA18" s="168"/>
      <c r="AB18" s="169"/>
      <c r="AC18" s="169"/>
      <c r="AD18" s="169"/>
      <c r="AE18" s="169"/>
    </row>
    <row r="19" spans="1:31" s="179" customFormat="1" ht="18.75" customHeight="1" x14ac:dyDescent="0.25">
      <c r="B19" s="197"/>
      <c r="R19" s="175"/>
      <c r="S19" s="168"/>
      <c r="T19" s="168"/>
      <c r="U19" s="168"/>
      <c r="V19" s="168"/>
      <c r="W19" s="168"/>
      <c r="X19" s="168"/>
      <c r="Y19" s="168"/>
      <c r="Z19" s="168"/>
      <c r="AA19" s="168"/>
      <c r="AB19" s="169"/>
      <c r="AC19" s="169"/>
      <c r="AD19" s="169"/>
      <c r="AE19" s="169"/>
    </row>
    <row r="20" spans="1:31" s="166" customFormat="1" ht="67.5" customHeight="1" x14ac:dyDescent="0.25">
      <c r="A20" s="430" t="s">
        <v>1127</v>
      </c>
      <c r="B20" s="430"/>
      <c r="C20" s="198"/>
      <c r="D20" s="430" t="s">
        <v>1132</v>
      </c>
      <c r="E20" s="430"/>
      <c r="F20" s="430"/>
      <c r="R20" s="168"/>
      <c r="S20" s="168"/>
      <c r="T20" s="168"/>
      <c r="U20" s="168"/>
      <c r="V20" s="168"/>
      <c r="W20" s="168"/>
      <c r="X20" s="168"/>
      <c r="Y20" s="168"/>
      <c r="Z20" s="168"/>
      <c r="AA20" s="168"/>
      <c r="AB20" s="169"/>
      <c r="AC20" s="169"/>
      <c r="AD20" s="169"/>
      <c r="AE20" s="169"/>
    </row>
    <row r="21" spans="1:31" s="173" customFormat="1" x14ac:dyDescent="0.25">
      <c r="A21" s="199" t="s">
        <v>1126</v>
      </c>
      <c r="B21" s="123">
        <f>VLOOKUP($B$11,TAB_POLLEC_20_INV,3,0)</f>
        <v>50000</v>
      </c>
      <c r="C21" s="179"/>
      <c r="D21" s="184"/>
      <c r="E21" s="200" t="s">
        <v>1129</v>
      </c>
      <c r="F21" s="222" t="str">
        <f>VLOOKUP($B$11,TAB_POLLEC_20_INV,9,0)</f>
        <v>Cour d'Omalius 1</v>
      </c>
    </row>
    <row r="22" spans="1:31" s="173" customFormat="1" ht="30" x14ac:dyDescent="0.25">
      <c r="A22" s="195" t="s">
        <v>1114</v>
      </c>
      <c r="B22" s="123">
        <f>IDENTIF_MONTANT_SUBSIDE</f>
        <v>50000</v>
      </c>
      <c r="C22" s="179"/>
      <c r="D22" s="184"/>
      <c r="E22" s="200" t="s">
        <v>1130</v>
      </c>
      <c r="F22" s="222">
        <f>VLOOKUP($B$11,TAB_POLLEC_20_INV,10,0)</f>
        <v>4160</v>
      </c>
    </row>
    <row r="23" spans="1:31" s="173" customFormat="1" ht="30" x14ac:dyDescent="0.25">
      <c r="A23" s="195" t="s">
        <v>168</v>
      </c>
      <c r="B23" s="136">
        <v>0</v>
      </c>
      <c r="C23" s="179"/>
      <c r="D23" s="184"/>
      <c r="E23" s="200" t="s">
        <v>1131</v>
      </c>
      <c r="F23" s="222" t="str">
        <f>VLOOKUP($B$11,TAB_POLLEC_20_INV,11,0)</f>
        <v>ANTHISNES</v>
      </c>
    </row>
    <row r="24" spans="1:31" s="173" customFormat="1" x14ac:dyDescent="0.25">
      <c r="A24" s="199" t="s">
        <v>1085</v>
      </c>
      <c r="B24" s="123" t="str">
        <f>VLOOKUP($B$11,TAB_POLLEC_20_INV,14,0)</f>
        <v>Arrêté ministériel POLLEC 2020_INV_1 du 02-12-2020</v>
      </c>
      <c r="C24" s="179"/>
      <c r="D24" s="179"/>
      <c r="E24" s="179"/>
      <c r="F24" s="179"/>
    </row>
    <row r="25" spans="1:31" s="173" customFormat="1" x14ac:dyDescent="0.25">
      <c r="A25" s="201" t="s">
        <v>1086</v>
      </c>
      <c r="B25" s="123" t="str">
        <f>VLOOKUP($B$11,TAB_POLLEC_20_INV,8,0)</f>
        <v>20/20485</v>
      </c>
      <c r="C25" s="179"/>
      <c r="D25" s="179"/>
      <c r="E25" s="179"/>
      <c r="F25" s="179"/>
    </row>
    <row r="26" spans="1:31" s="173" customFormat="1" x14ac:dyDescent="0.25">
      <c r="A26" s="178"/>
      <c r="B26" s="179"/>
      <c r="C26" s="179"/>
      <c r="D26" s="179"/>
    </row>
    <row r="27" spans="1:31" s="173" customFormat="1" x14ac:dyDescent="0.25">
      <c r="C27" s="179"/>
    </row>
    <row r="28" spans="1:31" s="173" customFormat="1" x14ac:dyDescent="0.25">
      <c r="A28" s="166"/>
      <c r="B28" s="166"/>
      <c r="D28" s="166"/>
      <c r="E28" s="179"/>
      <c r="F28" s="179"/>
      <c r="G28" s="202"/>
      <c r="H28" s="202"/>
      <c r="I28" s="202"/>
      <c r="J28" s="202"/>
      <c r="K28" s="202"/>
      <c r="L28" s="202"/>
      <c r="M28" s="202"/>
      <c r="N28" s="202"/>
      <c r="O28" s="202"/>
      <c r="P28" s="202"/>
      <c r="Q28" s="202"/>
      <c r="R28" s="176"/>
      <c r="S28" s="176"/>
      <c r="T28" s="176"/>
      <c r="U28" s="176"/>
      <c r="V28" s="176"/>
      <c r="W28" s="176"/>
      <c r="X28" s="176"/>
      <c r="Y28" s="176"/>
      <c r="Z28" s="176"/>
      <c r="AA28" s="176"/>
      <c r="AB28" s="177"/>
      <c r="AC28" s="177"/>
      <c r="AD28" s="177"/>
      <c r="AE28" s="177"/>
    </row>
    <row r="29" spans="1:31" s="166" customFormat="1" x14ac:dyDescent="0.25">
      <c r="E29" s="179"/>
      <c r="F29" s="179"/>
      <c r="G29" s="203"/>
      <c r="H29" s="203"/>
      <c r="I29" s="203"/>
      <c r="J29" s="203"/>
      <c r="K29" s="203"/>
      <c r="L29" s="203"/>
      <c r="M29" s="203"/>
      <c r="N29" s="203"/>
      <c r="O29" s="203"/>
      <c r="P29" s="203"/>
      <c r="Q29" s="203"/>
      <c r="R29" s="168"/>
      <c r="S29" s="168"/>
      <c r="T29" s="168"/>
      <c r="U29" s="168"/>
      <c r="V29" s="168"/>
      <c r="W29" s="168"/>
      <c r="X29" s="168"/>
      <c r="Y29" s="168"/>
      <c r="Z29" s="168"/>
      <c r="AA29" s="168"/>
      <c r="AB29" s="169"/>
      <c r="AC29" s="169"/>
      <c r="AD29" s="169"/>
      <c r="AE29" s="169"/>
    </row>
    <row r="30" spans="1:31" s="166" customFormat="1" x14ac:dyDescent="0.25">
      <c r="A30" s="198"/>
      <c r="B30" s="198"/>
      <c r="E30" s="179"/>
      <c r="F30" s="179"/>
      <c r="G30" s="203"/>
      <c r="H30" s="203"/>
      <c r="I30" s="203"/>
      <c r="J30" s="203"/>
      <c r="K30" s="203"/>
      <c r="L30" s="203"/>
      <c r="M30" s="203"/>
      <c r="N30" s="203"/>
      <c r="O30" s="203"/>
      <c r="P30" s="203"/>
      <c r="Q30" s="203"/>
      <c r="R30" s="168"/>
      <c r="S30" s="168"/>
      <c r="T30" s="168"/>
      <c r="U30" s="168"/>
      <c r="V30" s="168"/>
      <c r="W30" s="168"/>
      <c r="X30" s="168"/>
      <c r="Y30" s="168"/>
      <c r="Z30" s="168"/>
      <c r="AA30" s="168"/>
      <c r="AB30" s="169"/>
      <c r="AC30" s="169"/>
      <c r="AD30" s="169"/>
      <c r="AE30" s="169"/>
    </row>
    <row r="31" spans="1:31" s="166" customFormat="1" x14ac:dyDescent="0.25">
      <c r="A31" s="204"/>
      <c r="B31" s="205"/>
      <c r="C31" s="198"/>
      <c r="D31" s="205"/>
      <c r="E31" s="205"/>
      <c r="F31" s="205"/>
      <c r="G31" s="206"/>
      <c r="H31" s="206"/>
      <c r="I31" s="206"/>
      <c r="J31" s="206"/>
      <c r="K31" s="206"/>
      <c r="L31" s="206"/>
      <c r="M31" s="206"/>
      <c r="N31" s="206"/>
      <c r="O31" s="206"/>
      <c r="P31" s="206"/>
      <c r="Q31" s="206"/>
      <c r="R31" s="207"/>
      <c r="S31" s="207"/>
      <c r="T31" s="207"/>
      <c r="U31" s="207"/>
      <c r="V31" s="207"/>
      <c r="W31" s="207"/>
      <c r="X31" s="207"/>
      <c r="Y31" s="207"/>
      <c r="Z31" s="207"/>
      <c r="AA31" s="207"/>
    </row>
    <row r="32" spans="1:31" s="205" customFormat="1" x14ac:dyDescent="0.25">
      <c r="A32" s="204"/>
      <c r="G32" s="208"/>
      <c r="H32" s="208"/>
      <c r="I32" s="208"/>
      <c r="J32" s="208"/>
      <c r="K32" s="208"/>
      <c r="L32" s="208"/>
      <c r="M32" s="208"/>
      <c r="N32" s="208"/>
      <c r="O32" s="208"/>
      <c r="P32" s="208"/>
      <c r="Q32" s="208"/>
    </row>
    <row r="33" spans="1:17" s="205" customFormat="1" x14ac:dyDescent="0.25">
      <c r="A33" s="204"/>
      <c r="G33" s="208"/>
      <c r="H33" s="208"/>
      <c r="I33" s="208"/>
      <c r="J33" s="208"/>
      <c r="K33" s="208"/>
      <c r="L33" s="208"/>
      <c r="M33" s="208"/>
      <c r="N33" s="208"/>
      <c r="O33" s="208"/>
      <c r="P33" s="208"/>
      <c r="Q33" s="208"/>
    </row>
    <row r="34" spans="1:17" s="205" customFormat="1" x14ac:dyDescent="0.25">
      <c r="A34" s="204"/>
      <c r="G34" s="208"/>
      <c r="H34" s="208"/>
      <c r="I34" s="208"/>
      <c r="J34" s="208"/>
      <c r="K34" s="208"/>
      <c r="L34" s="208"/>
      <c r="M34" s="208"/>
      <c r="N34" s="208"/>
      <c r="O34" s="208"/>
      <c r="P34" s="208"/>
      <c r="Q34" s="208"/>
    </row>
    <row r="35" spans="1:17" s="205" customFormat="1" x14ac:dyDescent="0.25">
      <c r="A35" s="204"/>
      <c r="G35" s="208"/>
      <c r="H35" s="208"/>
      <c r="I35" s="208"/>
      <c r="J35" s="208"/>
      <c r="K35" s="208"/>
      <c r="L35" s="208"/>
      <c r="M35" s="208"/>
      <c r="N35" s="208"/>
      <c r="O35" s="208"/>
      <c r="P35" s="208"/>
      <c r="Q35" s="208"/>
    </row>
    <row r="36" spans="1:17" s="205" customFormat="1" x14ac:dyDescent="0.25">
      <c r="A36" s="204"/>
      <c r="G36" s="208"/>
      <c r="H36" s="208"/>
      <c r="I36" s="208"/>
      <c r="J36" s="208"/>
      <c r="K36" s="208"/>
      <c r="L36" s="208"/>
      <c r="M36" s="208"/>
      <c r="N36" s="208"/>
      <c r="O36" s="208"/>
      <c r="P36" s="208"/>
      <c r="Q36" s="208"/>
    </row>
    <row r="37" spans="1:17" s="205" customFormat="1" x14ac:dyDescent="0.25">
      <c r="A37" s="204"/>
      <c r="G37" s="208"/>
      <c r="H37" s="208"/>
      <c r="I37" s="208"/>
      <c r="J37" s="208"/>
      <c r="K37" s="208"/>
      <c r="L37" s="208"/>
      <c r="M37" s="208"/>
      <c r="N37" s="208"/>
      <c r="O37" s="208"/>
      <c r="P37" s="208"/>
      <c r="Q37" s="208"/>
    </row>
    <row r="38" spans="1:17" s="205" customFormat="1" x14ac:dyDescent="0.25">
      <c r="A38" s="204"/>
      <c r="G38" s="208"/>
      <c r="H38" s="208"/>
      <c r="I38" s="208"/>
      <c r="J38" s="208"/>
      <c r="K38" s="208"/>
      <c r="L38" s="208"/>
      <c r="M38" s="208"/>
      <c r="N38" s="208"/>
      <c r="O38" s="208"/>
      <c r="P38" s="208"/>
      <c r="Q38" s="208"/>
    </row>
    <row r="39" spans="1:17" s="205" customFormat="1" x14ac:dyDescent="0.25">
      <c r="A39" s="204"/>
      <c r="G39" s="208"/>
      <c r="H39" s="208"/>
      <c r="I39" s="208"/>
      <c r="J39" s="208"/>
      <c r="K39" s="208"/>
      <c r="L39" s="208"/>
      <c r="M39" s="208"/>
      <c r="N39" s="208"/>
      <c r="O39" s="208"/>
      <c r="P39" s="208"/>
      <c r="Q39" s="208"/>
    </row>
    <row r="40" spans="1:17" s="205" customFormat="1" x14ac:dyDescent="0.25">
      <c r="A40" s="204"/>
      <c r="G40" s="208"/>
      <c r="H40" s="208"/>
      <c r="I40" s="208"/>
      <c r="J40" s="208"/>
      <c r="K40" s="208"/>
      <c r="L40" s="208"/>
      <c r="M40" s="208"/>
      <c r="N40" s="208"/>
      <c r="O40" s="208"/>
      <c r="P40" s="208"/>
      <c r="Q40" s="208"/>
    </row>
    <row r="41" spans="1:17" s="205" customFormat="1" x14ac:dyDescent="0.25">
      <c r="A41" s="204"/>
      <c r="G41" s="208"/>
      <c r="H41" s="208"/>
      <c r="I41" s="208"/>
      <c r="J41" s="208"/>
      <c r="K41" s="208"/>
      <c r="L41" s="208"/>
      <c r="M41" s="208"/>
      <c r="N41" s="208"/>
      <c r="O41" s="208"/>
      <c r="P41" s="208"/>
      <c r="Q41" s="208"/>
    </row>
    <row r="42" spans="1:17" s="205" customFormat="1" x14ac:dyDescent="0.25">
      <c r="A42" s="204"/>
      <c r="G42" s="208"/>
      <c r="H42" s="208"/>
      <c r="I42" s="208"/>
      <c r="J42" s="208"/>
      <c r="K42" s="208"/>
      <c r="L42" s="208"/>
      <c r="M42" s="208"/>
      <c r="N42" s="208"/>
      <c r="O42" s="208"/>
      <c r="P42" s="208"/>
      <c r="Q42" s="208"/>
    </row>
    <row r="43" spans="1:17" s="205" customFormat="1" x14ac:dyDescent="0.25">
      <c r="A43" s="204"/>
      <c r="G43" s="208"/>
      <c r="H43" s="208"/>
      <c r="I43" s="208"/>
      <c r="J43" s="208"/>
      <c r="K43" s="208"/>
      <c r="L43" s="208"/>
      <c r="M43" s="208"/>
      <c r="N43" s="208"/>
      <c r="O43" s="208"/>
      <c r="P43" s="208"/>
      <c r="Q43" s="208"/>
    </row>
    <row r="44" spans="1:17" s="205" customFormat="1" x14ac:dyDescent="0.25">
      <c r="A44" s="204"/>
      <c r="G44" s="208"/>
      <c r="H44" s="208"/>
      <c r="I44" s="208"/>
      <c r="J44" s="208"/>
      <c r="K44" s="208"/>
      <c r="L44" s="208"/>
      <c r="M44" s="208"/>
      <c r="N44" s="208"/>
      <c r="O44" s="208"/>
      <c r="P44" s="208"/>
      <c r="Q44" s="208"/>
    </row>
    <row r="45" spans="1:17" s="205" customFormat="1" x14ac:dyDescent="0.25">
      <c r="A45" s="204"/>
      <c r="G45" s="208"/>
      <c r="H45" s="208"/>
      <c r="I45" s="208"/>
      <c r="J45" s="208"/>
      <c r="K45" s="208"/>
      <c r="L45" s="208"/>
      <c r="M45" s="208"/>
      <c r="N45" s="208"/>
      <c r="O45" s="208"/>
      <c r="P45" s="208"/>
      <c r="Q45" s="208"/>
    </row>
    <row r="46" spans="1:17" s="205" customFormat="1" x14ac:dyDescent="0.25">
      <c r="A46" s="204"/>
      <c r="G46" s="208"/>
      <c r="H46" s="208"/>
      <c r="I46" s="208"/>
      <c r="J46" s="208"/>
      <c r="K46" s="208"/>
      <c r="L46" s="208"/>
      <c r="M46" s="208"/>
      <c r="N46" s="208"/>
      <c r="O46" s="208"/>
      <c r="P46" s="208"/>
      <c r="Q46" s="208"/>
    </row>
    <row r="47" spans="1:17" s="205" customFormat="1" x14ac:dyDescent="0.25">
      <c r="A47" s="204"/>
      <c r="G47" s="208"/>
      <c r="H47" s="208"/>
      <c r="I47" s="208"/>
      <c r="J47" s="208"/>
      <c r="K47" s="208"/>
      <c r="L47" s="208"/>
      <c r="M47" s="208"/>
      <c r="N47" s="208"/>
      <c r="O47" s="208"/>
      <c r="P47" s="208"/>
      <c r="Q47" s="208"/>
    </row>
    <row r="48" spans="1:17" s="205" customFormat="1" x14ac:dyDescent="0.25">
      <c r="A48" s="204"/>
      <c r="G48" s="208"/>
      <c r="H48" s="208"/>
      <c r="I48" s="208"/>
      <c r="J48" s="208"/>
      <c r="K48" s="208"/>
      <c r="L48" s="208"/>
      <c r="M48" s="208"/>
      <c r="N48" s="208"/>
      <c r="O48" s="208"/>
      <c r="P48" s="208"/>
      <c r="Q48" s="208"/>
    </row>
    <row r="49" spans="1:17" s="205" customFormat="1" x14ac:dyDescent="0.25">
      <c r="A49" s="204"/>
      <c r="G49" s="208"/>
      <c r="H49" s="208"/>
      <c r="I49" s="208"/>
      <c r="J49" s="208"/>
      <c r="K49" s="208"/>
      <c r="L49" s="208"/>
      <c r="M49" s="208"/>
      <c r="N49" s="208"/>
      <c r="O49" s="208"/>
      <c r="P49" s="208"/>
      <c r="Q49" s="208"/>
    </row>
    <row r="50" spans="1:17" s="205" customFormat="1" x14ac:dyDescent="0.25">
      <c r="A50" s="209"/>
      <c r="B50" s="210"/>
      <c r="D50" s="210"/>
      <c r="E50" s="210"/>
      <c r="F50" s="210"/>
      <c r="G50" s="208"/>
      <c r="H50" s="208"/>
      <c r="I50" s="208"/>
      <c r="J50" s="208"/>
      <c r="K50" s="208"/>
      <c r="L50" s="208"/>
      <c r="M50" s="208"/>
      <c r="N50" s="208"/>
      <c r="O50" s="208"/>
      <c r="P50" s="208"/>
      <c r="Q50" s="208"/>
    </row>
    <row r="51" spans="1:17" s="205" customFormat="1" x14ac:dyDescent="0.25">
      <c r="C51" s="210"/>
      <c r="G51" s="208"/>
      <c r="H51" s="208"/>
      <c r="I51" s="208"/>
      <c r="J51" s="208"/>
      <c r="K51" s="208"/>
      <c r="L51" s="208"/>
      <c r="M51" s="208"/>
      <c r="N51" s="208"/>
      <c r="O51" s="208"/>
      <c r="P51" s="208"/>
      <c r="Q51" s="208"/>
    </row>
    <row r="52" spans="1:17" s="205" customFormat="1" x14ac:dyDescent="0.25">
      <c r="G52" s="208"/>
      <c r="H52" s="208"/>
      <c r="I52" s="208"/>
      <c r="J52" s="208"/>
      <c r="K52" s="208"/>
      <c r="L52" s="208"/>
      <c r="M52" s="208"/>
      <c r="N52" s="208"/>
      <c r="O52" s="208"/>
      <c r="P52" s="208"/>
      <c r="Q52" s="208"/>
    </row>
    <row r="53" spans="1:17" s="205" customFormat="1" x14ac:dyDescent="0.25">
      <c r="G53" s="208"/>
      <c r="H53" s="208"/>
      <c r="I53" s="208"/>
      <c r="J53" s="208"/>
      <c r="K53" s="208"/>
      <c r="L53" s="208"/>
      <c r="M53" s="208"/>
      <c r="N53" s="208"/>
      <c r="O53" s="208"/>
      <c r="P53" s="208"/>
      <c r="Q53" s="208"/>
    </row>
    <row r="54" spans="1:17" s="205" customFormat="1" x14ac:dyDescent="0.25">
      <c r="G54" s="208"/>
      <c r="H54" s="208"/>
      <c r="I54" s="208"/>
      <c r="J54" s="208"/>
      <c r="K54" s="208"/>
      <c r="L54" s="208"/>
      <c r="M54" s="208"/>
      <c r="N54" s="208"/>
      <c r="O54" s="208"/>
      <c r="P54" s="208"/>
      <c r="Q54" s="208"/>
    </row>
    <row r="55" spans="1:17" s="205" customFormat="1" x14ac:dyDescent="0.25">
      <c r="G55" s="208"/>
      <c r="H55" s="208"/>
      <c r="I55" s="208"/>
      <c r="J55" s="208"/>
      <c r="K55" s="208"/>
      <c r="L55" s="208"/>
      <c r="M55" s="208"/>
      <c r="N55" s="208"/>
      <c r="O55" s="208"/>
      <c r="P55" s="208"/>
      <c r="Q55" s="208"/>
    </row>
    <row r="56" spans="1:17" s="205" customFormat="1" x14ac:dyDescent="0.25">
      <c r="G56" s="208"/>
      <c r="H56" s="208"/>
      <c r="I56" s="208"/>
      <c r="J56" s="208"/>
      <c r="K56" s="208"/>
      <c r="L56" s="208"/>
      <c r="M56" s="208"/>
      <c r="N56" s="208"/>
      <c r="O56" s="208"/>
      <c r="P56" s="208"/>
      <c r="Q56" s="208"/>
    </row>
    <row r="57" spans="1:17" s="205" customFormat="1" x14ac:dyDescent="0.25">
      <c r="A57" s="211"/>
      <c r="B57" s="211"/>
      <c r="D57" s="211"/>
      <c r="E57" s="211"/>
      <c r="F57" s="211"/>
      <c r="G57" s="208"/>
      <c r="H57" s="208"/>
      <c r="I57" s="208"/>
      <c r="J57" s="208"/>
      <c r="K57" s="208"/>
      <c r="L57" s="208"/>
      <c r="M57" s="208"/>
      <c r="N57" s="208"/>
      <c r="O57" s="208"/>
      <c r="P57" s="208"/>
      <c r="Q57" s="208"/>
    </row>
    <row r="58" spans="1:17" x14ac:dyDescent="0.25">
      <c r="A58" s="211"/>
    </row>
    <row r="59" spans="1:17" x14ac:dyDescent="0.25">
      <c r="A59" s="211"/>
    </row>
    <row r="60" spans="1:17" x14ac:dyDescent="0.25">
      <c r="A60" s="211"/>
    </row>
    <row r="61" spans="1:17" x14ac:dyDescent="0.25">
      <c r="A61" s="211"/>
    </row>
    <row r="62" spans="1:17" x14ac:dyDescent="0.25">
      <c r="A62" s="211"/>
    </row>
    <row r="63" spans="1:17" x14ac:dyDescent="0.25">
      <c r="A63" s="211"/>
    </row>
    <row r="64" spans="1:17" x14ac:dyDescent="0.25">
      <c r="A64" s="211"/>
    </row>
    <row r="65" spans="1:6" x14ac:dyDescent="0.25">
      <c r="A65" s="209"/>
      <c r="B65" s="210"/>
      <c r="D65" s="210"/>
      <c r="E65" s="210"/>
      <c r="F65" s="210"/>
    </row>
    <row r="66" spans="1:6" x14ac:dyDescent="0.25">
      <c r="C66" s="210"/>
    </row>
  </sheetData>
  <sheetProtection algorithmName="SHA-512" hashValue="IsDfuAgYJJcJrGFytF8vcVRsS6KvYVzTa3hXJ8JhbI2VEUf04Mk+yqNO45Nlq1WJdIR646I6bH2rZ06971dFBg==" saltValue="ZEdUfU6UztG0+22/e9JEuQ==" spinCount="100000" sheet="1" formatCells="0" formatColumns="0" formatRows="0" selectLockedCells="1"/>
  <customSheetViews>
    <customSheetView guid="{C3F58662-020B-4E56-B390-38D4A953D070}" scale="80" showGridLines="0" printArea="1">
      <selection activeCell="I31" sqref="I31"/>
      <rowBreaks count="2" manualBreakCount="2">
        <brk id="27" max="8" man="1"/>
        <brk id="51" max="8" man="1"/>
      </rowBreaks>
      <pageMargins left="0" right="0" top="0.47244094488188981" bottom="0.19685039370078741" header="0.15748031496062992" footer="0.19685039370078741"/>
      <pageSetup paperSize="9" scale="73" fitToHeight="3" orientation="landscape" horizontalDpi="0" verticalDpi="0" r:id="rId1"/>
      <headerFooter>
        <oddHeader>&amp;F</oddHeader>
        <oddFooter>&amp;C&amp;A&amp;R&amp;P/&amp;N</oddFooter>
      </headerFooter>
    </customSheetView>
  </customSheetViews>
  <mergeCells count="5">
    <mergeCell ref="D6:E6"/>
    <mergeCell ref="A20:B20"/>
    <mergeCell ref="A10:B10"/>
    <mergeCell ref="D15:E15"/>
    <mergeCell ref="D20:F20"/>
  </mergeCells>
  <dataValidations count="5">
    <dataValidation type="list" showInputMessage="1" showErrorMessage="1" sqref="B17" xr:uid="{00000000-0002-0000-0200-000009000000}">
      <formula1>LISTE_OUI_NON</formula1>
    </dataValidation>
    <dataValidation type="date" errorStyle="warning" allowBlank="1" showInputMessage="1" showErrorMessage="1" error="La période couverte par la convention ne couvre pas la période de la DC présentée" sqref="F4" xr:uid="{00000000-0002-0000-0200-000000000000}">
      <formula1>B6</formula1>
      <formula2>B7</formula2>
    </dataValidation>
    <dataValidation type="date" errorStyle="warning" allowBlank="1" showInputMessage="1" showErrorMessage="1" error="La période couverte par la convention ne couvre pas la période de la DC présentée" sqref="F5" xr:uid="{00000000-0002-0000-0200-000001000000}">
      <formula1>B6</formula1>
      <formula2>B7</formula2>
    </dataValidation>
    <dataValidation type="list" allowBlank="1" showInputMessage="1" showErrorMessage="1" sqref="B11" xr:uid="{6415D32F-69E7-489F-9C16-2B7CDF052B84}">
      <formula1>LISTE_Commune_Supra_INV</formula1>
    </dataValidation>
    <dataValidation type="list" allowBlank="1" showInputMessage="1" showErrorMessage="1" sqref="F11" xr:uid="{81BB684E-0C84-4A67-99A5-3B4E5B6B9617}">
      <formula1>LISTE_CIV</formula1>
    </dataValidation>
  </dataValidations>
  <pageMargins left="0" right="0" top="0.47244094488188981" bottom="0.19685039370078741" header="0.17" footer="0.19685039370078741"/>
  <pageSetup paperSize="9" scale="67" fitToHeight="3" orientation="landscape" r:id="rId2"/>
  <headerFooter>
    <oddHeader>&amp;F</oddHeader>
    <oddFooter>&amp;C&amp;A&amp;R&amp;P/&amp;N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6387" r:id="rId5" name="Button 3">
              <controlPr defaultSize="0" print="0" autoFill="0" autoPict="0" macro="[0]!AFFICHER_FEUILLE">
                <anchor moveWithCells="1" sizeWithCells="1">
                  <from>
                    <xdr:col>1</xdr:col>
                    <xdr:colOff>666750</xdr:colOff>
                    <xdr:row>137</xdr:row>
                    <xdr:rowOff>104775</xdr:rowOff>
                  </from>
                  <to>
                    <xdr:col>2</xdr:col>
                    <xdr:colOff>1162050</xdr:colOff>
                    <xdr:row>139</xdr:row>
                    <xdr:rowOff>142875</xdr:rowOff>
                  </to>
                </anchor>
              </controlPr>
            </control>
          </mc:Choice>
        </mc:AlternateContent>
        <mc:AlternateContent xmlns:mc="http://schemas.openxmlformats.org/markup-compatibility/2006">
          <mc:Choice Requires="x14">
            <control shapeId="16388" r:id="rId6" name="MASQUER LES FEUILLES 6 à 9">
              <controlPr defaultSize="0" print="0" autoFill="0" autoPict="0" macro="[0]!Masquer_FEUILLES">
                <anchor moveWithCells="1" sizeWithCells="1">
                  <from>
                    <xdr:col>0</xdr:col>
                    <xdr:colOff>228600</xdr:colOff>
                    <xdr:row>136</xdr:row>
                    <xdr:rowOff>95250</xdr:rowOff>
                  </from>
                  <to>
                    <xdr:col>1</xdr:col>
                    <xdr:colOff>409575</xdr:colOff>
                    <xdr:row>138</xdr:row>
                    <xdr:rowOff>180975</xdr:rowOff>
                  </to>
                </anchor>
              </controlPr>
            </control>
          </mc:Choice>
        </mc:AlternateContent>
        <mc:AlternateContent xmlns:mc="http://schemas.openxmlformats.org/markup-compatibility/2006">
          <mc:Choice Requires="x14">
            <control shapeId="16390" r:id="rId7" name="Button 6">
              <controlPr defaultSize="0" print="0" autoFill="0" autoPict="0" macro="[0]!VEROUILLER_IDENTIFICATION">
                <anchor moveWithCells="1" sizeWithCells="1">
                  <from>
                    <xdr:col>2</xdr:col>
                    <xdr:colOff>1371600</xdr:colOff>
                    <xdr:row>137</xdr:row>
                    <xdr:rowOff>133350</xdr:rowOff>
                  </from>
                  <to>
                    <xdr:col>4</xdr:col>
                    <xdr:colOff>438150</xdr:colOff>
                    <xdr:row>139</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C000000}">
          <x14:formula1>
            <xm:f>LISTE!$H$3</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EL_DEP">
    <tabColor rgb="FFFFFF00"/>
    <pageSetUpPr fitToPage="1"/>
  </sheetPr>
  <dimension ref="A1:XEL48"/>
  <sheetViews>
    <sheetView showGridLines="0" zoomScale="80" zoomScaleNormal="80" zoomScaleSheetLayoutView="70" workbookViewId="0">
      <selection activeCell="A5" sqref="A5"/>
    </sheetView>
  </sheetViews>
  <sheetFormatPr baseColWidth="10" defaultColWidth="30.7109375" defaultRowHeight="12.75" x14ac:dyDescent="0.25"/>
  <cols>
    <col min="1" max="1" width="27.28515625" style="356" customWidth="1"/>
    <col min="2" max="2" width="47.7109375" style="381" customWidth="1"/>
    <col min="3" max="3" width="19.140625" style="382" bestFit="1" customWidth="1"/>
    <col min="4" max="4" width="10.7109375" style="382" customWidth="1"/>
    <col min="5" max="5" width="10.7109375" style="356" customWidth="1"/>
    <col min="6" max="6" width="15" style="356" customWidth="1"/>
    <col min="7" max="7" width="15.85546875" style="356" customWidth="1"/>
    <col min="8" max="8" width="16" style="356" customWidth="1"/>
    <col min="9" max="9" width="41.28515625" style="356" customWidth="1"/>
    <col min="10" max="10" width="29.5703125" style="356" customWidth="1"/>
    <col min="11" max="11" width="16.28515625" style="356" hidden="1" customWidth="1"/>
    <col min="12" max="12" width="17.7109375" style="356" hidden="1" customWidth="1"/>
    <col min="13" max="13" width="30.7109375" style="356" hidden="1" customWidth="1"/>
    <col min="14" max="14" width="16.140625" style="356" hidden="1" customWidth="1"/>
    <col min="15" max="15" width="62.28515625" style="356" hidden="1" customWidth="1"/>
    <col min="16" max="16" width="30.7109375" style="356" customWidth="1"/>
    <col min="17" max="16384" width="30.7109375" style="356"/>
  </cols>
  <sheetData>
    <row r="1" spans="1:27" ht="38.25" customHeight="1" x14ac:dyDescent="0.25">
      <c r="A1" s="434" t="s">
        <v>137</v>
      </c>
      <c r="B1" s="435"/>
      <c r="C1" s="356"/>
      <c r="D1" s="356"/>
    </row>
    <row r="2" spans="1:27" s="357" customFormat="1" ht="9.75" customHeight="1" thickBot="1" x14ac:dyDescent="0.25">
      <c r="J2" s="358"/>
      <c r="K2" s="358"/>
      <c r="L2" s="358"/>
      <c r="M2" s="358"/>
      <c r="N2" s="358"/>
      <c r="O2" s="358"/>
      <c r="P2" s="358"/>
      <c r="Q2" s="358"/>
      <c r="R2" s="358"/>
      <c r="S2" s="358"/>
      <c r="T2" s="358"/>
      <c r="U2" s="358"/>
      <c r="V2" s="358"/>
      <c r="W2" s="358"/>
      <c r="X2" s="358"/>
      <c r="Y2" s="358"/>
      <c r="Z2" s="358"/>
      <c r="AA2" s="358"/>
    </row>
    <row r="3" spans="1:27" ht="49.5" customHeight="1" x14ac:dyDescent="0.25">
      <c r="A3" s="359"/>
      <c r="B3" s="359"/>
      <c r="C3" s="356"/>
      <c r="D3" s="356"/>
      <c r="K3" s="436" t="s">
        <v>138</v>
      </c>
      <c r="L3" s="437"/>
      <c r="M3" s="437"/>
      <c r="N3" s="437"/>
      <c r="O3" s="438"/>
    </row>
    <row r="4" spans="1:27" s="369" customFormat="1" ht="38.25" x14ac:dyDescent="0.25">
      <c r="A4" s="360" t="s">
        <v>27</v>
      </c>
      <c r="B4" s="360" t="s">
        <v>1094</v>
      </c>
      <c r="C4" s="360" t="s">
        <v>1093</v>
      </c>
      <c r="D4" s="360" t="s">
        <v>1095</v>
      </c>
      <c r="E4" s="361" t="s">
        <v>160</v>
      </c>
      <c r="F4" s="362" t="s">
        <v>87</v>
      </c>
      <c r="G4" s="363" t="s">
        <v>134</v>
      </c>
      <c r="H4" s="364" t="s">
        <v>133</v>
      </c>
      <c r="I4" s="360" t="s">
        <v>21</v>
      </c>
      <c r="J4" s="356"/>
      <c r="K4" s="365" t="s">
        <v>63</v>
      </c>
      <c r="L4" s="366" t="s">
        <v>86</v>
      </c>
      <c r="M4" s="366" t="s">
        <v>29</v>
      </c>
      <c r="N4" s="367" t="s">
        <v>1102</v>
      </c>
      <c r="O4" s="368" t="s">
        <v>56</v>
      </c>
    </row>
    <row r="5" spans="1:27" ht="16.5" customHeight="1" x14ac:dyDescent="0.25">
      <c r="A5" s="370" t="s">
        <v>161</v>
      </c>
      <c r="B5" s="371"/>
      <c r="C5" s="372" t="s">
        <v>30</v>
      </c>
      <c r="D5" s="372"/>
      <c r="E5" s="371"/>
      <c r="F5" s="373" t="s">
        <v>50</v>
      </c>
      <c r="G5" s="374"/>
      <c r="H5" s="375">
        <v>0</v>
      </c>
      <c r="I5" s="375"/>
      <c r="K5" s="376">
        <f t="shared" ref="K5:K8" si="0">IF(H5="","",H5)</f>
        <v>0</v>
      </c>
      <c r="L5" s="377">
        <f>IF(H5="","",K5-H5)</f>
        <v>0</v>
      </c>
      <c r="M5" s="378" t="str">
        <f>A5</f>
        <v>Matériel/Equipement</v>
      </c>
      <c r="N5" s="379" t="s">
        <v>1103</v>
      </c>
      <c r="O5" s="380"/>
    </row>
    <row r="6" spans="1:27" ht="16.5" customHeight="1" x14ac:dyDescent="0.25">
      <c r="A6" s="370" t="s">
        <v>30</v>
      </c>
      <c r="B6" s="371"/>
      <c r="C6" s="372" t="s">
        <v>30</v>
      </c>
      <c r="D6" s="372"/>
      <c r="E6" s="371"/>
      <c r="F6" s="373" t="s">
        <v>50</v>
      </c>
      <c r="G6" s="373"/>
      <c r="H6" s="375">
        <v>0</v>
      </c>
      <c r="I6" s="375"/>
      <c r="K6" s="376">
        <f t="shared" si="0"/>
        <v>0</v>
      </c>
      <c r="L6" s="377">
        <f t="shared" ref="L6:L24" si="1">IF(H6="","",K6-H6)</f>
        <v>0</v>
      </c>
      <c r="M6" s="378" t="str">
        <f t="shared" ref="M6:M24" si="2">A6</f>
        <v>Veuillez sélectionner :</v>
      </c>
      <c r="N6" s="379" t="s">
        <v>1103</v>
      </c>
      <c r="O6" s="380"/>
    </row>
    <row r="7" spans="1:27" ht="15" customHeight="1" x14ac:dyDescent="0.25">
      <c r="A7" s="370" t="s">
        <v>30</v>
      </c>
      <c r="B7" s="371"/>
      <c r="C7" s="372" t="s">
        <v>30</v>
      </c>
      <c r="D7" s="372"/>
      <c r="E7" s="371"/>
      <c r="F7" s="373" t="s">
        <v>50</v>
      </c>
      <c r="G7" s="373"/>
      <c r="H7" s="375">
        <v>0</v>
      </c>
      <c r="I7" s="375"/>
      <c r="K7" s="376">
        <f t="shared" si="0"/>
        <v>0</v>
      </c>
      <c r="L7" s="377">
        <f t="shared" si="1"/>
        <v>0</v>
      </c>
      <c r="M7" s="378" t="str">
        <f t="shared" si="2"/>
        <v>Veuillez sélectionner :</v>
      </c>
      <c r="N7" s="379" t="s">
        <v>1103</v>
      </c>
      <c r="O7" s="380"/>
    </row>
    <row r="8" spans="1:27" ht="15" customHeight="1" x14ac:dyDescent="0.25">
      <c r="A8" s="370" t="s">
        <v>30</v>
      </c>
      <c r="B8" s="371"/>
      <c r="C8" s="372" t="s">
        <v>30</v>
      </c>
      <c r="D8" s="372"/>
      <c r="E8" s="371"/>
      <c r="F8" s="373" t="s">
        <v>50</v>
      </c>
      <c r="G8" s="373"/>
      <c r="H8" s="375">
        <v>0</v>
      </c>
      <c r="I8" s="375"/>
      <c r="K8" s="376">
        <f t="shared" si="0"/>
        <v>0</v>
      </c>
      <c r="L8" s="377">
        <f t="shared" si="1"/>
        <v>0</v>
      </c>
      <c r="M8" s="378" t="str">
        <f t="shared" si="2"/>
        <v>Veuillez sélectionner :</v>
      </c>
      <c r="N8" s="379" t="s">
        <v>1103</v>
      </c>
      <c r="O8" s="380"/>
    </row>
    <row r="9" spans="1:27" ht="15" customHeight="1" x14ac:dyDescent="0.25">
      <c r="A9" s="370" t="s">
        <v>30</v>
      </c>
      <c r="B9" s="371"/>
      <c r="C9" s="372" t="s">
        <v>30</v>
      </c>
      <c r="D9" s="372"/>
      <c r="E9" s="371"/>
      <c r="F9" s="373" t="s">
        <v>50</v>
      </c>
      <c r="G9" s="373"/>
      <c r="H9" s="375">
        <v>0</v>
      </c>
      <c r="I9" s="375"/>
      <c r="K9" s="376">
        <f t="shared" ref="K9:K24" si="3">IF(H9="","",H9)</f>
        <v>0</v>
      </c>
      <c r="L9" s="377">
        <f t="shared" si="1"/>
        <v>0</v>
      </c>
      <c r="M9" s="378" t="str">
        <f t="shared" si="2"/>
        <v>Veuillez sélectionner :</v>
      </c>
      <c r="N9" s="379" t="s">
        <v>1103</v>
      </c>
      <c r="O9" s="380"/>
    </row>
    <row r="10" spans="1:27" ht="15" customHeight="1" x14ac:dyDescent="0.25">
      <c r="A10" s="370" t="s">
        <v>30</v>
      </c>
      <c r="B10" s="371"/>
      <c r="C10" s="372" t="s">
        <v>30</v>
      </c>
      <c r="D10" s="372"/>
      <c r="E10" s="371"/>
      <c r="F10" s="373" t="s">
        <v>50</v>
      </c>
      <c r="G10" s="373"/>
      <c r="H10" s="375">
        <v>0</v>
      </c>
      <c r="I10" s="375"/>
      <c r="K10" s="376">
        <f t="shared" si="3"/>
        <v>0</v>
      </c>
      <c r="L10" s="377">
        <f t="shared" si="1"/>
        <v>0</v>
      </c>
      <c r="M10" s="378" t="str">
        <f t="shared" si="2"/>
        <v>Veuillez sélectionner :</v>
      </c>
      <c r="N10" s="379" t="s">
        <v>1103</v>
      </c>
      <c r="O10" s="380"/>
    </row>
    <row r="11" spans="1:27" ht="15" customHeight="1" x14ac:dyDescent="0.25">
      <c r="A11" s="370" t="s">
        <v>30</v>
      </c>
      <c r="B11" s="371"/>
      <c r="C11" s="372" t="s">
        <v>30</v>
      </c>
      <c r="D11" s="372"/>
      <c r="E11" s="371"/>
      <c r="F11" s="373" t="s">
        <v>50</v>
      </c>
      <c r="G11" s="373"/>
      <c r="H11" s="375">
        <v>0</v>
      </c>
      <c r="I11" s="375"/>
      <c r="K11" s="376">
        <f t="shared" si="3"/>
        <v>0</v>
      </c>
      <c r="L11" s="377">
        <f t="shared" si="1"/>
        <v>0</v>
      </c>
      <c r="M11" s="378" t="str">
        <f t="shared" si="2"/>
        <v>Veuillez sélectionner :</v>
      </c>
      <c r="N11" s="379" t="s">
        <v>1103</v>
      </c>
      <c r="O11" s="380"/>
    </row>
    <row r="12" spans="1:27" ht="15" customHeight="1" x14ac:dyDescent="0.25">
      <c r="A12" s="370" t="s">
        <v>30</v>
      </c>
      <c r="B12" s="371"/>
      <c r="C12" s="372" t="s">
        <v>30</v>
      </c>
      <c r="D12" s="372"/>
      <c r="E12" s="371"/>
      <c r="F12" s="373" t="s">
        <v>50</v>
      </c>
      <c r="G12" s="373"/>
      <c r="H12" s="375">
        <v>0</v>
      </c>
      <c r="I12" s="375"/>
      <c r="K12" s="376">
        <f t="shared" si="3"/>
        <v>0</v>
      </c>
      <c r="L12" s="377">
        <f t="shared" si="1"/>
        <v>0</v>
      </c>
      <c r="M12" s="378" t="str">
        <f t="shared" si="2"/>
        <v>Veuillez sélectionner :</v>
      </c>
      <c r="N12" s="379" t="s">
        <v>1103</v>
      </c>
      <c r="O12" s="380"/>
    </row>
    <row r="13" spans="1:27" ht="15" customHeight="1" x14ac:dyDescent="0.25">
      <c r="A13" s="370" t="s">
        <v>30</v>
      </c>
      <c r="B13" s="371"/>
      <c r="C13" s="372" t="s">
        <v>30</v>
      </c>
      <c r="D13" s="372"/>
      <c r="E13" s="371"/>
      <c r="F13" s="373" t="s">
        <v>50</v>
      </c>
      <c r="G13" s="373"/>
      <c r="H13" s="375">
        <v>0</v>
      </c>
      <c r="I13" s="375"/>
      <c r="K13" s="376">
        <f t="shared" si="3"/>
        <v>0</v>
      </c>
      <c r="L13" s="377">
        <f t="shared" si="1"/>
        <v>0</v>
      </c>
      <c r="M13" s="378" t="str">
        <f t="shared" si="2"/>
        <v>Veuillez sélectionner :</v>
      </c>
      <c r="N13" s="379" t="s">
        <v>1103</v>
      </c>
      <c r="O13" s="380"/>
    </row>
    <row r="14" spans="1:27" ht="15" customHeight="1" x14ac:dyDescent="0.25">
      <c r="A14" s="370" t="s">
        <v>30</v>
      </c>
      <c r="B14" s="371"/>
      <c r="C14" s="372" t="s">
        <v>30</v>
      </c>
      <c r="D14" s="372"/>
      <c r="E14" s="371"/>
      <c r="F14" s="373" t="s">
        <v>50</v>
      </c>
      <c r="G14" s="373"/>
      <c r="H14" s="375">
        <v>0</v>
      </c>
      <c r="I14" s="375"/>
      <c r="K14" s="376">
        <f t="shared" si="3"/>
        <v>0</v>
      </c>
      <c r="L14" s="377">
        <f t="shared" si="1"/>
        <v>0</v>
      </c>
      <c r="M14" s="378" t="str">
        <f t="shared" si="2"/>
        <v>Veuillez sélectionner :</v>
      </c>
      <c r="N14" s="379" t="s">
        <v>1103</v>
      </c>
      <c r="O14" s="380"/>
    </row>
    <row r="15" spans="1:27" ht="15" customHeight="1" x14ac:dyDescent="0.25">
      <c r="A15" s="370" t="s">
        <v>30</v>
      </c>
      <c r="B15" s="371"/>
      <c r="C15" s="372" t="s">
        <v>30</v>
      </c>
      <c r="D15" s="372"/>
      <c r="E15" s="371"/>
      <c r="F15" s="373" t="s">
        <v>50</v>
      </c>
      <c r="G15" s="373"/>
      <c r="H15" s="375">
        <v>0</v>
      </c>
      <c r="I15" s="375"/>
      <c r="K15" s="376">
        <f t="shared" si="3"/>
        <v>0</v>
      </c>
      <c r="L15" s="377">
        <f t="shared" si="1"/>
        <v>0</v>
      </c>
      <c r="M15" s="378" t="str">
        <f t="shared" si="2"/>
        <v>Veuillez sélectionner :</v>
      </c>
      <c r="N15" s="379" t="s">
        <v>1103</v>
      </c>
      <c r="O15" s="380"/>
    </row>
    <row r="16" spans="1:27" ht="15" customHeight="1" x14ac:dyDescent="0.25">
      <c r="A16" s="370" t="s">
        <v>30</v>
      </c>
      <c r="B16" s="371"/>
      <c r="C16" s="372" t="s">
        <v>30</v>
      </c>
      <c r="D16" s="372"/>
      <c r="E16" s="371"/>
      <c r="F16" s="373" t="s">
        <v>50</v>
      </c>
      <c r="G16" s="373"/>
      <c r="H16" s="375">
        <v>0</v>
      </c>
      <c r="I16" s="375"/>
      <c r="K16" s="376">
        <f t="shared" si="3"/>
        <v>0</v>
      </c>
      <c r="L16" s="377">
        <f t="shared" si="1"/>
        <v>0</v>
      </c>
      <c r="M16" s="378" t="str">
        <f t="shared" si="2"/>
        <v>Veuillez sélectionner :</v>
      </c>
      <c r="N16" s="379" t="s">
        <v>1103</v>
      </c>
      <c r="O16" s="380"/>
    </row>
    <row r="17" spans="1:15" ht="15" customHeight="1" x14ac:dyDescent="0.25">
      <c r="A17" s="370" t="s">
        <v>30</v>
      </c>
      <c r="B17" s="371"/>
      <c r="C17" s="372" t="s">
        <v>30</v>
      </c>
      <c r="D17" s="372"/>
      <c r="E17" s="371"/>
      <c r="F17" s="373" t="s">
        <v>50</v>
      </c>
      <c r="G17" s="373"/>
      <c r="H17" s="375">
        <v>0</v>
      </c>
      <c r="I17" s="375"/>
      <c r="K17" s="376">
        <f t="shared" si="3"/>
        <v>0</v>
      </c>
      <c r="L17" s="377">
        <f t="shared" si="1"/>
        <v>0</v>
      </c>
      <c r="M17" s="378" t="str">
        <f t="shared" si="2"/>
        <v>Veuillez sélectionner :</v>
      </c>
      <c r="N17" s="379" t="s">
        <v>1103</v>
      </c>
      <c r="O17" s="380"/>
    </row>
    <row r="18" spans="1:15" ht="15" customHeight="1" x14ac:dyDescent="0.25">
      <c r="A18" s="370" t="s">
        <v>30</v>
      </c>
      <c r="B18" s="371"/>
      <c r="C18" s="372" t="s">
        <v>30</v>
      </c>
      <c r="D18" s="372"/>
      <c r="E18" s="371"/>
      <c r="F18" s="373" t="s">
        <v>50</v>
      </c>
      <c r="G18" s="373"/>
      <c r="H18" s="375">
        <v>0</v>
      </c>
      <c r="I18" s="375"/>
      <c r="K18" s="376">
        <f t="shared" si="3"/>
        <v>0</v>
      </c>
      <c r="L18" s="377">
        <f t="shared" si="1"/>
        <v>0</v>
      </c>
      <c r="M18" s="378" t="str">
        <f t="shared" si="2"/>
        <v>Veuillez sélectionner :</v>
      </c>
      <c r="N18" s="379" t="s">
        <v>1103</v>
      </c>
      <c r="O18" s="380"/>
    </row>
    <row r="19" spans="1:15" ht="15" customHeight="1" x14ac:dyDescent="0.25">
      <c r="A19" s="370" t="s">
        <v>30</v>
      </c>
      <c r="B19" s="371"/>
      <c r="C19" s="372" t="s">
        <v>30</v>
      </c>
      <c r="D19" s="372"/>
      <c r="E19" s="371"/>
      <c r="F19" s="373" t="s">
        <v>50</v>
      </c>
      <c r="G19" s="373"/>
      <c r="H19" s="375">
        <v>0</v>
      </c>
      <c r="I19" s="375"/>
      <c r="K19" s="376">
        <f t="shared" si="3"/>
        <v>0</v>
      </c>
      <c r="L19" s="377">
        <f t="shared" si="1"/>
        <v>0</v>
      </c>
      <c r="M19" s="378" t="str">
        <f t="shared" si="2"/>
        <v>Veuillez sélectionner :</v>
      </c>
      <c r="N19" s="379" t="s">
        <v>1103</v>
      </c>
      <c r="O19" s="380"/>
    </row>
    <row r="20" spans="1:15" ht="15" customHeight="1" x14ac:dyDescent="0.25">
      <c r="A20" s="370" t="s">
        <v>30</v>
      </c>
      <c r="B20" s="371"/>
      <c r="C20" s="372" t="s">
        <v>30</v>
      </c>
      <c r="D20" s="372"/>
      <c r="E20" s="371"/>
      <c r="F20" s="373" t="s">
        <v>50</v>
      </c>
      <c r="G20" s="373"/>
      <c r="H20" s="375">
        <v>0</v>
      </c>
      <c r="I20" s="375"/>
      <c r="K20" s="376">
        <f t="shared" si="3"/>
        <v>0</v>
      </c>
      <c r="L20" s="377">
        <f t="shared" si="1"/>
        <v>0</v>
      </c>
      <c r="M20" s="378" t="str">
        <f t="shared" si="2"/>
        <v>Veuillez sélectionner :</v>
      </c>
      <c r="N20" s="379" t="s">
        <v>1103</v>
      </c>
      <c r="O20" s="380"/>
    </row>
    <row r="21" spans="1:15" ht="15" customHeight="1" x14ac:dyDescent="0.25">
      <c r="A21" s="370" t="s">
        <v>30</v>
      </c>
      <c r="B21" s="371"/>
      <c r="C21" s="372" t="s">
        <v>30</v>
      </c>
      <c r="D21" s="372"/>
      <c r="E21" s="371"/>
      <c r="F21" s="373" t="s">
        <v>50</v>
      </c>
      <c r="G21" s="373"/>
      <c r="H21" s="375">
        <v>0</v>
      </c>
      <c r="I21" s="375"/>
      <c r="K21" s="376">
        <f t="shared" si="3"/>
        <v>0</v>
      </c>
      <c r="L21" s="377">
        <f t="shared" si="1"/>
        <v>0</v>
      </c>
      <c r="M21" s="378" t="str">
        <f t="shared" si="2"/>
        <v>Veuillez sélectionner :</v>
      </c>
      <c r="N21" s="379" t="s">
        <v>1103</v>
      </c>
      <c r="O21" s="380"/>
    </row>
    <row r="22" spans="1:15" ht="20.25" customHeight="1" x14ac:dyDescent="0.25">
      <c r="A22" s="370" t="s">
        <v>30</v>
      </c>
      <c r="B22" s="371"/>
      <c r="C22" s="372" t="s">
        <v>30</v>
      </c>
      <c r="D22" s="372"/>
      <c r="E22" s="371"/>
      <c r="F22" s="373" t="s">
        <v>50</v>
      </c>
      <c r="G22" s="373"/>
      <c r="H22" s="375">
        <v>0</v>
      </c>
      <c r="I22" s="375"/>
      <c r="K22" s="376">
        <f t="shared" si="3"/>
        <v>0</v>
      </c>
      <c r="L22" s="377">
        <f t="shared" si="1"/>
        <v>0</v>
      </c>
      <c r="M22" s="378" t="str">
        <f t="shared" si="2"/>
        <v>Veuillez sélectionner :</v>
      </c>
      <c r="N22" s="379" t="s">
        <v>1103</v>
      </c>
      <c r="O22" s="380"/>
    </row>
    <row r="23" spans="1:15" ht="20.25" customHeight="1" x14ac:dyDescent="0.25">
      <c r="A23" s="370" t="s">
        <v>30</v>
      </c>
      <c r="B23" s="371"/>
      <c r="C23" s="372" t="s">
        <v>30</v>
      </c>
      <c r="D23" s="372"/>
      <c r="E23" s="371"/>
      <c r="F23" s="373" t="s">
        <v>50</v>
      </c>
      <c r="G23" s="373"/>
      <c r="H23" s="375">
        <v>0</v>
      </c>
      <c r="I23" s="375"/>
      <c r="K23" s="376">
        <f t="shared" si="3"/>
        <v>0</v>
      </c>
      <c r="L23" s="377">
        <f t="shared" si="1"/>
        <v>0</v>
      </c>
      <c r="M23" s="378" t="str">
        <f t="shared" si="2"/>
        <v>Veuillez sélectionner :</v>
      </c>
      <c r="N23" s="379" t="s">
        <v>1103</v>
      </c>
      <c r="O23" s="380"/>
    </row>
    <row r="24" spans="1:15" ht="20.25" customHeight="1" x14ac:dyDescent="0.25">
      <c r="A24" s="370" t="s">
        <v>30</v>
      </c>
      <c r="B24" s="371"/>
      <c r="C24" s="372" t="s">
        <v>30</v>
      </c>
      <c r="D24" s="372"/>
      <c r="E24" s="371"/>
      <c r="F24" s="373" t="s">
        <v>50</v>
      </c>
      <c r="G24" s="373"/>
      <c r="H24" s="375">
        <v>0</v>
      </c>
      <c r="I24" s="375"/>
      <c r="K24" s="376">
        <f t="shared" si="3"/>
        <v>0</v>
      </c>
      <c r="L24" s="377">
        <f t="shared" si="1"/>
        <v>0</v>
      </c>
      <c r="M24" s="378" t="str">
        <f t="shared" si="2"/>
        <v>Veuillez sélectionner :</v>
      </c>
      <c r="N24" s="379" t="s">
        <v>1103</v>
      </c>
      <c r="O24" s="380"/>
    </row>
    <row r="25" spans="1:15" x14ac:dyDescent="0.25">
      <c r="H25" s="383">
        <f>SUM(REL_DEP_DETAIL_TOT_DECL)</f>
        <v>0</v>
      </c>
      <c r="K25" s="384">
        <f>SUM(REL_DEP_DETAIL_TOT_ACCEPT)</f>
        <v>0</v>
      </c>
    </row>
    <row r="26" spans="1:15" x14ac:dyDescent="0.25">
      <c r="B26" s="356"/>
    </row>
    <row r="27" spans="1:15" x14ac:dyDescent="0.25">
      <c r="B27" s="356"/>
    </row>
    <row r="28" spans="1:15" x14ac:dyDescent="0.25">
      <c r="B28" s="356"/>
    </row>
    <row r="29" spans="1:15" x14ac:dyDescent="0.25">
      <c r="B29" s="356"/>
    </row>
    <row r="30" spans="1:15" x14ac:dyDescent="0.25">
      <c r="B30" s="356"/>
    </row>
    <row r="31" spans="1:15" x14ac:dyDescent="0.25">
      <c r="B31" s="356"/>
    </row>
    <row r="32" spans="1:15" x14ac:dyDescent="0.25">
      <c r="B32" s="356"/>
    </row>
    <row r="33" spans="2:4 16366:16366" x14ac:dyDescent="0.25">
      <c r="B33" s="356"/>
    </row>
    <row r="34" spans="2:4 16366:16366" x14ac:dyDescent="0.25">
      <c r="B34" s="356"/>
    </row>
    <row r="35" spans="2:4 16366:16366" x14ac:dyDescent="0.25">
      <c r="B35" s="356"/>
    </row>
    <row r="36" spans="2:4 16366:16366" x14ac:dyDescent="0.25">
      <c r="B36" s="356"/>
    </row>
    <row r="37" spans="2:4 16366:16366" x14ac:dyDescent="0.25">
      <c r="B37" s="356"/>
    </row>
    <row r="38" spans="2:4 16366:16366" x14ac:dyDescent="0.25">
      <c r="B38" s="356"/>
    </row>
    <row r="39" spans="2:4 16366:16366" s="385" customFormat="1" x14ac:dyDescent="0.25">
      <c r="C39" s="386"/>
      <c r="D39" s="386"/>
    </row>
    <row r="40" spans="2:4 16366:16366" s="385" customFormat="1" x14ac:dyDescent="0.25">
      <c r="C40" s="386"/>
      <c r="D40" s="386"/>
    </row>
    <row r="41" spans="2:4 16366:16366" s="385" customFormat="1" x14ac:dyDescent="0.25">
      <c r="C41" s="386"/>
      <c r="D41" s="386"/>
    </row>
    <row r="42" spans="2:4 16366:16366" s="385" customFormat="1" x14ac:dyDescent="0.25">
      <c r="C42" s="386"/>
      <c r="D42" s="386"/>
    </row>
    <row r="43" spans="2:4 16366:16366" s="385" customFormat="1" x14ac:dyDescent="0.25">
      <c r="C43" s="386"/>
      <c r="D43" s="386"/>
    </row>
    <row r="44" spans="2:4 16366:16366" s="385" customFormat="1" x14ac:dyDescent="0.25">
      <c r="C44" s="386"/>
      <c r="D44" s="386"/>
    </row>
    <row r="45" spans="2:4 16366:16366" s="385" customFormat="1" x14ac:dyDescent="0.25">
      <c r="C45" s="386"/>
      <c r="D45" s="386"/>
    </row>
    <row r="46" spans="2:4 16366:16366" s="385" customFormat="1" x14ac:dyDescent="0.25">
      <c r="C46" s="386"/>
      <c r="D46" s="386"/>
      <c r="XEL46" s="387"/>
    </row>
    <row r="47" spans="2:4 16366:16366" s="385" customFormat="1" x14ac:dyDescent="0.25">
      <c r="B47" s="388"/>
      <c r="C47" s="386"/>
      <c r="D47" s="386"/>
    </row>
    <row r="48" spans="2:4 16366:16366" s="385" customFormat="1" x14ac:dyDescent="0.25">
      <c r="B48" s="388"/>
      <c r="C48" s="386"/>
      <c r="D48" s="386"/>
    </row>
  </sheetData>
  <sheetProtection algorithmName="SHA-512" hashValue="UzT7F8cpImgas+Ll4KZJ+bUgdgn73tqvYCTopSV3Wzg8AcQ+Z+DUd08NgYWlordEtwQBLT/zkzWQRjoE3ZTgfg==" saltValue="GiZivAqQsho2IGXeqEg59Q==" spinCount="100000" sheet="1" formatCells="0" formatColumns="0" formatRows="0" insertRows="0"/>
  <sortState xmlns:xlrd2="http://schemas.microsoft.com/office/spreadsheetml/2017/richdata2" ref="B28:B40">
    <sortCondition ref="B28"/>
  </sortState>
  <customSheetViews>
    <customSheetView guid="{C3F58662-020B-4E56-B390-38D4A953D070}" scale="70" showGridLines="0" fitToPage="1" printArea="1" topLeftCell="A112">
      <selection activeCell="I31" sqref="I31"/>
      <rowBreaks count="1" manualBreakCount="1">
        <brk id="86" max="16383" man="1"/>
      </rowBreaks>
      <pageMargins left="0.23622047244094491" right="0.27559055118110237" top="0.47244094488188981" bottom="0.39370078740157483" header="0.27559055118110237" footer="0.19685039370078741"/>
      <pageSetup paperSize="9" scale="31" fitToHeight="2" orientation="landscape" horizontalDpi="0" verticalDpi="0" r:id="rId1"/>
      <headerFooter>
        <oddHeader>&amp;F</oddHeader>
        <oddFooter>&amp;C&amp;A&amp;R&amp;P/&amp;N</oddFooter>
      </headerFooter>
    </customSheetView>
  </customSheetViews>
  <mergeCells count="2">
    <mergeCell ref="A1:B1"/>
    <mergeCell ref="K3:O3"/>
  </mergeCells>
  <conditionalFormatting sqref="F5:F24">
    <cfRule type="expression" dxfId="3" priority="14">
      <formula>IF(AND(#REF!="Oui",F5="TVAC"),TRUE)</formula>
    </cfRule>
  </conditionalFormatting>
  <conditionalFormatting sqref="L5:L24">
    <cfRule type="cellIs" dxfId="2" priority="3" operator="notEqual">
      <formula>0</formula>
    </cfRule>
  </conditionalFormatting>
  <conditionalFormatting sqref="M5:N24">
    <cfRule type="cellIs" dxfId="1" priority="54" operator="notEqual">
      <formula>$A5</formula>
    </cfRule>
  </conditionalFormatting>
  <dataValidations count="4">
    <dataValidation type="list" allowBlank="1" showInputMessage="1" showErrorMessage="1" sqref="F5:F24" xr:uid="{00000000-0002-0000-0400-000000000000}">
      <formula1>LISTE_TVA</formula1>
    </dataValidation>
    <dataValidation type="list" showInputMessage="1" showErrorMessage="1" sqref="M5:M24" xr:uid="{00000000-0002-0000-0400-000001000000}">
      <formula1>LISTE_RUBRIQUE_FONCT_NV</formula1>
    </dataValidation>
    <dataValidation type="list" showInputMessage="1" showErrorMessage="1" sqref="N5:N24" xr:uid="{ACFFB008-85D6-4302-B518-7F2B4B2E3B41}">
      <formula1>LISTE_direct_induit</formula1>
    </dataValidation>
    <dataValidation type="list" showInputMessage="1" showErrorMessage="1" sqref="A5:A24" xr:uid="{1A6AA901-A0BB-4BD4-83F8-EB877C265C5B}">
      <formula1>LISTE_MAT_SS_TRAIT</formula1>
    </dataValidation>
  </dataValidations>
  <pageMargins left="0.23622047244094491" right="0.27559055118110237" top="0.47244094488188981" bottom="0.39370078740157483" header="0.27559055118110237" footer="0.19685039370078741"/>
  <pageSetup paperSize="9" scale="10" fitToHeight="2" orientation="landscape" r:id="rId2"/>
  <headerFooter>
    <oddHeader>&amp;F</oddHeader>
    <oddFooter>&amp;C&amp;A&amp;R&amp;P/&amp;N</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D8ECBB5-7665-4736-96D4-63E2A0E44992}">
          <x14:formula1>
            <xm:f>LISTE!$C$1:$C$3</xm:f>
          </x14:formula1>
          <xm:sqref>C5:C24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DC">
    <tabColor rgb="FFFFFF00"/>
  </sheetPr>
  <dimension ref="A1:P42"/>
  <sheetViews>
    <sheetView showGridLines="0" zoomScale="90" zoomScaleNormal="90" workbookViewId="0">
      <selection activeCell="B12" sqref="B12"/>
    </sheetView>
  </sheetViews>
  <sheetFormatPr baseColWidth="10" defaultColWidth="10.7109375" defaultRowHeight="15.75" x14ac:dyDescent="0.25"/>
  <cols>
    <col min="1" max="1" width="39" style="224" customWidth="1"/>
    <col min="2" max="2" width="33.7109375" style="224" customWidth="1"/>
    <col min="3" max="3" width="21.28515625" style="224" customWidth="1"/>
    <col min="4" max="4" width="18.28515625" style="224" customWidth="1"/>
    <col min="5" max="5" width="24.28515625" style="224" customWidth="1"/>
    <col min="6" max="6" width="4.42578125" style="224" hidden="1" customWidth="1"/>
    <col min="7" max="12" width="2.7109375" style="224" hidden="1" customWidth="1"/>
    <col min="13" max="13" width="1.28515625" style="224" hidden="1" customWidth="1"/>
    <col min="14" max="14" width="1.5703125" style="224" hidden="1" customWidth="1"/>
    <col min="15" max="23" width="0" style="224" hidden="1" customWidth="1"/>
    <col min="24" max="16384" width="10.7109375" style="224"/>
  </cols>
  <sheetData>
    <row r="1" spans="1:16" s="225" customFormat="1" x14ac:dyDescent="0.25">
      <c r="A1" s="223"/>
      <c r="B1" s="223"/>
      <c r="C1" s="223"/>
      <c r="D1" s="223"/>
      <c r="E1" s="223"/>
      <c r="F1" s="224"/>
      <c r="G1" s="224"/>
      <c r="H1" s="224"/>
      <c r="I1" s="224"/>
      <c r="N1" s="226"/>
      <c r="P1" s="226"/>
    </row>
    <row r="2" spans="1:16" x14ac:dyDescent="0.25">
      <c r="A2" s="223"/>
      <c r="B2" s="223"/>
      <c r="C2" s="223"/>
      <c r="D2" s="223"/>
      <c r="E2" s="223"/>
      <c r="N2" s="226"/>
      <c r="P2" s="226"/>
    </row>
    <row r="3" spans="1:16" ht="30.75" customHeight="1" x14ac:dyDescent="0.25">
      <c r="A3" s="223"/>
      <c r="B3" s="223"/>
      <c r="C3" s="223"/>
      <c r="D3" s="223"/>
      <c r="E3" s="223"/>
      <c r="N3" s="227"/>
      <c r="P3" s="227"/>
    </row>
    <row r="4" spans="1:16" x14ac:dyDescent="0.25">
      <c r="A4" s="223"/>
      <c r="B4" s="223"/>
      <c r="C4" s="223"/>
      <c r="D4" s="223"/>
      <c r="E4" s="223"/>
      <c r="N4" s="227"/>
      <c r="P4" s="227"/>
    </row>
    <row r="5" spans="1:16" ht="32.25" hidden="1" customHeight="1" x14ac:dyDescent="0.25">
      <c r="A5" s="223"/>
      <c r="B5" s="223"/>
      <c r="C5" s="223"/>
      <c r="D5" s="223"/>
      <c r="E5" s="223"/>
    </row>
    <row r="6" spans="1:16" ht="21" x14ac:dyDescent="0.25">
      <c r="A6" s="223"/>
      <c r="B6" s="445" t="s">
        <v>143</v>
      </c>
      <c r="C6" s="445"/>
      <c r="D6" s="223"/>
      <c r="E6" s="228"/>
    </row>
    <row r="7" spans="1:16" x14ac:dyDescent="0.25">
      <c r="A7" s="223"/>
      <c r="B7" s="223"/>
      <c r="C7" s="223"/>
      <c r="D7" s="223"/>
      <c r="E7" s="228"/>
    </row>
    <row r="8" spans="1:16" ht="15.75" customHeight="1" x14ac:dyDescent="0.25">
      <c r="A8" s="229" t="str">
        <f>IDENTIF_NOM_REQUERANT</f>
        <v>Anthisnes</v>
      </c>
      <c r="B8" s="223"/>
      <c r="C8" s="455" t="s">
        <v>13</v>
      </c>
      <c r="D8" s="455"/>
      <c r="E8" s="455"/>
    </row>
    <row r="9" spans="1:16" x14ac:dyDescent="0.25">
      <c r="A9" s="229" t="str">
        <f>IDENTIF_ADRESSE</f>
        <v>Cour d'Omalius 1</v>
      </c>
      <c r="B9" s="223"/>
      <c r="C9" s="223"/>
      <c r="D9" s="223"/>
      <c r="E9" s="228" t="s">
        <v>135</v>
      </c>
    </row>
    <row r="10" spans="1:16" x14ac:dyDescent="0.25">
      <c r="A10" s="229" t="str">
        <f>CONCATENATE(IDENTIF_ADRESSE_CP, " ",IDENTIF_ADRESSE_LOC)</f>
        <v>4160 ANTHISNES</v>
      </c>
      <c r="B10" s="223"/>
      <c r="C10" s="223"/>
      <c r="D10" s="223"/>
      <c r="E10" s="228" t="s">
        <v>3</v>
      </c>
    </row>
    <row r="11" spans="1:16" x14ac:dyDescent="0.25">
      <c r="A11" s="223"/>
      <c r="B11" s="223"/>
      <c r="C11" s="223"/>
      <c r="D11" s="230"/>
      <c r="E11" s="230"/>
    </row>
    <row r="12" spans="1:16" ht="24.75" customHeight="1" x14ac:dyDescent="0.25">
      <c r="A12" s="231" t="s">
        <v>5</v>
      </c>
      <c r="B12" s="229"/>
      <c r="C12" s="229"/>
      <c r="D12" s="223"/>
      <c r="E12" s="223"/>
      <c r="I12" s="232"/>
      <c r="J12" s="232"/>
      <c r="K12" s="232"/>
      <c r="L12" s="232"/>
      <c r="M12" s="232"/>
      <c r="N12" s="232"/>
    </row>
    <row r="13" spans="1:16" ht="21.4" customHeight="1" x14ac:dyDescent="0.25">
      <c r="A13" s="233" t="s">
        <v>144</v>
      </c>
      <c r="B13" s="234" t="s">
        <v>167</v>
      </c>
      <c r="C13" s="223"/>
      <c r="D13" s="223"/>
      <c r="E13" s="223"/>
    </row>
    <row r="14" spans="1:16" ht="25.9" customHeight="1" x14ac:dyDescent="0.25">
      <c r="A14" s="233" t="s">
        <v>145</v>
      </c>
      <c r="B14" s="459">
        <f>'1-Identification'!B5</f>
        <v>0</v>
      </c>
      <c r="C14" s="453"/>
      <c r="D14" s="453"/>
      <c r="E14" s="454"/>
    </row>
    <row r="15" spans="1:16" ht="10.5" customHeight="1" x14ac:dyDescent="0.25">
      <c r="A15" s="235"/>
      <c r="B15" s="235"/>
      <c r="C15" s="236"/>
      <c r="D15" s="223"/>
      <c r="E15" s="223"/>
    </row>
    <row r="16" spans="1:16" ht="29.25" customHeight="1" x14ac:dyDescent="0.25">
      <c r="A16" s="231" t="s">
        <v>12</v>
      </c>
      <c r="B16" s="237" t="str">
        <f>IF('1-Identification'!$F$4="","",'1-Identification'!$F$4)</f>
        <v/>
      </c>
      <c r="C16" s="238" t="s">
        <v>4</v>
      </c>
      <c r="D16" s="239" t="str">
        <f>IF('1-Identification'!$F$5="","",'1-Identification'!$F$5)</f>
        <v/>
      </c>
      <c r="E16" s="223"/>
    </row>
    <row r="17" spans="1:5" ht="24.75" customHeight="1" x14ac:dyDescent="0.25">
      <c r="A17" s="231" t="s">
        <v>141</v>
      </c>
      <c r="B17" s="240" t="str">
        <f>IF('1-Identification'!$B$25="","",'1-Identification'!$B$25)</f>
        <v>20/20485</v>
      </c>
      <c r="C17" s="223"/>
      <c r="D17" s="223"/>
      <c r="E17" s="223"/>
    </row>
    <row r="18" spans="1:5" ht="30.75" customHeight="1" x14ac:dyDescent="0.25">
      <c r="A18" s="231" t="s">
        <v>1133</v>
      </c>
      <c r="B18" s="240" t="str">
        <f>IDENTIF_LEGALE</f>
        <v>Arrêté ministériel POLLEC 2020_INV_1 du 02-12-2020</v>
      </c>
      <c r="C18" s="240"/>
      <c r="D18" s="223"/>
      <c r="E18" s="223"/>
    </row>
    <row r="19" spans="1:5" ht="26.25" customHeight="1" x14ac:dyDescent="0.25">
      <c r="A19" s="241" t="s">
        <v>92</v>
      </c>
      <c r="B19" s="446"/>
      <c r="C19" s="447"/>
      <c r="D19" s="447"/>
      <c r="E19" s="448"/>
    </row>
    <row r="20" spans="1:5" ht="26.25" customHeight="1" x14ac:dyDescent="0.25">
      <c r="A20" s="241" t="s">
        <v>93</v>
      </c>
      <c r="B20" s="446"/>
      <c r="C20" s="448"/>
      <c r="D20" s="242" t="s">
        <v>52</v>
      </c>
      <c r="E20" s="243"/>
    </row>
    <row r="21" spans="1:5" ht="32.25" customHeight="1" x14ac:dyDescent="0.25">
      <c r="A21" s="241" t="s">
        <v>91</v>
      </c>
      <c r="B21" s="449" t="str">
        <f>IF('1-Identification'!$B$11="","",'1-Identification'!$B$11)</f>
        <v>Anthisnes</v>
      </c>
      <c r="C21" s="450"/>
      <c r="D21" s="450"/>
      <c r="E21" s="451"/>
    </row>
    <row r="22" spans="1:5" ht="30.75" customHeight="1" x14ac:dyDescent="0.25">
      <c r="A22" s="458" t="s">
        <v>69</v>
      </c>
      <c r="B22" s="458"/>
      <c r="C22" s="223"/>
      <c r="D22" s="456">
        <f>IF(DC_N°=LISTE_INTERMEDIAIRE,SYNTH_TOT_DC_DECL_1,SYNTH_TOT_DC_DECL_2)</f>
        <v>0</v>
      </c>
      <c r="E22" s="457"/>
    </row>
    <row r="23" spans="1:5" ht="22.5" customHeight="1" x14ac:dyDescent="0.25">
      <c r="A23" s="241" t="s">
        <v>142</v>
      </c>
      <c r="B23" s="452" t="str">
        <f>IF('1-Identification'!$B$5="","",'1-Identification'!$B$5)</f>
        <v/>
      </c>
      <c r="C23" s="453"/>
      <c r="D23" s="453"/>
      <c r="E23" s="454"/>
    </row>
    <row r="24" spans="1:5" ht="18.75" customHeight="1" x14ac:dyDescent="0.25">
      <c r="A24" s="223"/>
      <c r="B24" s="223"/>
      <c r="C24" s="223"/>
      <c r="D24" s="223"/>
      <c r="E24" s="223"/>
    </row>
    <row r="25" spans="1:5" ht="25.5" customHeight="1" x14ac:dyDescent="0.25">
      <c r="A25" s="223"/>
      <c r="B25" s="244" t="s">
        <v>6</v>
      </c>
      <c r="C25" s="223"/>
      <c r="D25" s="223"/>
      <c r="E25" s="223"/>
    </row>
    <row r="26" spans="1:5" ht="30.75" customHeight="1" x14ac:dyDescent="0.25">
      <c r="A26" s="245" t="s">
        <v>57</v>
      </c>
      <c r="B26" s="442" t="str">
        <f>IF('1-Identification'!$B$13="","",'1-Identification'!$B$13)</f>
        <v>BE95 0910 0041 0358</v>
      </c>
      <c r="C26" s="443"/>
      <c r="D26" s="443"/>
      <c r="E26" s="444"/>
    </row>
    <row r="27" spans="1:5" ht="30.75" customHeight="1" x14ac:dyDescent="0.25">
      <c r="A27" s="245" t="s">
        <v>9</v>
      </c>
      <c r="B27" s="442" t="str">
        <f>IF('1-Identification'!$B$14="","",'1-Identification'!$B$14)</f>
        <v/>
      </c>
      <c r="C27" s="443"/>
      <c r="D27" s="443"/>
      <c r="E27" s="444"/>
    </row>
    <row r="28" spans="1:5" ht="30.75" customHeight="1" x14ac:dyDescent="0.25">
      <c r="A28" s="245" t="s">
        <v>58</v>
      </c>
      <c r="B28" s="442" t="str">
        <f>IF('1-Identification'!$B$15="","",'1-Identification'!$B$15)</f>
        <v/>
      </c>
      <c r="C28" s="443"/>
      <c r="D28" s="443"/>
      <c r="E28" s="444"/>
    </row>
    <row r="29" spans="1:5" ht="30.75" customHeight="1" x14ac:dyDescent="0.25">
      <c r="A29" s="245" t="s">
        <v>59</v>
      </c>
      <c r="B29" s="442" t="str">
        <f>IF('1-Identification'!$B$16="","",'1-Identification'!$B$16)</f>
        <v/>
      </c>
      <c r="C29" s="443"/>
      <c r="D29" s="443"/>
      <c r="E29" s="443"/>
    </row>
    <row r="30" spans="1:5" ht="30.75" customHeight="1" x14ac:dyDescent="0.25">
      <c r="A30" s="245" t="s">
        <v>146</v>
      </c>
      <c r="B30" s="442" t="str">
        <f>IF('1-Identification'!$B$12="","",'1-Identification'!$B$12)</f>
        <v xml:space="preserve">0216.693.545 </v>
      </c>
      <c r="C30" s="443"/>
      <c r="D30" s="443"/>
      <c r="E30" s="444"/>
    </row>
    <row r="31" spans="1:5" ht="22.5" customHeight="1" x14ac:dyDescent="0.25">
      <c r="A31" s="223"/>
      <c r="B31" s="223"/>
      <c r="C31" s="223"/>
      <c r="D31" s="223"/>
      <c r="E31" s="223"/>
    </row>
    <row r="32" spans="1:5" x14ac:dyDescent="0.25">
      <c r="A32" s="223"/>
      <c r="B32" s="244" t="s">
        <v>46</v>
      </c>
      <c r="C32" s="223"/>
      <c r="D32" s="223"/>
      <c r="E32" s="223"/>
    </row>
    <row r="33" spans="1:5" ht="46.5" customHeight="1" x14ac:dyDescent="0.25">
      <c r="A33" s="223"/>
      <c r="B33" s="439"/>
      <c r="C33" s="440"/>
      <c r="D33" s="440"/>
      <c r="E33" s="441"/>
    </row>
    <row r="34" spans="1:5" ht="33.75" customHeight="1" x14ac:dyDescent="0.25">
      <c r="A34" s="223"/>
      <c r="B34" s="223"/>
      <c r="C34" s="223"/>
      <c r="D34" s="223"/>
      <c r="E34" s="223"/>
    </row>
    <row r="35" spans="1:5" ht="26.25" customHeight="1" x14ac:dyDescent="0.25">
      <c r="A35" s="245" t="s">
        <v>10</v>
      </c>
      <c r="B35" s="246"/>
      <c r="C35" s="245" t="s">
        <v>11</v>
      </c>
      <c r="D35" s="246"/>
      <c r="E35" s="229"/>
    </row>
    <row r="36" spans="1:5" x14ac:dyDescent="0.25">
      <c r="A36" s="223"/>
      <c r="B36" s="223"/>
      <c r="C36" s="223"/>
      <c r="D36" s="223"/>
      <c r="E36" s="223"/>
    </row>
    <row r="37" spans="1:5" x14ac:dyDescent="0.25">
      <c r="A37" s="223"/>
      <c r="B37" s="223"/>
      <c r="C37" s="223"/>
      <c r="D37" s="247" t="s">
        <v>7</v>
      </c>
      <c r="E37" s="247"/>
    </row>
    <row r="38" spans="1:5" x14ac:dyDescent="0.25">
      <c r="A38" s="223"/>
      <c r="B38" s="223"/>
      <c r="C38" s="223"/>
      <c r="D38" s="247"/>
      <c r="E38" s="247"/>
    </row>
    <row r="39" spans="1:5" x14ac:dyDescent="0.25">
      <c r="A39" s="223" t="s">
        <v>1099</v>
      </c>
      <c r="B39" s="223"/>
      <c r="C39" s="223"/>
      <c r="D39" s="247"/>
      <c r="E39" s="247"/>
    </row>
    <row r="40" spans="1:5" x14ac:dyDescent="0.25">
      <c r="A40" s="235" t="s">
        <v>8</v>
      </c>
      <c r="B40" s="223"/>
      <c r="C40" s="223"/>
      <c r="D40" s="247"/>
      <c r="E40" s="247"/>
    </row>
    <row r="41" spans="1:5" x14ac:dyDescent="0.25">
      <c r="A41" s="223" t="s">
        <v>157</v>
      </c>
      <c r="B41" s="223"/>
      <c r="C41" s="223"/>
      <c r="D41" s="223"/>
      <c r="E41" s="223"/>
    </row>
    <row r="42" spans="1:5" x14ac:dyDescent="0.25">
      <c r="A42" s="223"/>
      <c r="B42" s="223"/>
      <c r="C42" s="223"/>
      <c r="D42" s="223"/>
      <c r="E42" s="223"/>
    </row>
  </sheetData>
  <sheetProtection algorithmName="SHA-512" hashValue="st4UbUjAqYNotDIp0iqtp0bRPbvm1/+G7dOdXOmTQv0fyW+thNFTpTn9xWilz+xNc5ZmcJBOMmHdppf4l23bgA==" saltValue="sn+YAfIBYWhDV9Z0Ks/pzQ==" spinCount="100000" sheet="1" formatCells="0" formatColumns="0" formatRows="0" selectLockedCells="1"/>
  <customSheetViews>
    <customSheetView guid="{C3F58662-020B-4E56-B390-38D4A953D070}" scale="70" fitToPage="1">
      <selection activeCell="I31" sqref="I31"/>
      <pageMargins left="0.23622047244094491" right="0" top="0" bottom="0" header="0.19685039370078741" footer="0.15748031496062992"/>
      <printOptions horizontalCentered="1" verticalCentered="1"/>
      <pageSetup paperSize="9" scale="71" orientation="portrait" blackAndWhite="1" r:id="rId1"/>
    </customSheetView>
  </customSheetViews>
  <mergeCells count="15">
    <mergeCell ref="B33:E33"/>
    <mergeCell ref="B30:E30"/>
    <mergeCell ref="B28:E28"/>
    <mergeCell ref="B6:C6"/>
    <mergeCell ref="B29:E29"/>
    <mergeCell ref="B19:E19"/>
    <mergeCell ref="B20:C20"/>
    <mergeCell ref="B21:E21"/>
    <mergeCell ref="B26:E26"/>
    <mergeCell ref="B27:E27"/>
    <mergeCell ref="B23:E23"/>
    <mergeCell ref="C8:E8"/>
    <mergeCell ref="D22:E22"/>
    <mergeCell ref="A22:B22"/>
    <mergeCell ref="B14:E14"/>
  </mergeCells>
  <printOptions horizontalCentered="1" verticalCentered="1"/>
  <pageMargins left="0.23622047244094491" right="0" top="0" bottom="0" header="0.19685039370078741" footer="0.15748031496062992"/>
  <pageSetup paperSize="9" scale="72" orientation="portrait" blackAndWhite="1"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_DC_CUM">
    <tabColor rgb="FF33CCFF"/>
    <pageSetUpPr fitToPage="1"/>
  </sheetPr>
  <dimension ref="A1:N36"/>
  <sheetViews>
    <sheetView showGridLines="0" topLeftCell="B1" zoomScaleNormal="100" zoomScalePageLayoutView="75" workbookViewId="0">
      <selection activeCell="H1" sqref="H1:M1048576"/>
    </sheetView>
  </sheetViews>
  <sheetFormatPr baseColWidth="10" defaultColWidth="2.7109375" defaultRowHeight="15" x14ac:dyDescent="0.25"/>
  <cols>
    <col min="1" max="1" width="1.28515625" style="102" hidden="1" customWidth="1"/>
    <col min="2" max="2" width="35.7109375" style="102" customWidth="1"/>
    <col min="3" max="3" width="19.7109375" style="102" customWidth="1"/>
    <col min="4" max="4" width="15.140625" style="106" hidden="1" customWidth="1"/>
    <col min="5" max="5" width="15.140625" style="102" hidden="1" customWidth="1"/>
    <col min="6" max="6" width="15.140625" style="106" customWidth="1"/>
    <col min="7" max="7" width="15.140625" style="102" customWidth="1"/>
    <col min="8" max="8" width="7.42578125" style="100" hidden="1" customWidth="1"/>
    <col min="9" max="9" width="15.140625" style="106" hidden="1" customWidth="1"/>
    <col min="10" max="10" width="15.140625" style="102" hidden="1" customWidth="1"/>
    <col min="11" max="11" width="7.28515625" style="102" hidden="1" customWidth="1"/>
    <col min="12" max="12" width="13.5703125" style="102" hidden="1" customWidth="1"/>
    <col min="13" max="13" width="15.140625" style="102" hidden="1" customWidth="1"/>
    <col min="14" max="16384" width="2.7109375" style="102"/>
  </cols>
  <sheetData>
    <row r="1" spans="1:13" s="99" customFormat="1" ht="13.5" customHeight="1" x14ac:dyDescent="0.25">
      <c r="A1" s="124"/>
      <c r="B1" s="333" t="s">
        <v>20</v>
      </c>
      <c r="C1" s="248">
        <f>DATE_DEB_CONV</f>
        <v>44197</v>
      </c>
      <c r="D1" s="248" t="str">
        <f>IF(DC_N°=LISTE_INTERMEDIAIRE,IDENTIF_DEB_DC,"")</f>
        <v/>
      </c>
      <c r="F1" s="248">
        <f>IF(DC_N°=LISTE_FINALE,IDENTIF_DEB_DC,"")</f>
        <v>0</v>
      </c>
      <c r="H1" s="249"/>
      <c r="I1" s="250"/>
      <c r="J1" s="251"/>
      <c r="K1" s="251"/>
      <c r="L1" s="251"/>
    </row>
    <row r="2" spans="1:13" s="99" customFormat="1" ht="9" customHeight="1" x14ac:dyDescent="0.25">
      <c r="A2" s="124"/>
      <c r="B2" s="334"/>
      <c r="C2" s="335" t="s">
        <v>17</v>
      </c>
      <c r="D2" s="252" t="s">
        <v>17</v>
      </c>
      <c r="F2" s="252" t="s">
        <v>17</v>
      </c>
      <c r="H2" s="249"/>
      <c r="I2" s="250"/>
      <c r="J2" s="251"/>
      <c r="K2" s="251"/>
      <c r="L2" s="251"/>
    </row>
    <row r="3" spans="1:13" s="99" customFormat="1" ht="13.5" customHeight="1" x14ac:dyDescent="0.25">
      <c r="A3" s="124"/>
      <c r="B3" s="336"/>
      <c r="C3" s="248">
        <f>DATE_FIN_CONV</f>
        <v>45473</v>
      </c>
      <c r="D3" s="248" t="str">
        <f>IF(DC_N°=LISTE_INTERMEDIAIRE,IDENTIF_FIN_DC,"")</f>
        <v/>
      </c>
      <c r="F3" s="248">
        <f>IF(DC_N°=LISTE_FINALE,IDENTIF_FIN_DC,"")</f>
        <v>0</v>
      </c>
      <c r="H3" s="249"/>
      <c r="I3" s="250"/>
      <c r="J3" s="251"/>
      <c r="K3" s="251"/>
      <c r="L3" s="251"/>
    </row>
    <row r="4" spans="1:13" s="5" customFormat="1" ht="9.75" hidden="1" customHeight="1" x14ac:dyDescent="0.25">
      <c r="A4" s="126"/>
      <c r="B4" s="254"/>
      <c r="C4" s="254"/>
      <c r="D4" s="254"/>
      <c r="E4" s="253"/>
      <c r="F4" s="254"/>
      <c r="G4" s="254"/>
      <c r="H4" s="255"/>
      <c r="I4" s="251"/>
      <c r="J4" s="251"/>
      <c r="K4" s="251"/>
      <c r="L4" s="251"/>
    </row>
    <row r="5" spans="1:13" s="101" customFormat="1" ht="21.75" customHeight="1" x14ac:dyDescent="0.2">
      <c r="A5" s="127"/>
      <c r="B5" s="337" t="s">
        <v>1109</v>
      </c>
      <c r="C5" s="256" t="s">
        <v>139</v>
      </c>
      <c r="D5" s="256" t="s">
        <v>1110</v>
      </c>
      <c r="E5" s="256"/>
      <c r="F5" s="256" t="s">
        <v>1128</v>
      </c>
      <c r="G5" s="256"/>
      <c r="H5" s="257"/>
      <c r="I5" s="258" t="s">
        <v>26</v>
      </c>
      <c r="J5" s="259"/>
      <c r="K5" s="260"/>
      <c r="L5" s="261" t="s">
        <v>28</v>
      </c>
    </row>
    <row r="6" spans="1:13" ht="25.5" x14ac:dyDescent="0.2">
      <c r="A6" s="128"/>
      <c r="B6" s="338" t="s">
        <v>49</v>
      </c>
      <c r="D6" s="263" t="s">
        <v>22</v>
      </c>
      <c r="E6" s="262" t="s">
        <v>23</v>
      </c>
      <c r="F6" s="263" t="s">
        <v>22</v>
      </c>
      <c r="G6" s="262" t="s">
        <v>23</v>
      </c>
      <c r="H6" s="264"/>
      <c r="I6" s="265" t="s">
        <v>22</v>
      </c>
      <c r="J6" s="266" t="s">
        <v>23</v>
      </c>
      <c r="K6" s="267"/>
      <c r="L6" s="268"/>
    </row>
    <row r="7" spans="1:13" s="103" customFormat="1" ht="15.75" customHeight="1" x14ac:dyDescent="0.3">
      <c r="A7" s="129"/>
      <c r="B7" s="339" t="s">
        <v>163</v>
      </c>
      <c r="C7" s="460"/>
      <c r="D7" s="269"/>
      <c r="E7" s="269"/>
      <c r="F7" s="269"/>
      <c r="G7" s="270"/>
      <c r="H7" s="271"/>
      <c r="I7" s="272"/>
      <c r="J7" s="273"/>
      <c r="K7" s="267"/>
      <c r="L7" s="274"/>
    </row>
    <row r="8" spans="1:13" s="104" customFormat="1" x14ac:dyDescent="0.25">
      <c r="A8" s="130"/>
      <c r="B8" s="340"/>
      <c r="C8" s="461"/>
      <c r="D8" s="275">
        <f>IF(DC_N°=LISTE_INTERMEDIAIRE,SUMIF(REL_DEP_DETAIL_RUB_DECL,LISTE_MAT,REL_DEP_DETAIL_TOT_DECL),0)</f>
        <v>0</v>
      </c>
      <c r="E8" s="275">
        <f>IF(DC_N°=LISTE_INTERMEDIAIRE,SUMIF(REL_DEP_DETAIL_RUB_ACCEPT,LISTE_MAT,REL_DEP_DETAIL_TOT_ACCEPT),0)</f>
        <v>0</v>
      </c>
      <c r="F8" s="276">
        <f>IF(DC_N°=LISTE_FINALE,SUMIF(REL_DEP_DETAIL_RUB_DECL,LISTE_MAT,REL_DEP_DETAIL_TOT_DECL),0)</f>
        <v>0</v>
      </c>
      <c r="G8" s="276">
        <f>IF(DC_N°=LISTE_FINALE,SUMIF(REL_DEP_DETAIL_RUB_ACCEPT,LISTE_MAT,REL_DEP_DETAIL_TOT_ACCEPT),0)</f>
        <v>0</v>
      </c>
      <c r="H8" s="277"/>
      <c r="I8" s="278">
        <f>D8+F8</f>
        <v>0</v>
      </c>
      <c r="J8" s="278">
        <f>E8+G8</f>
        <v>0</v>
      </c>
      <c r="K8" s="279"/>
      <c r="L8" s="280">
        <f>C8-J8</f>
        <v>0</v>
      </c>
    </row>
    <row r="9" spans="1:13" s="103" customFormat="1" ht="15.75" customHeight="1" x14ac:dyDescent="0.3">
      <c r="A9" s="129"/>
      <c r="B9" s="341" t="s">
        <v>164</v>
      </c>
      <c r="C9" s="461"/>
      <c r="D9" s="281"/>
      <c r="E9" s="281"/>
      <c r="F9" s="281"/>
      <c r="G9" s="282"/>
      <c r="H9" s="283"/>
      <c r="I9" s="284"/>
      <c r="J9" s="284"/>
      <c r="K9" s="285"/>
      <c r="L9" s="286"/>
    </row>
    <row r="10" spans="1:13" s="104" customFormat="1" ht="18" customHeight="1" x14ac:dyDescent="0.25">
      <c r="A10" s="130"/>
      <c r="B10" s="342"/>
      <c r="C10" s="462"/>
      <c r="D10" s="343">
        <f>IF(DC_N°=LISTE_INTERMEDIAIRE,SUMIF(REL_DEP_DETAIL_RUB_DECL,LISTE_SS_TRAITANT,REL_DEP_DETAIL_TOT_DECL),0)</f>
        <v>0</v>
      </c>
      <c r="E10" s="287">
        <f>IF(DC_N°=LISTE_INTERMEDIAIRE,SUMIF(REL_DEP_DETAIL_RUB_ACCEPT,LISTE_SS_TRAITANT,REL_DEP_DETAIL_TOT_ACCEPT),0)</f>
        <v>0</v>
      </c>
      <c r="F10" s="288">
        <f>IF(DC_N°=LISTE_FINALE,SUMIF(REL_DEP_DETAIL_RUB_DECL,LISTE_SS_TRAITANT,REL_DEP_DETAIL_TOT_DECL),0)</f>
        <v>0</v>
      </c>
      <c r="G10" s="289">
        <f>IF(DC_N°=LISTE_FINALE,SUMIF(REL_DEP_DETAIL_RUB_ACCEPT,LISTE_SS_TRAITANT,REL_DEP_DETAIL_TOT_ACCEPT),0)</f>
        <v>0</v>
      </c>
      <c r="H10" s="283"/>
      <c r="I10" s="290">
        <f>D10+F10</f>
        <v>0</v>
      </c>
      <c r="J10" s="290">
        <f>E10+G10</f>
        <v>0</v>
      </c>
      <c r="K10" s="279"/>
      <c r="L10" s="291">
        <f>C10-J10</f>
        <v>0</v>
      </c>
    </row>
    <row r="11" spans="1:13" s="2" customFormat="1" ht="18.75" customHeight="1" x14ac:dyDescent="0.25">
      <c r="A11" s="131"/>
      <c r="B11" s="344" t="s">
        <v>24</v>
      </c>
      <c r="C11" s="292">
        <f>SYNTH_SUBSIDE/0.75</f>
        <v>66666.67</v>
      </c>
      <c r="D11" s="292">
        <f>D8+D10</f>
        <v>0</v>
      </c>
      <c r="E11" s="292">
        <f t="shared" ref="E11" si="0">E8+E10</f>
        <v>0</v>
      </c>
      <c r="F11" s="292">
        <f t="shared" ref="F11" si="1">F8+F10</f>
        <v>0</v>
      </c>
      <c r="G11" s="292">
        <f t="shared" ref="G11" si="2">G8+G10</f>
        <v>0</v>
      </c>
      <c r="H11" s="283"/>
      <c r="I11" s="292">
        <f>I8+I10</f>
        <v>0</v>
      </c>
      <c r="J11" s="292">
        <f t="shared" ref="J11" si="3">J8+J10</f>
        <v>0</v>
      </c>
      <c r="K11" s="279"/>
      <c r="L11" s="291">
        <f>C11-J11</f>
        <v>66666.67</v>
      </c>
    </row>
    <row r="12" spans="1:13" s="103" customFormat="1" ht="10.15" customHeight="1" x14ac:dyDescent="0.3">
      <c r="A12" s="129"/>
      <c r="B12" s="251"/>
      <c r="C12" s="251"/>
      <c r="D12" s="294"/>
      <c r="E12" s="293"/>
      <c r="F12" s="294"/>
      <c r="G12" s="294"/>
      <c r="H12" s="294"/>
      <c r="I12" s="294"/>
      <c r="J12" s="294"/>
      <c r="K12" s="294"/>
      <c r="L12" s="295"/>
    </row>
    <row r="13" spans="1:13" s="104" customFormat="1" ht="18" customHeight="1" x14ac:dyDescent="0.25">
      <c r="A13" s="130"/>
      <c r="B13" s="345" t="s">
        <v>25</v>
      </c>
      <c r="C13" s="296">
        <f t="shared" ref="C13:G13" si="4">IDENTIF_TAUX_DE_FINANCEMENT</f>
        <v>0.75</v>
      </c>
      <c r="D13" s="296">
        <f t="shared" si="4"/>
        <v>0.75</v>
      </c>
      <c r="E13" s="296">
        <f t="shared" si="4"/>
        <v>0.75</v>
      </c>
      <c r="F13" s="296">
        <f t="shared" si="4"/>
        <v>0.75</v>
      </c>
      <c r="G13" s="296">
        <f t="shared" si="4"/>
        <v>0.75</v>
      </c>
      <c r="H13" s="297"/>
      <c r="I13" s="298">
        <f>IDENTIF_TAUX_DE_FINANCEMENT</f>
        <v>0.75</v>
      </c>
      <c r="J13" s="298">
        <f>IDENTIF_TAUX_DE_FINANCEMENT</f>
        <v>0.75</v>
      </c>
      <c r="K13" s="299"/>
      <c r="L13" s="300">
        <f>IDENTIF_TAUX_DE_FINANCEMENT</f>
        <v>0.75</v>
      </c>
      <c r="M13" s="134"/>
    </row>
    <row r="14" spans="1:13" s="149" customFormat="1" ht="31.5" customHeight="1" x14ac:dyDescent="0.25">
      <c r="A14" s="148"/>
      <c r="B14" s="346" t="s">
        <v>148</v>
      </c>
      <c r="C14" s="302">
        <f>IDENTIF_MONTANT_PROJET</f>
        <v>50000</v>
      </c>
      <c r="D14" s="302">
        <f>MIN(ROUND(D11*D13,2),SYNTH_SUBSIDE)</f>
        <v>0</v>
      </c>
      <c r="E14" s="301">
        <f>MIN(ROUND(E11*E13,2),SYNTH_SUBSIDE)</f>
        <v>0</v>
      </c>
      <c r="F14" s="302">
        <f>MIN(ROUND(F11*F13,2),SYNTH_SUBSIDE)</f>
        <v>0</v>
      </c>
      <c r="G14" s="301">
        <f>MIN(ROUND(G11*G13,2),SYNTH_SUBSIDE)</f>
        <v>0</v>
      </c>
      <c r="H14" s="303"/>
      <c r="I14" s="304">
        <f>ROUND(I11*I13,2)</f>
        <v>0</v>
      </c>
      <c r="J14" s="304">
        <f>ROUND(J11*J13,2)</f>
        <v>0</v>
      </c>
      <c r="K14" s="305"/>
      <c r="L14" s="306">
        <f>C14-J14</f>
        <v>50000</v>
      </c>
    </row>
    <row r="15" spans="1:13" s="5" customFormat="1" ht="8.25" customHeight="1" x14ac:dyDescent="0.25">
      <c r="A15" s="126"/>
      <c r="B15" s="347"/>
      <c r="C15" s="308"/>
      <c r="D15" s="308"/>
      <c r="E15" s="307"/>
      <c r="F15" s="308"/>
      <c r="G15" s="307"/>
      <c r="H15" s="309"/>
      <c r="I15" s="310"/>
      <c r="J15" s="311"/>
      <c r="K15" s="311"/>
      <c r="L15" s="311"/>
    </row>
    <row r="16" spans="1:13" ht="18.75" hidden="1" customHeight="1" x14ac:dyDescent="0.2">
      <c r="A16" s="128"/>
      <c r="B16" s="348" t="s">
        <v>88</v>
      </c>
      <c r="C16" s="313"/>
      <c r="D16" s="313"/>
      <c r="E16" s="312">
        <f>E14-D14</f>
        <v>0</v>
      </c>
      <c r="F16" s="313"/>
      <c r="G16" s="312">
        <f>G14-F14</f>
        <v>0</v>
      </c>
      <c r="H16" s="314"/>
      <c r="I16" s="315"/>
      <c r="J16" s="316">
        <f>E16+G16</f>
        <v>0</v>
      </c>
      <c r="K16" s="317"/>
      <c r="L16" s="317"/>
    </row>
    <row r="17" spans="1:14" ht="9.75" hidden="1" customHeight="1" x14ac:dyDescent="0.2">
      <c r="A17" s="128"/>
      <c r="B17" s="349"/>
      <c r="C17" s="311"/>
      <c r="D17" s="308"/>
      <c r="E17" s="307"/>
      <c r="F17" s="308"/>
      <c r="G17" s="307"/>
      <c r="H17" s="318"/>
      <c r="I17" s="318"/>
      <c r="J17" s="319"/>
      <c r="K17" s="318"/>
      <c r="L17" s="318"/>
    </row>
    <row r="18" spans="1:14" ht="16.5" hidden="1" customHeight="1" x14ac:dyDescent="0.2">
      <c r="A18" s="128"/>
      <c r="B18" s="350" t="s">
        <v>70</v>
      </c>
      <c r="C18" s="351"/>
      <c r="D18" s="313"/>
      <c r="E18" s="320">
        <v>0</v>
      </c>
      <c r="F18" s="321"/>
      <c r="G18" s="320">
        <v>0</v>
      </c>
      <c r="H18" s="314"/>
      <c r="I18" s="315"/>
      <c r="J18" s="322">
        <f>$C$20+E18+G18</f>
        <v>50000</v>
      </c>
      <c r="K18" s="323"/>
      <c r="L18" s="324">
        <f>C14-J18</f>
        <v>0</v>
      </c>
      <c r="N18" s="135"/>
    </row>
    <row r="19" spans="1:14" s="2" customFormat="1" ht="7.5" customHeight="1" x14ac:dyDescent="0.25">
      <c r="A19" s="131"/>
      <c r="B19" s="352"/>
      <c r="C19" s="325"/>
      <c r="D19" s="325"/>
      <c r="E19" s="325"/>
      <c r="F19" s="325"/>
      <c r="G19" s="325"/>
      <c r="H19" s="311"/>
      <c r="I19" s="311"/>
      <c r="J19" s="311"/>
      <c r="K19" s="311"/>
      <c r="L19" s="311"/>
    </row>
    <row r="20" spans="1:14" s="105" customFormat="1" ht="17.25" customHeight="1" x14ac:dyDescent="0.2">
      <c r="A20" s="132"/>
      <c r="B20" s="353" t="s">
        <v>71</v>
      </c>
      <c r="C20" s="354">
        <f>SYNTH_SUBSIDE</f>
        <v>50000</v>
      </c>
      <c r="D20" s="308"/>
      <c r="E20" s="308"/>
      <c r="F20" s="308"/>
      <c r="G20" s="308"/>
      <c r="H20" s="318"/>
      <c r="I20" s="326"/>
      <c r="J20" s="317"/>
      <c r="K20" s="317"/>
      <c r="L20" s="327"/>
    </row>
    <row r="21" spans="1:14" ht="17.25" customHeight="1" x14ac:dyDescent="0.2">
      <c r="A21" s="128"/>
      <c r="B21" s="350" t="s">
        <v>74</v>
      </c>
      <c r="C21" s="313"/>
      <c r="D21" s="355">
        <f>D14-D18</f>
        <v>0</v>
      </c>
      <c r="E21" s="312">
        <f>E14-E18</f>
        <v>0</v>
      </c>
      <c r="F21" s="321"/>
      <c r="G21" s="312">
        <f>G14-G18</f>
        <v>0</v>
      </c>
      <c r="H21" s="314"/>
      <c r="I21" s="315"/>
      <c r="J21" s="328">
        <f>E21+G21</f>
        <v>0</v>
      </c>
      <c r="K21" s="323"/>
      <c r="L21" s="329">
        <f>C20-J21</f>
        <v>50000</v>
      </c>
    </row>
    <row r="22" spans="1:14" ht="17.25" customHeight="1" x14ac:dyDescent="0.2">
      <c r="A22" s="128"/>
      <c r="B22" s="350" t="s">
        <v>119</v>
      </c>
      <c r="C22" s="313"/>
      <c r="D22" s="355">
        <f>C20-D21</f>
        <v>50000</v>
      </c>
      <c r="E22" s="312">
        <f>C20-E21</f>
        <v>50000</v>
      </c>
      <c r="F22" s="321"/>
      <c r="G22" s="312">
        <f>E22-G21</f>
        <v>50000</v>
      </c>
      <c r="H22" s="311"/>
      <c r="I22" s="311"/>
      <c r="J22" s="311"/>
      <c r="K22" s="311"/>
      <c r="L22" s="311"/>
    </row>
    <row r="23" spans="1:14" ht="11.25" customHeight="1" x14ac:dyDescent="0.2">
      <c r="A23" s="128"/>
      <c r="B23" s="125"/>
      <c r="C23" s="133"/>
      <c r="D23" s="133"/>
      <c r="E23" s="330"/>
      <c r="F23" s="331"/>
      <c r="G23" s="330"/>
      <c r="H23" s="332"/>
      <c r="I23" s="331"/>
      <c r="J23" s="330"/>
      <c r="K23" s="330"/>
      <c r="L23" s="330"/>
    </row>
    <row r="24" spans="1:14" ht="21" x14ac:dyDescent="0.35">
      <c r="B24" s="107"/>
      <c r="C24" s="107"/>
      <c r="D24" s="108"/>
      <c r="E24" s="107"/>
      <c r="F24" s="108"/>
      <c r="G24" s="107"/>
    </row>
    <row r="25" spans="1:14" ht="21" x14ac:dyDescent="0.35">
      <c r="B25" s="107"/>
      <c r="C25" s="107"/>
      <c r="D25" s="108"/>
      <c r="E25" s="107"/>
      <c r="F25" s="108"/>
      <c r="G25" s="107"/>
    </row>
    <row r="26" spans="1:14" ht="21" x14ac:dyDescent="0.35">
      <c r="B26" s="107"/>
      <c r="C26" s="107"/>
      <c r="D26" s="108"/>
      <c r="E26" s="107"/>
      <c r="F26" s="108"/>
      <c r="G26" s="107"/>
    </row>
    <row r="27" spans="1:14" ht="21" x14ac:dyDescent="0.35">
      <c r="B27" s="107"/>
      <c r="C27" s="107"/>
      <c r="D27" s="108"/>
      <c r="E27" s="107"/>
      <c r="F27" s="108"/>
      <c r="G27" s="107"/>
    </row>
    <row r="28" spans="1:14" ht="21" x14ac:dyDescent="0.35">
      <c r="B28" s="107"/>
      <c r="C28" s="107"/>
      <c r="D28" s="108"/>
      <c r="E28" s="107"/>
      <c r="F28" s="108"/>
      <c r="G28" s="107"/>
    </row>
    <row r="29" spans="1:14" ht="21" x14ac:dyDescent="0.35">
      <c r="B29" s="107"/>
      <c r="C29" s="107"/>
      <c r="D29" s="108"/>
      <c r="E29" s="107"/>
      <c r="F29" s="108"/>
      <c r="G29" s="107"/>
    </row>
    <row r="30" spans="1:14" ht="21" x14ac:dyDescent="0.35">
      <c r="B30" s="107"/>
      <c r="C30" s="107"/>
      <c r="D30" s="108"/>
      <c r="E30" s="107"/>
      <c r="F30" s="108"/>
      <c r="G30" s="107"/>
    </row>
    <row r="31" spans="1:14" ht="21" x14ac:dyDescent="0.35">
      <c r="B31" s="107"/>
      <c r="C31" s="107"/>
      <c r="D31" s="108"/>
      <c r="E31" s="107"/>
      <c r="F31" s="108"/>
      <c r="G31" s="107"/>
    </row>
    <row r="32" spans="1:14" ht="21" x14ac:dyDescent="0.35">
      <c r="B32" s="107"/>
      <c r="C32" s="107"/>
      <c r="D32" s="108"/>
      <c r="E32" s="107"/>
      <c r="F32" s="108"/>
      <c r="G32" s="107"/>
    </row>
    <row r="33" spans="2:7" ht="21" x14ac:dyDescent="0.35">
      <c r="B33" s="107"/>
      <c r="C33" s="107"/>
      <c r="D33" s="108"/>
      <c r="E33" s="107"/>
      <c r="F33" s="108"/>
      <c r="G33" s="107"/>
    </row>
    <row r="34" spans="2:7" ht="21" x14ac:dyDescent="0.35">
      <c r="B34" s="107"/>
      <c r="C34" s="107"/>
      <c r="D34" s="108"/>
      <c r="E34" s="107"/>
      <c r="F34" s="108"/>
      <c r="G34" s="107"/>
    </row>
    <row r="35" spans="2:7" ht="21" x14ac:dyDescent="0.35">
      <c r="B35" s="107"/>
      <c r="C35" s="107"/>
      <c r="D35" s="108"/>
      <c r="E35" s="107"/>
      <c r="F35" s="108"/>
      <c r="G35" s="107"/>
    </row>
    <row r="36" spans="2:7" ht="21" x14ac:dyDescent="0.35">
      <c r="B36" s="107"/>
      <c r="C36" s="107"/>
      <c r="D36" s="108"/>
      <c r="E36" s="107"/>
      <c r="F36" s="108"/>
      <c r="G36" s="107"/>
    </row>
  </sheetData>
  <sheetProtection algorithmName="SHA-512" hashValue="R6MB4Vybbtn0JXgdQch9I3FDPYUSfz9FlcCJibOvErOJaiDV95AS263/zMe8Wl55HERHAyc00KCrMgUTMzHlyA==" saltValue="upuPsONEf9K2LVAf9KWR0A==" spinCount="100000" sheet="1"/>
  <customSheetViews>
    <customSheetView guid="{C3F58662-020B-4E56-B390-38D4A953D070}" scale="90" showPageBreaks="1" showGridLines="0" printArea="1" view="pageBreakPreview">
      <selection activeCell="AE46" sqref="AE46"/>
      <colBreaks count="2" manualBreakCount="2">
        <brk id="9" min="3" max="59" man="1"/>
        <brk id="17" min="3" max="59" man="1"/>
      </colBreaks>
      <pageMargins left="0.19685039370078741" right="0.19685039370078741" top="0.87" bottom="0.35433070866141736" header="0.42" footer="0.19685039370078741"/>
      <pageSetup paperSize="9" scale="61" fitToWidth="3" orientation="portrait" horizontalDpi="0" verticalDpi="0" r:id="rId1"/>
      <headerFooter>
        <oddHeader>&amp;F</oddHeader>
        <oddFooter>&amp;C&amp;A&amp;R&amp;P/&amp;N</oddFooter>
      </headerFooter>
    </customSheetView>
  </customSheetViews>
  <mergeCells count="1">
    <mergeCell ref="C7:C10"/>
  </mergeCells>
  <conditionalFormatting sqref="C14">
    <cfRule type="cellIs" dxfId="0" priority="3" operator="notEqual">
      <formula>TAB4_TOTAL_RW</formula>
    </cfRule>
  </conditionalFormatting>
  <dataValidations count="1">
    <dataValidation allowBlank="1" showErrorMessage="1" sqref="E18" xr:uid="{90532EFD-16A4-461C-9356-4153884E93C9}"/>
  </dataValidations>
  <pageMargins left="0.19685039370078741" right="0.19685039370078741" top="0.39370078740157483" bottom="0.39370078740157483" header="0" footer="0"/>
  <pageSetup paperSize="9" scale="69" orientation="landscape" horizontalDpi="300" verticalDpi="300" r:id="rId2"/>
  <headerFooter>
    <oddHeader>&amp;F</oddHeader>
    <oddFooter>&amp;C&amp;A&amp;R&amp;P/&amp;N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C3">
    <tabColor rgb="FF33CCFF"/>
  </sheetPr>
  <dimension ref="A1:AZ61"/>
  <sheetViews>
    <sheetView showGridLines="0" topLeftCell="B1" zoomScaleNormal="100" zoomScaleSheetLayoutView="100" workbookViewId="0">
      <selection activeCell="G37" sqref="G37"/>
    </sheetView>
  </sheetViews>
  <sheetFormatPr baseColWidth="10" defaultColWidth="10.7109375" defaultRowHeight="15.75" x14ac:dyDescent="0.25"/>
  <cols>
    <col min="1" max="1" width="16.7109375" style="12" customWidth="1"/>
    <col min="2" max="2" width="17.28515625" style="12" customWidth="1"/>
    <col min="3" max="3" width="11.42578125" style="12" customWidth="1"/>
    <col min="4" max="4" width="11.7109375" style="12" customWidth="1"/>
    <col min="5" max="5" width="7.28515625" style="12" customWidth="1"/>
    <col min="6" max="6" width="12.28515625" style="12" customWidth="1"/>
    <col min="7" max="7" width="10.7109375" style="12" customWidth="1"/>
    <col min="8" max="8" width="11.7109375" style="12" customWidth="1"/>
    <col min="9" max="9" width="11.28515625" style="12" customWidth="1"/>
    <col min="10" max="10" width="8.28515625" style="12" customWidth="1"/>
    <col min="11" max="12" width="11.42578125" style="12"/>
    <col min="13" max="13" width="1.7109375" style="12"/>
    <col min="14" max="14" width="2.7109375" style="12" customWidth="1"/>
    <col min="15" max="25" width="1.7109375" style="12"/>
    <col min="26" max="26" width="1.7109375" style="64"/>
    <col min="27" max="28" width="1.7109375" style="64" customWidth="1"/>
    <col min="29" max="52" width="10.7109375" style="64"/>
    <col min="53" max="16384" width="10.7109375" style="12"/>
  </cols>
  <sheetData>
    <row r="1" spans="2:14" x14ac:dyDescent="0.25">
      <c r="B1" s="25"/>
      <c r="C1" s="25"/>
      <c r="D1" s="25"/>
      <c r="E1" s="25"/>
      <c r="F1" s="25"/>
      <c r="G1" s="25"/>
      <c r="H1" s="25"/>
      <c r="I1" s="26"/>
      <c r="J1" s="26" t="s">
        <v>37</v>
      </c>
    </row>
    <row r="2" spans="2:14" ht="10.5" customHeight="1" x14ac:dyDescent="0.25">
      <c r="B2" s="25"/>
      <c r="C2" s="25"/>
      <c r="D2" s="25"/>
      <c r="E2" s="25"/>
      <c r="F2" s="25"/>
      <c r="G2" s="25"/>
      <c r="H2" s="25"/>
      <c r="I2" s="26"/>
      <c r="J2" s="26" t="s">
        <v>38</v>
      </c>
    </row>
    <row r="3" spans="2:14" ht="6" customHeight="1" thickBot="1" x14ac:dyDescent="0.3">
      <c r="B3" s="25"/>
      <c r="C3" s="25"/>
      <c r="D3" s="25"/>
      <c r="E3" s="25"/>
      <c r="F3" s="25"/>
      <c r="G3" s="25"/>
      <c r="H3" s="25"/>
      <c r="I3" s="25"/>
      <c r="J3" s="27"/>
      <c r="M3" s="13"/>
      <c r="N3" s="13"/>
    </row>
    <row r="4" spans="2:14" ht="27" customHeight="1" thickTop="1" thickBot="1" x14ac:dyDescent="0.3">
      <c r="B4" s="470" t="s">
        <v>80</v>
      </c>
      <c r="C4" s="471"/>
      <c r="D4" s="471"/>
      <c r="E4" s="471"/>
      <c r="F4" s="471"/>
      <c r="G4" s="471"/>
      <c r="H4" s="471"/>
      <c r="I4" s="471"/>
      <c r="J4" s="472"/>
      <c r="K4" s="6"/>
      <c r="L4" s="6"/>
      <c r="M4" s="6"/>
    </row>
    <row r="5" spans="2:14" ht="6" hidden="1" customHeight="1" thickTop="1" x14ac:dyDescent="0.25">
      <c r="B5" s="28"/>
      <c r="C5" s="28"/>
      <c r="D5" s="28"/>
      <c r="E5" s="28"/>
      <c r="F5" s="28"/>
      <c r="G5" s="28"/>
      <c r="H5" s="28"/>
      <c r="I5" s="28"/>
      <c r="J5" s="27"/>
      <c r="K5" s="6"/>
      <c r="L5" s="6"/>
      <c r="M5" s="6"/>
    </row>
    <row r="6" spans="2:14" ht="17.25" customHeight="1" thickTop="1" x14ac:dyDescent="0.25">
      <c r="B6" s="24" t="s">
        <v>77</v>
      </c>
      <c r="C6" s="29"/>
      <c r="D6" s="29"/>
      <c r="E6" s="29"/>
      <c r="F6" s="29"/>
      <c r="G6" s="29"/>
      <c r="H6" s="29"/>
      <c r="I6" s="29"/>
      <c r="J6" s="27"/>
      <c r="K6" s="7"/>
      <c r="L6" s="7"/>
      <c r="M6" s="7"/>
    </row>
    <row r="7" spans="2:14" ht="15" customHeight="1" x14ac:dyDescent="0.25">
      <c r="B7" s="30" t="s">
        <v>34</v>
      </c>
      <c r="C7" s="474" t="str">
        <f>IF('1-Identification'!B11="","",'1-Identification'!B11)</f>
        <v>Anthisnes</v>
      </c>
      <c r="D7" s="475"/>
      <c r="E7" s="31"/>
      <c r="F7" s="32" t="s">
        <v>44</v>
      </c>
      <c r="G7" s="32" t="s">
        <v>39</v>
      </c>
      <c r="H7" s="25"/>
      <c r="I7" s="33" t="s">
        <v>40</v>
      </c>
      <c r="J7" s="25"/>
    </row>
    <row r="8" spans="2:14" ht="15" customHeight="1" x14ac:dyDescent="0.25">
      <c r="B8" s="30" t="s">
        <v>48</v>
      </c>
      <c r="C8" s="474" t="str">
        <f>IF('1-Identification'!B5="","",'1-Identification'!B5)</f>
        <v/>
      </c>
      <c r="D8" s="475"/>
      <c r="E8" s="31"/>
      <c r="F8" s="31"/>
      <c r="G8" s="31"/>
      <c r="H8" s="33"/>
      <c r="I8" s="33"/>
      <c r="J8" s="25"/>
    </row>
    <row r="9" spans="2:14" ht="15" customHeight="1" x14ac:dyDescent="0.25">
      <c r="B9" s="34" t="s">
        <v>0</v>
      </c>
      <c r="C9" s="474" t="str">
        <f>IF('1-Identification'!B12="","",'1-Identification'!B12)</f>
        <v xml:space="preserve">0216.693.545 </v>
      </c>
      <c r="D9" s="475"/>
      <c r="E9" s="31"/>
      <c r="F9" s="31"/>
      <c r="G9" s="31"/>
      <c r="H9" s="35"/>
      <c r="I9" s="33"/>
      <c r="J9" s="25"/>
    </row>
    <row r="10" spans="2:14" ht="15" customHeight="1" x14ac:dyDescent="0.25">
      <c r="B10" s="34" t="str">
        <f>'3-Déclaration de créance'!A26</f>
        <v>IBAN :</v>
      </c>
      <c r="C10" s="474" t="str">
        <f>IF('3-Déclaration de créance'!B26="","",'3-Déclaration de créance'!B26)</f>
        <v>BE95 0910 0041 0358</v>
      </c>
      <c r="D10" s="475"/>
      <c r="E10" s="31"/>
      <c r="F10" s="30" t="s">
        <v>121</v>
      </c>
      <c r="G10" s="59" t="str">
        <f>IF('1-Identification'!F4="","",'1-Identification'!F4)</f>
        <v/>
      </c>
      <c r="H10" s="36" t="s">
        <v>17</v>
      </c>
      <c r="I10" s="60" t="str">
        <f>IF('1-Identification'!F5="","",'1-Identification'!F5)</f>
        <v/>
      </c>
      <c r="J10" s="25"/>
    </row>
    <row r="11" spans="2:14" ht="15" customHeight="1" x14ac:dyDescent="0.25">
      <c r="B11" s="34" t="str">
        <f>'3-Déclaration de créance'!A27</f>
        <v>BIC :</v>
      </c>
      <c r="C11" s="474" t="str">
        <f>IF('3-Déclaration de créance'!B27="","",'3-Déclaration de créance'!B27)</f>
        <v/>
      </c>
      <c r="D11" s="475"/>
      <c r="E11" s="25"/>
      <c r="F11" s="37"/>
      <c r="G11" s="25"/>
      <c r="H11" s="25"/>
      <c r="I11" s="38"/>
      <c r="J11" s="25"/>
    </row>
    <row r="12" spans="2:14" ht="15" customHeight="1" x14ac:dyDescent="0.25">
      <c r="B12" s="34" t="s">
        <v>79</v>
      </c>
      <c r="C12" s="480" t="str">
        <f>IF('3-Déclaration de créance'!B28="","",'3-Déclaration de créance'!B28)</f>
        <v/>
      </c>
      <c r="D12" s="481"/>
      <c r="E12" s="31"/>
      <c r="F12" s="482" t="s">
        <v>45</v>
      </c>
      <c r="G12" s="482"/>
      <c r="H12" s="482"/>
      <c r="I12" s="117">
        <f>DC_TOT_DECL</f>
        <v>0</v>
      </c>
      <c r="J12" s="25"/>
    </row>
    <row r="13" spans="2:14" ht="15" customHeight="1" x14ac:dyDescent="0.25">
      <c r="B13" s="34" t="str">
        <f>'3-Déclaration de créance'!A29</f>
        <v>ouvert au nom de :</v>
      </c>
      <c r="C13" s="477" t="str">
        <f>IF('3-Déclaration de créance'!B29="","",'3-Déclaration de créance'!B29)</f>
        <v/>
      </c>
      <c r="D13" s="477"/>
      <c r="E13" s="477"/>
      <c r="F13" s="25"/>
      <c r="G13" s="33"/>
      <c r="H13" s="33"/>
      <c r="I13" s="33"/>
      <c r="J13" s="25"/>
    </row>
    <row r="14" spans="2:14" ht="6" customHeight="1" x14ac:dyDescent="0.25">
      <c r="B14" s="38"/>
      <c r="C14" s="38"/>
      <c r="D14" s="25"/>
      <c r="E14" s="38"/>
      <c r="F14" s="25"/>
      <c r="G14" s="38"/>
      <c r="H14" s="25"/>
      <c r="I14" s="25"/>
      <c r="J14" s="25"/>
    </row>
    <row r="15" spans="2:14" ht="18.75" customHeight="1" x14ac:dyDescent="0.25">
      <c r="B15" s="38"/>
      <c r="C15" s="39" t="s">
        <v>54</v>
      </c>
      <c r="D15" s="39" t="s">
        <v>53</v>
      </c>
      <c r="F15" s="39"/>
      <c r="G15" s="39"/>
      <c r="H15" s="39"/>
      <c r="I15" s="39"/>
    </row>
    <row r="16" spans="2:14" ht="13.5" customHeight="1" x14ac:dyDescent="0.25">
      <c r="B16" s="30" t="s">
        <v>85</v>
      </c>
      <c r="C16" s="89">
        <f>'1-Identification'!B21</f>
        <v>50000</v>
      </c>
      <c r="D16" s="58" t="str">
        <f>IF(IDENTIF_VISA_CONV="","",IDENTIF_VISA_CONV)</f>
        <v>20/20485</v>
      </c>
    </row>
    <row r="17" spans="2:52" ht="15" customHeight="1" x14ac:dyDescent="0.25">
      <c r="B17" s="40"/>
      <c r="C17" s="40"/>
      <c r="D17" s="40"/>
      <c r="E17" s="40"/>
      <c r="F17" s="25"/>
      <c r="G17" s="40"/>
      <c r="H17" s="40"/>
      <c r="I17" s="40"/>
      <c r="J17" s="25"/>
    </row>
    <row r="18" spans="2:52" s="14" customFormat="1" ht="23.25" customHeight="1" x14ac:dyDescent="0.25">
      <c r="B18" s="30" t="s">
        <v>47</v>
      </c>
      <c r="D18" s="61" t="s">
        <v>1119</v>
      </c>
      <c r="E18" s="41"/>
      <c r="F18" s="30" t="s">
        <v>78</v>
      </c>
      <c r="G18" s="61"/>
      <c r="H18" s="36" t="s">
        <v>41</v>
      </c>
      <c r="I18" s="473"/>
      <c r="J18" s="473"/>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row>
    <row r="19" spans="2:52" s="14" customFormat="1" ht="23.25" customHeight="1" x14ac:dyDescent="0.25">
      <c r="B19" s="42" t="s">
        <v>83</v>
      </c>
      <c r="C19" s="483" t="s">
        <v>90</v>
      </c>
      <c r="D19" s="483"/>
      <c r="E19" s="41"/>
      <c r="F19" s="41"/>
      <c r="G19" s="41"/>
      <c r="H19" s="41"/>
      <c r="I19" s="37"/>
      <c r="J19" s="41"/>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row>
    <row r="20" spans="2:52" ht="9" customHeight="1" x14ac:dyDescent="0.25">
      <c r="B20" s="25"/>
      <c r="C20" s="25"/>
      <c r="D20" s="25"/>
      <c r="E20" s="25"/>
      <c r="F20" s="25"/>
      <c r="G20" s="25"/>
      <c r="H20" s="25"/>
      <c r="I20" s="25"/>
      <c r="J20" s="25"/>
    </row>
    <row r="21" spans="2:52" ht="19.5" customHeight="1" x14ac:dyDescent="0.25">
      <c r="B21" s="43" t="s">
        <v>76</v>
      </c>
      <c r="C21" s="44"/>
      <c r="D21" s="41"/>
      <c r="E21" s="41"/>
      <c r="F21" s="41"/>
      <c r="G21" s="41"/>
      <c r="H21" s="41"/>
      <c r="I21" s="41"/>
      <c r="J21" s="25"/>
    </row>
    <row r="22" spans="2:52" ht="13.5" customHeight="1" x14ac:dyDescent="0.25">
      <c r="B22" s="479" t="s">
        <v>72</v>
      </c>
      <c r="C22" s="479"/>
      <c r="D22" s="479"/>
      <c r="E22" s="479"/>
      <c r="F22" s="479"/>
      <c r="G22" s="479"/>
      <c r="H22" s="479"/>
      <c r="I22" s="479"/>
      <c r="J22" s="479"/>
    </row>
    <row r="23" spans="2:52" ht="15" customHeight="1" x14ac:dyDescent="0.25">
      <c r="B23" s="41"/>
      <c r="C23" s="41"/>
      <c r="D23" s="45" t="s">
        <v>60</v>
      </c>
      <c r="E23" s="46"/>
      <c r="J23" s="25"/>
    </row>
    <row r="24" spans="2:52" ht="22.5" customHeight="1" x14ac:dyDescent="0.25">
      <c r="B24" s="476" t="s">
        <v>1134</v>
      </c>
      <c r="C24" s="476"/>
      <c r="D24" s="76"/>
      <c r="E24" s="25"/>
      <c r="J24" s="25"/>
    </row>
    <row r="25" spans="2:52" ht="35.25" customHeight="1" x14ac:dyDescent="0.25">
      <c r="B25" s="476" t="s">
        <v>1135</v>
      </c>
      <c r="C25" s="476"/>
      <c r="D25" s="76"/>
      <c r="E25" s="47"/>
      <c r="J25" s="25"/>
    </row>
    <row r="26" spans="2:52" ht="27.75" customHeight="1" x14ac:dyDescent="0.25">
      <c r="B26" s="478" t="s">
        <v>1136</v>
      </c>
      <c r="C26" s="478"/>
      <c r="D26" s="76"/>
      <c r="E26" s="25"/>
      <c r="J26" s="25"/>
    </row>
    <row r="27" spans="2:52" ht="3.75" customHeight="1" x14ac:dyDescent="0.25">
      <c r="B27" s="25"/>
      <c r="C27" s="25"/>
      <c r="D27" s="25"/>
      <c r="E27" s="25"/>
      <c r="F27" s="25"/>
      <c r="G27" s="25"/>
      <c r="H27" s="25"/>
      <c r="I27" s="41"/>
      <c r="J27" s="25"/>
    </row>
    <row r="28" spans="2:52" ht="3.75" customHeight="1" x14ac:dyDescent="0.25">
      <c r="B28" s="25"/>
      <c r="C28" s="25"/>
      <c r="D28" s="25"/>
      <c r="E28" s="25"/>
      <c r="F28" s="25"/>
      <c r="G28" s="25"/>
      <c r="H28" s="25"/>
      <c r="I28" s="41"/>
      <c r="J28" s="25"/>
    </row>
    <row r="29" spans="2:52" ht="4.5" customHeight="1" x14ac:dyDescent="0.25">
      <c r="B29" s="25"/>
      <c r="C29" s="25"/>
      <c r="D29" s="25"/>
      <c r="E29" s="25"/>
      <c r="F29" s="25"/>
      <c r="G29" s="25"/>
      <c r="H29" s="25"/>
      <c r="I29" s="41"/>
      <c r="J29" s="25"/>
    </row>
    <row r="30" spans="2:52" x14ac:dyDescent="0.25">
      <c r="B30" s="43" t="s">
        <v>75</v>
      </c>
      <c r="C30" s="41"/>
      <c r="D30" s="41"/>
      <c r="E30" s="41"/>
      <c r="F30" s="41"/>
      <c r="G30" s="41"/>
      <c r="H30" s="41"/>
      <c r="I30" s="41"/>
      <c r="J30" s="25"/>
    </row>
    <row r="31" spans="2:52" ht="58.5" customHeight="1" x14ac:dyDescent="0.25">
      <c r="B31" s="466" t="s">
        <v>43</v>
      </c>
      <c r="C31" s="466"/>
      <c r="D31" s="466"/>
      <c r="E31" s="48" t="s">
        <v>61</v>
      </c>
      <c r="F31" s="467" t="s">
        <v>147</v>
      </c>
      <c r="G31" s="467"/>
      <c r="H31" s="467"/>
      <c r="I31" s="467"/>
      <c r="J31" s="467"/>
    </row>
    <row r="32" spans="2:52" ht="5.25" customHeight="1" x14ac:dyDescent="0.25">
      <c r="B32" s="31"/>
      <c r="C32" s="31"/>
      <c r="D32" s="31"/>
      <c r="E32" s="31"/>
      <c r="F32" s="31"/>
      <c r="G32" s="31"/>
      <c r="H32" s="31"/>
      <c r="I32" s="31"/>
      <c r="J32" s="31"/>
    </row>
    <row r="33" spans="2:52" x14ac:dyDescent="0.25">
      <c r="B33" s="42" t="s">
        <v>82</v>
      </c>
      <c r="C33" s="473"/>
      <c r="D33" s="473"/>
      <c r="E33" s="473"/>
      <c r="F33" s="473"/>
      <c r="G33" s="473"/>
      <c r="H33" s="473"/>
      <c r="I33" s="473"/>
      <c r="J33" s="473"/>
    </row>
    <row r="34" spans="2:52" customFormat="1" ht="8.25" customHeight="1" x14ac:dyDescent="0.25">
      <c r="B34" s="49"/>
      <c r="C34" s="49"/>
      <c r="D34" s="49"/>
      <c r="E34" s="49"/>
      <c r="F34" s="49"/>
      <c r="G34" s="49"/>
      <c r="H34" s="49"/>
      <c r="I34" s="49"/>
      <c r="J34" s="49"/>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row>
    <row r="35" spans="2:52" s="11" customFormat="1" ht="15" x14ac:dyDescent="0.25">
      <c r="B35" s="50" t="s">
        <v>94</v>
      </c>
      <c r="C35" s="31"/>
      <c r="D35" s="31"/>
      <c r="E35" s="31"/>
      <c r="F35" s="50" t="s">
        <v>95</v>
      </c>
      <c r="G35" s="31"/>
      <c r="H35" s="31"/>
      <c r="I35" s="31"/>
      <c r="J35" s="31"/>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row>
    <row r="36" spans="2:52" ht="24" customHeight="1" x14ac:dyDescent="0.25">
      <c r="B36" s="51"/>
      <c r="C36" s="48" t="s">
        <v>96</v>
      </c>
      <c r="D36" s="468" t="s">
        <v>97</v>
      </c>
      <c r="E36" s="468"/>
      <c r="F36" s="31"/>
      <c r="G36" s="31"/>
      <c r="H36" s="31"/>
      <c r="I36" s="31"/>
      <c r="J36" s="31"/>
    </row>
    <row r="37" spans="2:52" ht="18.75" customHeight="1" x14ac:dyDescent="0.25">
      <c r="B37" s="52" t="s">
        <v>85</v>
      </c>
      <c r="C37" s="57" t="str">
        <f>IDENTIF_VISA_CONV</f>
        <v>20/20485</v>
      </c>
      <c r="D37" s="109">
        <f>IF(DC_N°=LISTE_INTERMEDIAIRE,SYNTH_MONTANT_LIQUIDE_1,SYNTH_MONTANT_LIQUIDE_2)</f>
        <v>0</v>
      </c>
      <c r="E37" s="31"/>
      <c r="F37" s="53" t="s">
        <v>65</v>
      </c>
      <c r="G37" s="88">
        <f>SYNTH_SOLDE</f>
        <v>0</v>
      </c>
      <c r="H37" s="62"/>
      <c r="I37" s="63"/>
      <c r="J37" s="31"/>
    </row>
    <row r="38" spans="2:52" ht="17.25" customHeight="1" x14ac:dyDescent="0.25">
      <c r="B38" s="31"/>
      <c r="C38" s="31"/>
      <c r="D38" s="75"/>
      <c r="E38" s="31"/>
      <c r="F38" s="469" t="s">
        <v>120</v>
      </c>
      <c r="G38" s="469"/>
      <c r="H38" s="469"/>
      <c r="I38" s="469"/>
      <c r="J38" s="469"/>
    </row>
    <row r="39" spans="2:52" ht="26.25" customHeight="1" x14ac:dyDescent="0.25">
      <c r="B39" s="465" t="s">
        <v>81</v>
      </c>
      <c r="C39" s="465"/>
      <c r="D39" s="87">
        <f>IF(DC_N°=LISTE_INTERMEDIAIRE,SYNTH_FR_JUSTIF_1,SYNTH_FR_JUSTIF_2)</f>
        <v>0</v>
      </c>
      <c r="E39" s="31"/>
      <c r="F39" s="469"/>
      <c r="G39" s="469"/>
      <c r="H39" s="469"/>
      <c r="I39" s="469"/>
      <c r="J39" s="469"/>
    </row>
    <row r="40" spans="2:52" ht="2.25" customHeight="1" x14ac:dyDescent="0.25">
      <c r="B40" s="31"/>
      <c r="C40" s="41"/>
      <c r="D40" s="54"/>
      <c r="E40" s="31"/>
      <c r="F40" s="469"/>
      <c r="G40" s="469"/>
      <c r="H40" s="469"/>
      <c r="I40" s="469"/>
      <c r="J40" s="469"/>
    </row>
    <row r="41" spans="2:52" ht="2.25" customHeight="1" x14ac:dyDescent="0.25">
      <c r="B41" s="31"/>
      <c r="C41" s="31"/>
      <c r="D41" s="31"/>
      <c r="E41" s="31"/>
      <c r="F41" s="31"/>
      <c r="G41" s="31"/>
      <c r="H41" s="31"/>
      <c r="I41" s="31"/>
      <c r="J41" s="25"/>
    </row>
    <row r="42" spans="2:52" x14ac:dyDescent="0.25">
      <c r="B42" s="50" t="s">
        <v>84</v>
      </c>
      <c r="C42" s="41"/>
      <c r="D42" s="41"/>
      <c r="E42" s="41"/>
      <c r="F42" s="31"/>
      <c r="G42" s="31"/>
      <c r="H42" s="31"/>
      <c r="I42" s="31"/>
      <c r="J42" s="25"/>
    </row>
    <row r="43" spans="2:52" ht="18.75" customHeight="1" x14ac:dyDescent="0.25">
      <c r="B43" s="56" t="s">
        <v>100</v>
      </c>
      <c r="C43" s="55"/>
      <c r="D43" s="55"/>
      <c r="E43" s="55"/>
      <c r="F43" s="31"/>
      <c r="G43" s="31"/>
      <c r="H43" s="31"/>
      <c r="I43" s="31"/>
      <c r="J43" s="25"/>
    </row>
    <row r="44" spans="2:52" ht="24.75" customHeight="1" x14ac:dyDescent="0.25">
      <c r="B44" s="42" t="s">
        <v>35</v>
      </c>
      <c r="C44" s="464" t="str">
        <f>D18</f>
        <v>Sara Piccirilli</v>
      </c>
      <c r="D44" s="464"/>
      <c r="E44" s="41"/>
      <c r="F44" s="47"/>
      <c r="G44" s="47" t="s">
        <v>36</v>
      </c>
      <c r="H44" s="25"/>
      <c r="I44" s="41"/>
      <c r="J44" s="25"/>
    </row>
    <row r="45" spans="2:52" ht="39" customHeight="1" x14ac:dyDescent="0.25">
      <c r="B45" s="42" t="s">
        <v>42</v>
      </c>
      <c r="C45" s="463"/>
      <c r="D45" s="463"/>
      <c r="E45" s="41"/>
      <c r="F45" s="41"/>
      <c r="G45" s="41"/>
      <c r="H45" s="41"/>
      <c r="I45" s="41"/>
      <c r="J45" s="25"/>
    </row>
    <row r="60" spans="1:52" s="17" customFormat="1" x14ac:dyDescent="0.25">
      <c r="A60" s="15"/>
      <c r="B60" s="16"/>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row>
    <row r="61" spans="1:52" s="17" customFormat="1" x14ac:dyDescent="0.25">
      <c r="B61" s="16"/>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row>
  </sheetData>
  <sheetProtection sheet="1" formatColumns="0" formatRows="0"/>
  <customSheetViews>
    <customSheetView guid="{C3F58662-020B-4E56-B390-38D4A953D070}" fitToPage="1">
      <selection activeCell="I31" sqref="I31"/>
      <pageMargins left="0.23622047244094491" right="0.23622047244094491" top="0.3" bottom="0.31496062992125984" header="0.17" footer="0.19685039370078741"/>
      <printOptions horizontalCentered="1"/>
      <pageSetup paperSize="9" scale="69" orientation="portrait" horizontalDpi="0" verticalDpi="0" r:id="rId1"/>
      <headerFooter>
        <oddHeader>&amp;F</oddHeader>
        <oddFooter>&amp;C&amp;A &amp;P/&amp;N</oddFooter>
      </headerFooter>
    </customSheetView>
  </customSheetViews>
  <mergeCells count="23">
    <mergeCell ref="B4:J4"/>
    <mergeCell ref="C33:J33"/>
    <mergeCell ref="C10:D10"/>
    <mergeCell ref="B24:C24"/>
    <mergeCell ref="C13:E13"/>
    <mergeCell ref="C7:D7"/>
    <mergeCell ref="C8:D8"/>
    <mergeCell ref="B26:C26"/>
    <mergeCell ref="B25:C25"/>
    <mergeCell ref="B22:J22"/>
    <mergeCell ref="C11:D11"/>
    <mergeCell ref="C12:D12"/>
    <mergeCell ref="C9:D9"/>
    <mergeCell ref="F12:H12"/>
    <mergeCell ref="I18:J18"/>
    <mergeCell ref="C19:D19"/>
    <mergeCell ref="C45:D45"/>
    <mergeCell ref="C44:D44"/>
    <mergeCell ref="B39:C39"/>
    <mergeCell ref="B31:D31"/>
    <mergeCell ref="F31:J31"/>
    <mergeCell ref="D36:E36"/>
    <mergeCell ref="F38:J40"/>
  </mergeCells>
  <dataValidations count="2">
    <dataValidation type="list" showInputMessage="1" showErrorMessage="1" sqref="C19" xr:uid="{00000000-0002-0000-0800-000000000000}">
      <formula1>LISTE_AG_COMPTA</formula1>
    </dataValidation>
    <dataValidation type="list" allowBlank="1" showInputMessage="1" showErrorMessage="1" sqref="D18" xr:uid="{F1387FE5-BDE7-4543-A005-45BE9431BE2F}">
      <formula1>LISTE_AG_TECH</formula1>
    </dataValidation>
  </dataValidations>
  <printOptions horizontalCentered="1" verticalCentered="1"/>
  <pageMargins left="0" right="0" top="0" bottom="0" header="0" footer="0"/>
  <pageSetup paperSize="9" scale="96" orientation="portrait" blackAndWhite="1" horizontalDpi="1200" verticalDpi="1200" r:id="rId2"/>
  <headerFooter scaleWithDoc="0">
    <oddHeader>&amp;C&amp;8&amp;A - &amp;F</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7</xdr:col>
                    <xdr:colOff>57150</xdr:colOff>
                    <xdr:row>6</xdr:row>
                    <xdr:rowOff>19050</xdr:rowOff>
                  </from>
                  <to>
                    <xdr:col>7</xdr:col>
                    <xdr:colOff>361950</xdr:colOff>
                    <xdr:row>7</xdr:row>
                    <xdr:rowOff>57150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9</xdr:col>
                    <xdr:colOff>0</xdr:colOff>
                    <xdr:row>6</xdr:row>
                    <xdr:rowOff>19050</xdr:rowOff>
                  </from>
                  <to>
                    <xdr:col>9</xdr:col>
                    <xdr:colOff>304800</xdr:colOff>
                    <xdr:row>7</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0</xdr:colOff>
                    <xdr:row>24</xdr:row>
                    <xdr:rowOff>142875</xdr:rowOff>
                  </from>
                  <to>
                    <xdr:col>1</xdr:col>
                    <xdr:colOff>304800</xdr:colOff>
                    <xdr:row>24</xdr:row>
                    <xdr:rowOff>361950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19050</xdr:colOff>
                    <xdr:row>25</xdr:row>
                    <xdr:rowOff>19050</xdr:rowOff>
                  </from>
                  <to>
                    <xdr:col>1</xdr:col>
                    <xdr:colOff>323850</xdr:colOff>
                    <xdr:row>25</xdr:row>
                    <xdr:rowOff>323850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xdr:col>
                    <xdr:colOff>19050</xdr:colOff>
                    <xdr:row>30</xdr:row>
                    <xdr:rowOff>266700</xdr:rowOff>
                  </from>
                  <to>
                    <xdr:col>1</xdr:col>
                    <xdr:colOff>323850</xdr:colOff>
                    <xdr:row>30</xdr:row>
                    <xdr:rowOff>485775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5</xdr:col>
                    <xdr:colOff>104775</xdr:colOff>
                    <xdr:row>30</xdr:row>
                    <xdr:rowOff>133350</xdr:rowOff>
                  </from>
                  <to>
                    <xdr:col>5</xdr:col>
                    <xdr:colOff>104775</xdr:colOff>
                    <xdr:row>30</xdr:row>
                    <xdr:rowOff>514350</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1</xdr:col>
                    <xdr:colOff>19050</xdr:colOff>
                    <xdr:row>23</xdr:row>
                    <xdr:rowOff>28575</xdr:rowOff>
                  </from>
                  <to>
                    <xdr:col>1</xdr:col>
                    <xdr:colOff>323850</xdr:colOff>
                    <xdr:row>24</xdr:row>
                    <xdr:rowOff>28575</xdr:rowOff>
                  </to>
                </anchor>
              </controlPr>
            </control>
          </mc:Choice>
        </mc:AlternateContent>
        <mc:AlternateContent xmlns:mc="http://schemas.openxmlformats.org/markup-compatibility/2006">
          <mc:Choice Requires="x14">
            <control shapeId="6162" r:id="rId12" name="Check Box 18">
              <controlPr defaultSize="0" autoFill="0" autoLine="0" autoPict="0">
                <anchor moveWithCells="1">
                  <from>
                    <xdr:col>5</xdr:col>
                    <xdr:colOff>76200</xdr:colOff>
                    <xdr:row>30</xdr:row>
                    <xdr:rowOff>190500</xdr:rowOff>
                  </from>
                  <to>
                    <xdr:col>5</xdr:col>
                    <xdr:colOff>381000</xdr:colOff>
                    <xdr:row>30</xdr:row>
                    <xdr:rowOff>495300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xdr:col>
                    <xdr:colOff>19050</xdr:colOff>
                    <xdr:row>25</xdr:row>
                    <xdr:rowOff>19050</xdr:rowOff>
                  </from>
                  <to>
                    <xdr:col>1</xdr:col>
                    <xdr:colOff>323850</xdr:colOff>
                    <xdr:row>25</xdr:row>
                    <xdr:rowOff>333375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_ORDO">
    <tabColor rgb="FF33CCFF"/>
  </sheetPr>
  <dimension ref="B1:P38"/>
  <sheetViews>
    <sheetView showGridLines="0" zoomScale="90" zoomScaleNormal="90" zoomScaleSheetLayoutView="90" workbookViewId="0">
      <selection activeCell="C6" sqref="C6"/>
    </sheetView>
  </sheetViews>
  <sheetFormatPr baseColWidth="10" defaultColWidth="10.7109375" defaultRowHeight="15" x14ac:dyDescent="0.25"/>
  <cols>
    <col min="1" max="1" width="0.42578125" style="2" customWidth="1"/>
    <col min="2" max="2" width="25.7109375" style="2" customWidth="1"/>
    <col min="3" max="18" width="14.28515625" style="2" customWidth="1"/>
    <col min="19" max="16384" width="10.7109375" style="2"/>
  </cols>
  <sheetData>
    <row r="1" spans="2:16" ht="23.25" customHeight="1" x14ac:dyDescent="0.25">
      <c r="B1" s="484" t="s">
        <v>118</v>
      </c>
      <c r="C1" s="485"/>
      <c r="D1" s="485"/>
      <c r="E1" s="485"/>
      <c r="F1" s="485"/>
      <c r="G1" s="485"/>
      <c r="H1" s="485"/>
      <c r="I1" s="485"/>
      <c r="J1" s="485"/>
      <c r="K1" s="485"/>
      <c r="L1" s="485"/>
      <c r="P1" s="3" t="s">
        <v>30</v>
      </c>
    </row>
    <row r="2" spans="2:16" customFormat="1" ht="23.25" customHeight="1" thickBot="1" x14ac:dyDescent="0.3">
      <c r="B2" s="67"/>
      <c r="C2" s="68" t="s">
        <v>117</v>
      </c>
    </row>
    <row r="3" spans="2:16" ht="15" customHeight="1" x14ac:dyDescent="0.25">
      <c r="B3" s="69" t="s">
        <v>116</v>
      </c>
      <c r="C3" s="70" t="str">
        <f>IDENTIF_VISA_CONV</f>
        <v>20/20485</v>
      </c>
      <c r="P3" s="1" t="s">
        <v>51</v>
      </c>
    </row>
    <row r="4" spans="2:16" ht="15" customHeight="1" thickBot="1" x14ac:dyDescent="0.3">
      <c r="B4" s="71" t="s">
        <v>98</v>
      </c>
      <c r="C4" s="122" t="str">
        <f>'1-Identification'!B11</f>
        <v>Anthisnes</v>
      </c>
      <c r="P4" s="1"/>
    </row>
    <row r="5" spans="2:16" ht="15" customHeight="1" thickBot="1" x14ac:dyDescent="0.3">
      <c r="B5" s="72" t="s">
        <v>99</v>
      </c>
      <c r="C5" s="92">
        <f>'1-Identification'!B21</f>
        <v>50000</v>
      </c>
      <c r="P5" s="1"/>
    </row>
    <row r="6" spans="2:16" ht="15" customHeight="1" x14ac:dyDescent="0.25">
      <c r="B6" s="73" t="s">
        <v>33</v>
      </c>
      <c r="C6" s="93">
        <f>C5</f>
        <v>50000</v>
      </c>
      <c r="P6" s="1"/>
    </row>
    <row r="7" spans="2:16" ht="15" customHeight="1" x14ac:dyDescent="0.25">
      <c r="B7" s="74" t="s">
        <v>14</v>
      </c>
      <c r="C7" s="94">
        <f>Synthèse!E18</f>
        <v>0</v>
      </c>
      <c r="P7" s="1"/>
    </row>
    <row r="8" spans="2:16" ht="15" customHeight="1" x14ac:dyDescent="0.25">
      <c r="B8" s="74" t="s">
        <v>15</v>
      </c>
      <c r="C8" s="94">
        <f>Synthèse!G18</f>
        <v>0</v>
      </c>
      <c r="P8" s="1"/>
    </row>
    <row r="11" spans="2:16" ht="9" customHeight="1" x14ac:dyDescent="0.25"/>
    <row r="12" spans="2:16" x14ac:dyDescent="0.25">
      <c r="B12" s="8"/>
      <c r="C12" s="8"/>
      <c r="D12" s="8"/>
      <c r="E12" s="8"/>
      <c r="F12" s="8"/>
      <c r="G12" s="8"/>
    </row>
    <row r="13" spans="2:16" x14ac:dyDescent="0.25">
      <c r="B13" s="8"/>
      <c r="C13" s="8"/>
      <c r="D13" s="8"/>
      <c r="E13" s="8"/>
      <c r="F13" s="8"/>
      <c r="G13" s="8"/>
    </row>
    <row r="14" spans="2:16" x14ac:dyDescent="0.25">
      <c r="B14" s="8"/>
      <c r="C14" s="8"/>
      <c r="D14" s="8"/>
    </row>
    <row r="15" spans="2:16" x14ac:dyDescent="0.25">
      <c r="B15" s="8"/>
      <c r="C15" s="8"/>
      <c r="D15" s="8"/>
    </row>
    <row r="16" spans="2:16" x14ac:dyDescent="0.25">
      <c r="B16" s="8"/>
      <c r="C16" s="8"/>
      <c r="D16" s="8"/>
    </row>
    <row r="17" spans="2:9" x14ac:dyDescent="0.25">
      <c r="B17" s="8"/>
      <c r="C17" s="8"/>
      <c r="D17" s="8"/>
      <c r="E17" s="8"/>
    </row>
    <row r="18" spans="2:9" x14ac:dyDescent="0.25">
      <c r="B18" s="8"/>
      <c r="C18" s="8"/>
      <c r="D18" s="8"/>
      <c r="E18" s="8"/>
    </row>
    <row r="19" spans="2:9" x14ac:dyDescent="0.25">
      <c r="B19" s="8"/>
      <c r="C19" s="8"/>
      <c r="D19" s="8"/>
      <c r="E19" s="8"/>
    </row>
    <row r="20" spans="2:9" x14ac:dyDescent="0.25">
      <c r="B20" s="8"/>
      <c r="C20" s="8"/>
      <c r="D20" s="8"/>
      <c r="E20" s="8"/>
    </row>
    <row r="21" spans="2:9" x14ac:dyDescent="0.25">
      <c r="B21" s="8"/>
      <c r="C21" s="8"/>
      <c r="D21" s="8"/>
      <c r="E21" s="8"/>
    </row>
    <row r="22" spans="2:9" x14ac:dyDescent="0.25">
      <c r="B22" s="8"/>
      <c r="C22" s="8"/>
      <c r="D22" s="8"/>
      <c r="E22" s="8"/>
    </row>
    <row r="23" spans="2:9" x14ac:dyDescent="0.25">
      <c r="B23" s="8"/>
      <c r="C23" s="8"/>
      <c r="D23" s="8"/>
      <c r="E23" s="8"/>
    </row>
    <row r="24" spans="2:9" x14ac:dyDescent="0.25">
      <c r="B24" s="8"/>
      <c r="C24" s="8"/>
      <c r="D24" s="8"/>
      <c r="E24" s="8"/>
    </row>
    <row r="25" spans="2:9" x14ac:dyDescent="0.25">
      <c r="B25" s="8"/>
      <c r="C25" s="8"/>
      <c r="D25" s="8"/>
      <c r="E25" s="8"/>
    </row>
    <row r="26" spans="2:9" x14ac:dyDescent="0.25">
      <c r="B26" s="8"/>
      <c r="C26" s="8"/>
      <c r="D26" s="8"/>
      <c r="E26" s="8"/>
    </row>
    <row r="27" spans="2:9" x14ac:dyDescent="0.25">
      <c r="B27" s="8"/>
      <c r="C27" s="8"/>
      <c r="D27" s="8"/>
      <c r="E27" s="8"/>
    </row>
    <row r="28" spans="2:9" x14ac:dyDescent="0.25">
      <c r="B28" s="8"/>
      <c r="C28" s="8"/>
      <c r="D28" s="8"/>
      <c r="E28" s="8"/>
    </row>
    <row r="29" spans="2:9" x14ac:dyDescent="0.25">
      <c r="B29" s="8"/>
      <c r="C29" s="8"/>
      <c r="D29" s="8"/>
      <c r="E29" s="8"/>
      <c r="I29" s="19"/>
    </row>
    <row r="30" spans="2:9" x14ac:dyDescent="0.25">
      <c r="B30" s="21">
        <v>40179</v>
      </c>
      <c r="C30" s="21">
        <v>40544</v>
      </c>
      <c r="D30" s="21">
        <v>42005</v>
      </c>
      <c r="E30" s="21">
        <v>42370</v>
      </c>
      <c r="F30" s="21">
        <v>42736</v>
      </c>
      <c r="G30" s="19"/>
      <c r="H30" s="19"/>
      <c r="I30" s="19"/>
    </row>
    <row r="31" spans="2:9" x14ac:dyDescent="0.25">
      <c r="B31" s="21">
        <v>40543</v>
      </c>
      <c r="C31" s="21">
        <v>40908</v>
      </c>
      <c r="D31" s="21">
        <v>42369</v>
      </c>
      <c r="E31" s="21">
        <v>42735</v>
      </c>
      <c r="F31" s="21">
        <v>43100</v>
      </c>
      <c r="G31" s="19"/>
      <c r="H31" s="19"/>
    </row>
    <row r="32" spans="2:9" x14ac:dyDescent="0.25">
      <c r="B32" s="8"/>
      <c r="C32" s="8"/>
      <c r="D32" s="8"/>
      <c r="E32" s="8"/>
    </row>
    <row r="33" spans="2:5" x14ac:dyDescent="0.25">
      <c r="B33" s="8"/>
      <c r="C33" s="8"/>
      <c r="D33" s="8"/>
      <c r="E33" s="8"/>
    </row>
    <row r="34" spans="2:5" x14ac:dyDescent="0.25">
      <c r="B34" s="4"/>
      <c r="C34" s="4"/>
      <c r="D34" s="4"/>
      <c r="E34" s="8"/>
    </row>
    <row r="35" spans="2:5" x14ac:dyDescent="0.25">
      <c r="B35" s="4"/>
      <c r="C35" s="4"/>
      <c r="D35" s="4"/>
      <c r="E35" s="8"/>
    </row>
    <row r="36" spans="2:5" x14ac:dyDescent="0.25">
      <c r="B36" s="4"/>
      <c r="C36" s="4"/>
      <c r="D36" s="4"/>
      <c r="E36" s="8"/>
    </row>
    <row r="37" spans="2:5" x14ac:dyDescent="0.25">
      <c r="B37" s="4"/>
      <c r="C37" s="4"/>
      <c r="D37" s="4"/>
      <c r="E37" s="8"/>
    </row>
    <row r="38" spans="2:5" x14ac:dyDescent="0.25">
      <c r="B38" s="4"/>
      <c r="C38" s="4"/>
      <c r="D38" s="4"/>
    </row>
  </sheetData>
  <sheetProtection formatColumns="0" formatRows="0"/>
  <customSheetViews>
    <customSheetView guid="{C3F58662-020B-4E56-B390-38D4A953D070}" scale="90" showGridLines="0">
      <selection activeCell="I31" sqref="I31"/>
      <pageMargins left="0.19685039370078741" right="0.19685039370078741" top="0.74803149606299213" bottom="0.74803149606299213" header="0.31496062992125984" footer="0.31496062992125984"/>
      <pageSetup paperSize="9" scale="85" orientation="landscape" horizontalDpi="0" verticalDpi="0" r:id="rId1"/>
    </customSheetView>
  </customSheetViews>
  <mergeCells count="1">
    <mergeCell ref="B1:L1"/>
  </mergeCells>
  <pageMargins left="0.19685039370078741" right="0.19685039370078741" top="0.74803149606299213" bottom="0.74803149606299213" header="0.31496062992125984" footer="0.31496062992125984"/>
  <pageSetup paperSize="9" scale="65" orientation="landscape" r:id="rId2"/>
  <colBreaks count="1" manualBreakCount="1">
    <brk id="12"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C5">
    <tabColor rgb="FF33CCFF"/>
  </sheetPr>
  <dimension ref="A1:J25"/>
  <sheetViews>
    <sheetView showGridLines="0" zoomScale="90" zoomScaleNormal="90" zoomScaleSheetLayoutView="100" workbookViewId="0">
      <selection activeCell="G18" sqref="G18"/>
    </sheetView>
  </sheetViews>
  <sheetFormatPr baseColWidth="10" defaultRowHeight="15" x14ac:dyDescent="0.25"/>
  <cols>
    <col min="1" max="1" width="1.5703125" style="11" customWidth="1"/>
    <col min="2" max="2" width="12" customWidth="1"/>
    <col min="7" max="7" width="13.28515625" customWidth="1"/>
  </cols>
  <sheetData>
    <row r="1" spans="2:10" ht="15.75" x14ac:dyDescent="0.25">
      <c r="B1" s="12"/>
      <c r="C1" s="25"/>
      <c r="D1" s="25"/>
      <c r="E1" s="25"/>
      <c r="F1" s="25"/>
      <c r="G1" s="25"/>
      <c r="H1" s="25"/>
      <c r="I1" s="25"/>
      <c r="J1" s="26" t="s">
        <v>37</v>
      </c>
    </row>
    <row r="2" spans="2:10" ht="15.75" x14ac:dyDescent="0.25">
      <c r="B2" s="12"/>
      <c r="C2" s="25"/>
      <c r="D2" s="25"/>
      <c r="E2" s="25"/>
      <c r="F2" s="25"/>
      <c r="G2" s="25"/>
      <c r="H2" s="25"/>
      <c r="I2" s="25"/>
      <c r="J2" s="26" t="s">
        <v>38</v>
      </c>
    </row>
    <row r="3" spans="2:10" ht="16.5" thickBot="1" x14ac:dyDescent="0.3">
      <c r="B3" s="12"/>
      <c r="C3" s="25"/>
      <c r="D3" s="25"/>
      <c r="E3" s="25"/>
      <c r="F3" s="25"/>
      <c r="G3" s="25"/>
      <c r="H3" s="25"/>
      <c r="I3" s="25"/>
      <c r="J3" s="25"/>
    </row>
    <row r="4" spans="2:10" ht="17.25" thickTop="1" thickBot="1" x14ac:dyDescent="0.3">
      <c r="B4" s="489" t="s">
        <v>122</v>
      </c>
      <c r="C4" s="490"/>
      <c r="D4" s="490"/>
      <c r="E4" s="490"/>
      <c r="F4" s="490"/>
      <c r="G4" s="490"/>
      <c r="H4" s="490"/>
      <c r="I4" s="490"/>
      <c r="J4" s="491"/>
    </row>
    <row r="5" spans="2:10" ht="16.5" thickTop="1" x14ac:dyDescent="0.25">
      <c r="B5" s="12"/>
      <c r="C5" s="28"/>
      <c r="D5" s="28"/>
      <c r="E5" s="28"/>
      <c r="F5" s="28"/>
      <c r="G5" s="28"/>
      <c r="H5" s="28"/>
      <c r="I5" s="28"/>
      <c r="J5" s="28"/>
    </row>
    <row r="6" spans="2:10" ht="15.75" x14ac:dyDescent="0.25">
      <c r="B6" s="12"/>
      <c r="C6" s="24"/>
      <c r="D6" s="29"/>
      <c r="E6" s="29"/>
      <c r="F6" s="29"/>
      <c r="G6" s="29"/>
      <c r="H6" s="29"/>
      <c r="I6" s="29"/>
      <c r="J6" s="29"/>
    </row>
    <row r="7" spans="2:10" x14ac:dyDescent="0.25">
      <c r="B7" s="82" t="s">
        <v>34</v>
      </c>
      <c r="C7" s="10"/>
      <c r="D7" s="91" t="str">
        <f>IF('1-Identification'!B11="","",'1-Identification'!B11)</f>
        <v>Anthisnes</v>
      </c>
      <c r="E7" s="90"/>
      <c r="F7" s="31"/>
      <c r="G7" s="32"/>
      <c r="H7" s="32"/>
      <c r="I7" s="25"/>
      <c r="J7" s="33"/>
    </row>
    <row r="8" spans="2:10" x14ac:dyDescent="0.25">
      <c r="B8" s="492" t="s">
        <v>48</v>
      </c>
      <c r="C8" s="493"/>
      <c r="D8" s="91" t="str">
        <f>IF('1-Identification'!B5="","",'1-Identification'!B5)</f>
        <v/>
      </c>
      <c r="E8" s="90"/>
      <c r="F8" s="31"/>
      <c r="G8" s="31"/>
      <c r="H8" s="31"/>
      <c r="I8" s="33"/>
      <c r="J8" s="33"/>
    </row>
    <row r="10" spans="2:10" x14ac:dyDescent="0.25">
      <c r="B10" s="78"/>
      <c r="C10" s="39" t="s">
        <v>54</v>
      </c>
      <c r="D10" s="81" t="s">
        <v>53</v>
      </c>
      <c r="F10" s="39"/>
      <c r="G10" s="39"/>
      <c r="H10" s="39"/>
      <c r="I10" s="39"/>
    </row>
    <row r="11" spans="2:10" ht="18.75" customHeight="1" x14ac:dyDescent="0.25">
      <c r="B11" s="86" t="s">
        <v>85</v>
      </c>
      <c r="C11" s="89">
        <f>'1-Identification'!B21</f>
        <v>50000</v>
      </c>
      <c r="D11" s="80" t="str">
        <f>IDENTIF_VISA_CONV</f>
        <v>20/20485</v>
      </c>
      <c r="F11" s="31"/>
      <c r="G11" s="31"/>
      <c r="H11" s="31"/>
      <c r="I11" s="31"/>
      <c r="J11" s="31"/>
    </row>
    <row r="13" spans="2:10" ht="30.75" customHeight="1" x14ac:dyDescent="0.25">
      <c r="B13" s="486" t="s">
        <v>128</v>
      </c>
      <c r="C13" s="486"/>
      <c r="D13" s="486"/>
      <c r="E13" s="486"/>
      <c r="F13" s="486"/>
      <c r="G13" s="486"/>
      <c r="H13" s="486"/>
      <c r="I13" s="486"/>
      <c r="J13" s="486"/>
    </row>
    <row r="14" spans="2:10" x14ac:dyDescent="0.25">
      <c r="B14" s="84" t="s">
        <v>123</v>
      </c>
      <c r="C14" s="84"/>
      <c r="D14" s="95"/>
      <c r="E14" s="96"/>
      <c r="F14" s="79" t="s">
        <v>129</v>
      </c>
      <c r="G14" s="84"/>
      <c r="H14" s="84"/>
      <c r="I14" s="84"/>
      <c r="J14" s="84"/>
    </row>
    <row r="15" spans="2:10" x14ac:dyDescent="0.25">
      <c r="B15" s="84"/>
      <c r="C15" s="84"/>
      <c r="D15" s="84"/>
      <c r="E15" s="84"/>
      <c r="F15" s="84"/>
      <c r="G15" s="84"/>
      <c r="H15" s="84"/>
      <c r="I15" s="84"/>
      <c r="J15" s="84"/>
    </row>
    <row r="16" spans="2:10" s="11" customFormat="1" x14ac:dyDescent="0.25">
      <c r="B16" s="84"/>
      <c r="C16" s="84"/>
      <c r="D16" s="84"/>
      <c r="E16" s="84"/>
      <c r="F16" s="84"/>
      <c r="G16" s="84"/>
      <c r="H16" s="84"/>
      <c r="I16" s="84"/>
      <c r="J16" s="84"/>
    </row>
    <row r="17" spans="2:10" x14ac:dyDescent="0.25">
      <c r="C17" s="84"/>
      <c r="D17" s="84"/>
      <c r="E17" s="84"/>
      <c r="F17" s="85" t="s">
        <v>127</v>
      </c>
      <c r="G17" s="97">
        <f>SYNTH_TOT_DC_ACC</f>
        <v>0</v>
      </c>
      <c r="H17" s="83"/>
      <c r="I17" s="84"/>
      <c r="J17" s="84"/>
    </row>
    <row r="18" spans="2:10" x14ac:dyDescent="0.25">
      <c r="C18" s="84"/>
      <c r="D18" s="84"/>
      <c r="E18" s="84"/>
      <c r="F18" s="85" t="s">
        <v>124</v>
      </c>
      <c r="G18" s="97">
        <f>SYNTH_TOT_LIQUIDE_1_2</f>
        <v>50000</v>
      </c>
      <c r="H18" s="83"/>
      <c r="I18" s="79" t="s">
        <v>130</v>
      </c>
      <c r="J18" s="84"/>
    </row>
    <row r="19" spans="2:10" x14ac:dyDescent="0.25">
      <c r="C19" s="84"/>
      <c r="D19" s="84"/>
      <c r="E19" s="84"/>
      <c r="F19" s="85" t="s">
        <v>124</v>
      </c>
      <c r="G19" s="97">
        <f>IF(Synthèse!$L$21="","",Synthèse!$L$21)</f>
        <v>50000</v>
      </c>
      <c r="H19" s="83"/>
      <c r="I19" s="79" t="s">
        <v>131</v>
      </c>
      <c r="J19" s="84"/>
    </row>
    <row r="21" spans="2:10" x14ac:dyDescent="0.25">
      <c r="B21" s="84"/>
      <c r="C21" s="84"/>
      <c r="D21" s="84"/>
      <c r="E21" s="84"/>
      <c r="F21" s="84"/>
      <c r="G21" s="84"/>
      <c r="H21" s="84"/>
      <c r="I21" s="84"/>
      <c r="J21" s="84"/>
    </row>
    <row r="22" spans="2:10" x14ac:dyDescent="0.25">
      <c r="B22" s="77" t="s">
        <v>35</v>
      </c>
      <c r="C22" s="84"/>
      <c r="D22" s="494" t="str">
        <f>IF('C3'!C44="","",'C3'!C44)</f>
        <v>Sara Piccirilli</v>
      </c>
      <c r="E22" s="495"/>
      <c r="F22" s="84"/>
      <c r="G22" s="84"/>
      <c r="H22" s="84"/>
      <c r="I22" s="84"/>
      <c r="J22" s="84"/>
    </row>
    <row r="23" spans="2:10" ht="39" customHeight="1" x14ac:dyDescent="0.25">
      <c r="B23" s="77" t="s">
        <v>125</v>
      </c>
      <c r="C23" s="84"/>
      <c r="D23" s="487"/>
      <c r="E23" s="488"/>
      <c r="F23" s="84"/>
      <c r="G23" s="84"/>
      <c r="H23" s="84"/>
      <c r="I23" s="84"/>
      <c r="J23" s="84"/>
    </row>
    <row r="24" spans="2:10" ht="24" customHeight="1" x14ac:dyDescent="0.25">
      <c r="B24" s="84"/>
      <c r="C24" s="84"/>
      <c r="D24" s="84"/>
      <c r="E24" s="84"/>
      <c r="F24" s="84"/>
      <c r="G24" s="84"/>
      <c r="H24" s="84"/>
      <c r="I24" s="84"/>
      <c r="J24" s="84"/>
    </row>
    <row r="25" spans="2:10" x14ac:dyDescent="0.25">
      <c r="B25" s="77" t="s">
        <v>126</v>
      </c>
      <c r="C25" s="84"/>
      <c r="D25" s="487"/>
      <c r="E25" s="488"/>
      <c r="F25" s="84"/>
      <c r="G25" s="84"/>
      <c r="H25" s="84"/>
      <c r="I25" s="84"/>
      <c r="J25" s="84"/>
    </row>
  </sheetData>
  <sheetProtection sheet="1" objects="1" scenarios="1"/>
  <mergeCells count="6">
    <mergeCell ref="B13:J13"/>
    <mergeCell ref="D23:E23"/>
    <mergeCell ref="D25:E25"/>
    <mergeCell ref="B4:J4"/>
    <mergeCell ref="B8:C8"/>
    <mergeCell ref="D22:E22"/>
  </mergeCells>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Button 1">
              <controlPr defaultSize="0" print="0" autoFill="0" autoPict="0" macro="[0]!exportpdf_C5">
                <anchor moveWithCells="1" sizeWithCells="1">
                  <from>
                    <xdr:col>1</xdr:col>
                    <xdr:colOff>209550</xdr:colOff>
                    <xdr:row>26</xdr:row>
                    <xdr:rowOff>133350</xdr:rowOff>
                  </from>
                  <to>
                    <xdr:col>5</xdr:col>
                    <xdr:colOff>19050</xdr:colOff>
                    <xdr:row>29</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3D46-078B-488C-83C7-17CF6C394CF4}">
  <sheetPr codeName="Feuil2"/>
  <dimension ref="A1:CG3"/>
  <sheetViews>
    <sheetView topLeftCell="Z1" workbookViewId="0">
      <selection activeCell="AC6" sqref="AC6"/>
    </sheetView>
  </sheetViews>
  <sheetFormatPr baseColWidth="10" defaultColWidth="16.28515625" defaultRowHeight="15" x14ac:dyDescent="0.25"/>
  <cols>
    <col min="1" max="16384" width="16.28515625" style="150"/>
  </cols>
  <sheetData>
    <row r="1" spans="1:85" s="151" customFormat="1" ht="45" x14ac:dyDescent="0.25">
      <c r="A1" s="151" t="s">
        <v>1138</v>
      </c>
      <c r="B1" s="151" t="s">
        <v>1139</v>
      </c>
      <c r="C1" s="151" t="s">
        <v>1140</v>
      </c>
      <c r="D1" s="151" t="s">
        <v>1141</v>
      </c>
      <c r="E1" s="151" t="s">
        <v>1137</v>
      </c>
      <c r="F1" s="151" t="s">
        <v>1142</v>
      </c>
      <c r="G1" s="151" t="s">
        <v>1143</v>
      </c>
      <c r="H1" s="151" t="s">
        <v>1144</v>
      </c>
      <c r="I1" s="151" t="s">
        <v>1145</v>
      </c>
      <c r="J1" s="151" t="s">
        <v>1146</v>
      </c>
      <c r="K1" s="151" t="s">
        <v>1147</v>
      </c>
      <c r="L1" s="151" t="s">
        <v>1148</v>
      </c>
      <c r="M1" s="151" t="s">
        <v>1149</v>
      </c>
      <c r="N1" s="151" t="s">
        <v>1150</v>
      </c>
      <c r="O1" s="151" t="s">
        <v>1151</v>
      </c>
      <c r="P1" s="151" t="s">
        <v>1152</v>
      </c>
      <c r="Q1" s="151" t="s">
        <v>1153</v>
      </c>
      <c r="R1" s="151" t="s">
        <v>1154</v>
      </c>
      <c r="S1" s="151" t="s">
        <v>1155</v>
      </c>
      <c r="T1" s="151" t="s">
        <v>1156</v>
      </c>
      <c r="U1" s="151" t="s">
        <v>1157</v>
      </c>
      <c r="V1" s="151" t="s">
        <v>1158</v>
      </c>
      <c r="W1" s="151" t="s">
        <v>1159</v>
      </c>
      <c r="X1" s="151" t="s">
        <v>1160</v>
      </c>
      <c r="Y1" s="151" t="s">
        <v>1161</v>
      </c>
      <c r="Z1" s="151" t="s">
        <v>1162</v>
      </c>
      <c r="AA1" s="151" t="s">
        <v>1163</v>
      </c>
      <c r="AB1" s="151" t="s">
        <v>1164</v>
      </c>
      <c r="AC1" s="151" t="s">
        <v>1165</v>
      </c>
      <c r="AD1" s="151" t="s">
        <v>1166</v>
      </c>
      <c r="AE1" s="151" t="s">
        <v>1167</v>
      </c>
      <c r="AF1" s="151" t="s">
        <v>1168</v>
      </c>
      <c r="AG1" s="151" t="s">
        <v>1169</v>
      </c>
      <c r="AH1" s="151" t="s">
        <v>1170</v>
      </c>
      <c r="AI1" s="151" t="s">
        <v>1171</v>
      </c>
      <c r="AJ1" s="151" t="s">
        <v>1172</v>
      </c>
      <c r="AK1" s="151" t="s">
        <v>1173</v>
      </c>
      <c r="AL1" s="151" t="s">
        <v>1174</v>
      </c>
      <c r="AM1" s="151" t="s">
        <v>1175</v>
      </c>
      <c r="AN1" s="151" t="s">
        <v>1176</v>
      </c>
      <c r="AO1" s="151" t="s">
        <v>1177</v>
      </c>
      <c r="AP1" s="151" t="s">
        <v>1178</v>
      </c>
      <c r="AQ1" s="151" t="s">
        <v>1179</v>
      </c>
      <c r="AR1" s="151" t="s">
        <v>1180</v>
      </c>
      <c r="AS1" s="151" t="s">
        <v>1181</v>
      </c>
      <c r="AT1" s="151" t="s">
        <v>1182</v>
      </c>
      <c r="AU1" s="151" t="s">
        <v>1183</v>
      </c>
      <c r="AV1" s="151" t="s">
        <v>1184</v>
      </c>
      <c r="AW1" s="151" t="s">
        <v>1185</v>
      </c>
      <c r="AX1" s="151" t="s">
        <v>1186</v>
      </c>
      <c r="AY1" s="151" t="s">
        <v>1187</v>
      </c>
      <c r="AZ1" s="151" t="s">
        <v>1188</v>
      </c>
      <c r="BA1" s="151" t="s">
        <v>1189</v>
      </c>
      <c r="BB1" s="151" t="s">
        <v>1190</v>
      </c>
      <c r="BC1" s="151" t="s">
        <v>1191</v>
      </c>
      <c r="BD1" s="151" t="s">
        <v>1192</v>
      </c>
      <c r="BE1" s="151" t="s">
        <v>1193</v>
      </c>
      <c r="BF1" s="151" t="s">
        <v>1194</v>
      </c>
      <c r="BG1" s="151" t="s">
        <v>1195</v>
      </c>
      <c r="BH1" s="151" t="s">
        <v>1196</v>
      </c>
      <c r="BI1" s="151" t="s">
        <v>1197</v>
      </c>
      <c r="BJ1" s="151" t="s">
        <v>1198</v>
      </c>
      <c r="BK1" s="151" t="s">
        <v>1199</v>
      </c>
      <c r="BL1" s="151" t="s">
        <v>1200</v>
      </c>
      <c r="BM1" s="151" t="s">
        <v>1201</v>
      </c>
      <c r="BN1" s="151" t="s">
        <v>1202</v>
      </c>
      <c r="BO1" s="151" t="s">
        <v>1203</v>
      </c>
      <c r="BP1" s="151" t="s">
        <v>1204</v>
      </c>
      <c r="BQ1" s="151" t="s">
        <v>1205</v>
      </c>
      <c r="BR1" s="151" t="s">
        <v>1206</v>
      </c>
      <c r="BS1" s="151" t="s">
        <v>1207</v>
      </c>
      <c r="BT1" s="151" t="s">
        <v>1208</v>
      </c>
      <c r="BU1" s="151" t="s">
        <v>1209</v>
      </c>
      <c r="BV1" s="151" t="s">
        <v>1210</v>
      </c>
      <c r="BW1" s="151" t="s">
        <v>1211</v>
      </c>
      <c r="BX1" s="151" t="s">
        <v>1212</v>
      </c>
      <c r="BY1" s="151" t="s">
        <v>1213</v>
      </c>
      <c r="BZ1" s="151" t="s">
        <v>1214</v>
      </c>
      <c r="CA1" s="151" t="s">
        <v>1215</v>
      </c>
      <c r="CB1" s="151" t="s">
        <v>1216</v>
      </c>
      <c r="CC1" s="151" t="s">
        <v>1217</v>
      </c>
      <c r="CD1" s="151" t="s">
        <v>1218</v>
      </c>
      <c r="CE1" s="151" t="s">
        <v>1219</v>
      </c>
      <c r="CF1" s="151" t="s">
        <v>1220</v>
      </c>
      <c r="CG1" s="151" t="s">
        <v>1221</v>
      </c>
    </row>
    <row r="2" spans="1:85" s="154" customFormat="1" ht="75" x14ac:dyDescent="0.25">
      <c r="A2" s="158">
        <f>DATE_DEB_CONV</f>
        <v>44197</v>
      </c>
      <c r="B2" s="158">
        <f>DATE_FIN_CONV</f>
        <v>45473</v>
      </c>
      <c r="C2" s="154" t="str">
        <f>DC_N°</f>
        <v>2-finale</v>
      </c>
      <c r="D2" s="154">
        <f>DC_TOT_DECL</f>
        <v>0</v>
      </c>
      <c r="E2" s="154" t="str">
        <f>IDENTIF_ADRESSE</f>
        <v>Cour d'Omalius 1</v>
      </c>
      <c r="F2" s="154">
        <f>IDENTIF_ADRESSE_CP</f>
        <v>4160</v>
      </c>
      <c r="G2" s="154" t="str">
        <f>IDENTIF_ADRESSE_LOC</f>
        <v>ANTHISNES</v>
      </c>
      <c r="H2" s="154" t="str">
        <f>IDENTIF_AGT_CIV</f>
        <v>Veuillez sélectionner</v>
      </c>
      <c r="I2" s="154">
        <f>IDENTIF_AGT_EMAIL</f>
        <v>0</v>
      </c>
      <c r="J2" s="154">
        <f>IDENTIF_AGT_NOM</f>
        <v>0</v>
      </c>
      <c r="K2" s="154">
        <f>IDENTIF_AGT_SERVICE</f>
        <v>0</v>
      </c>
      <c r="L2" s="154">
        <f>IDENTIF_AGT_TEL</f>
        <v>0</v>
      </c>
      <c r="M2" s="154" t="str">
        <f>IDENTIF_BCE</f>
        <v xml:space="preserve">0216.693.545 </v>
      </c>
      <c r="N2" s="154">
        <f>IDENTIF_BUDG_AB_CONV</f>
        <v>0</v>
      </c>
      <c r="O2" s="154">
        <f>IDENTIF_BUDG_PROGRAMME_CONV</f>
        <v>0</v>
      </c>
      <c r="P2" s="154">
        <f>IDENTIF_COMPTE_BIC</f>
        <v>0</v>
      </c>
      <c r="Q2" s="154">
        <f>IDENTIF_COMPTE_COM</f>
        <v>0</v>
      </c>
      <c r="R2" s="154" t="str">
        <f>IDENTIF_COMPTE_N°IBAN</f>
        <v>BE95 0910 0041 0358</v>
      </c>
      <c r="S2" s="154">
        <f>IDENTIF_COMPTE_OUVERT_NOM_DE</f>
        <v>0</v>
      </c>
      <c r="T2" s="156">
        <f>IDENTIF_DEB_DC</f>
        <v>0</v>
      </c>
      <c r="U2" s="154">
        <f>IDENTIF_Durée_de_la_DC_en_mois</f>
        <v>1</v>
      </c>
      <c r="V2" s="156">
        <f>IDENTIF_FIN_DC</f>
        <v>0</v>
      </c>
      <c r="W2" s="154" t="str">
        <f>IDENTIF_LEGALE</f>
        <v>Arrêté ministériel POLLEC 2020_INV_1 du 02-12-2020</v>
      </c>
      <c r="X2" s="154">
        <f>IDENTIF_MONTANT_AUTRES_PROJETS</f>
        <v>0</v>
      </c>
      <c r="Y2" s="154">
        <f>IDENTIF_MONTANT_PROJET</f>
        <v>50000</v>
      </c>
      <c r="Z2" s="154">
        <f>IDENTIF_MONTANT_SUBSIDE</f>
        <v>50000</v>
      </c>
      <c r="AA2" s="154">
        <f>IDENTIF_NOM_PROJET</f>
        <v>0</v>
      </c>
      <c r="AB2" s="154" t="str">
        <f>IDENTIF_NOM_REQUERANT</f>
        <v>Anthisnes</v>
      </c>
      <c r="AC2" s="157">
        <f>IDENTIF_TAUX_DE_FINANCEMENT</f>
        <v>0.75</v>
      </c>
      <c r="AD2" s="154" t="str">
        <f>IDENTIF_TYPE_SUBS</f>
        <v>POLLEC 2020 Projet</v>
      </c>
      <c r="AE2" s="154" t="str">
        <f>IDENTIF_VISA_CONV</f>
        <v>20/20485</v>
      </c>
      <c r="AF2" s="154">
        <f>MONTANT_DC_C3_FONDS_ROULEMENT_JUSTIFIE</f>
        <v>0</v>
      </c>
      <c r="AG2" s="154">
        <f>MONTANT_DC_C3_SOLDE_DESENGAGE</f>
        <v>0</v>
      </c>
      <c r="AH2" s="154">
        <f>MONTANT_DC_C3_TOT_LIQUIDE</f>
        <v>0</v>
      </c>
      <c r="AI2" s="154">
        <f>MONTANT_TOT_MAT_ACC</f>
        <v>0</v>
      </c>
      <c r="AJ2" s="154">
        <f>MONTANT_TOT_MAT_DECL</f>
        <v>0</v>
      </c>
      <c r="AK2" s="154">
        <f>PL_ORDO_DC1</f>
        <v>0</v>
      </c>
      <c r="AL2" s="154">
        <f>PL_ORDO_DC2</f>
        <v>0</v>
      </c>
      <c r="AM2" s="154">
        <f>SYNT_A_REMBOURSER</f>
        <v>50000</v>
      </c>
      <c r="AN2" s="154">
        <f>SYNT_BUDGET_100</f>
        <v>66666.67</v>
      </c>
      <c r="AO2" s="154">
        <f>SYNTH_DIFF_1</f>
        <v>0</v>
      </c>
      <c r="AP2" s="154">
        <f>SYNTH_DIFF_2</f>
        <v>0</v>
      </c>
      <c r="AQ2" s="154">
        <f>SYNTH_DIFF_TOT</f>
        <v>0</v>
      </c>
      <c r="AR2" s="154">
        <f>SYNTH_FR</f>
        <v>50000</v>
      </c>
      <c r="AS2" s="154">
        <f>SYNTH_FR_JUSTIF_1</f>
        <v>0</v>
      </c>
      <c r="AT2" s="154">
        <f>SYNTH_FR_JUSTIF_2</f>
        <v>0</v>
      </c>
      <c r="AU2" s="154">
        <f>SYNTH_FR_SOLDE_1</f>
        <v>50000</v>
      </c>
      <c r="AV2" s="154">
        <f>SYNTH_FR_SOLDE_1_2</f>
        <v>0</v>
      </c>
      <c r="AW2" s="154">
        <f>SYNTH_FR_SOLDE_2</f>
        <v>50000</v>
      </c>
      <c r="AX2" s="154">
        <f>SYNTH_MAT_ACC_1</f>
        <v>0</v>
      </c>
      <c r="AY2" s="154">
        <f>SYNTH_MAT_ACC_2</f>
        <v>0</v>
      </c>
      <c r="AZ2" s="154">
        <f>SYNTH_MAT_DECL_1</f>
        <v>0</v>
      </c>
      <c r="BA2" s="154">
        <f>SYNTH_MAT_DECL_2</f>
        <v>0</v>
      </c>
      <c r="BB2" s="154">
        <f>SYNTH_MONTANT_LIQUIDE_1</f>
        <v>0</v>
      </c>
      <c r="BC2" s="154">
        <f>SYNTH_MONTANT_LIQUIDE_2</f>
        <v>0</v>
      </c>
      <c r="BD2" s="154">
        <f>SYNTH_SOLDE</f>
        <v>0</v>
      </c>
      <c r="BE2" s="154">
        <f>SYNTH_SST_ACC_1</f>
        <v>0</v>
      </c>
      <c r="BF2" s="154">
        <f>SYNTH_SST_ACC_2</f>
        <v>0</v>
      </c>
      <c r="BG2" s="154">
        <f>SYNTH_SST_DECL_1</f>
        <v>0</v>
      </c>
      <c r="BH2" s="154">
        <f>SYNTH_SST_DECL_2</f>
        <v>0</v>
      </c>
      <c r="BI2" s="154">
        <f>SYNTH_SUBSIDE</f>
        <v>50000</v>
      </c>
      <c r="BJ2" s="154">
        <f>SYNTH_SUBSIDE_SOLDE</f>
        <v>50000</v>
      </c>
      <c r="BK2" s="154">
        <f>SYNTH_TOT_DC_ACC</f>
        <v>0</v>
      </c>
      <c r="BL2" s="154">
        <f>SYNTH_TOT_DC_ACC_1</f>
        <v>0</v>
      </c>
      <c r="BM2" s="154">
        <f>SYNTH_TOT_DC_ACC_2</f>
        <v>0</v>
      </c>
      <c r="BN2" s="154">
        <f>SYNTH_TOT_DC_DECL</f>
        <v>0</v>
      </c>
      <c r="BO2" s="154">
        <f>SYNTH_TOT_DC_DECL_1</f>
        <v>0</v>
      </c>
      <c r="BP2" s="154">
        <f>SYNTH_TOT_DC_DECL_2</f>
        <v>0</v>
      </c>
      <c r="BQ2" s="154">
        <f>SYNTH_TOT_LIQUIDE_1_2</f>
        <v>50000</v>
      </c>
      <c r="BR2" s="154">
        <f>SYNTH_TOT_MAT_ACC</f>
        <v>0</v>
      </c>
      <c r="BS2" s="154">
        <f>SYNTH_TOT_MAT_DECL</f>
        <v>0</v>
      </c>
      <c r="BT2" s="154">
        <f>SYNTH_TOT_SST_ACC</f>
        <v>0</v>
      </c>
      <c r="BU2" s="154">
        <f>SYNTH_TOT_SST_DECL</f>
        <v>0</v>
      </c>
      <c r="BV2" s="154">
        <f>SYNTH_ACC_1_100</f>
        <v>0</v>
      </c>
      <c r="BW2" s="154">
        <f>SYNTH_ACC_2_100</f>
        <v>0</v>
      </c>
      <c r="BX2" s="154">
        <f>SYNTH_DECL_1_100</f>
        <v>0</v>
      </c>
      <c r="BY2" s="154">
        <f>SYNTH_DECL_2_100</f>
        <v>0</v>
      </c>
      <c r="BZ2" s="154">
        <f>SYNTH_TOT_ACC_100</f>
        <v>0</v>
      </c>
      <c r="CA2" s="154">
        <f>SYNTH_TOT_DECL_100</f>
        <v>0</v>
      </c>
      <c r="CB2" s="154" t="str">
        <f>TVA</f>
        <v>Veuillez sélectionner :</v>
      </c>
      <c r="CC2" s="154" t="str">
        <f>IF(VOS_REF=0,"",VOS_REF)</f>
        <v/>
      </c>
      <c r="CD2" s="155" t="str">
        <f>_xlfn.TEXTJOIN(CHAR(10),TRUE,'2-Relevé dépenses'!$O$5:$O$24)</f>
        <v/>
      </c>
      <c r="CE2" s="150" t="str">
        <f>GT</f>
        <v>Sara Piccirilli</v>
      </c>
      <c r="CF2" s="154" t="str">
        <f>IF(GT=Zélie,LISTE_TEL_GT_1,LISTE_TEL_GT_2)</f>
        <v>+3281/48.63.41</v>
      </c>
      <c r="CG2" s="154" t="str">
        <f>IF(GT=Zélie,LISTE_EMAIL_GT_1,LISTE_EMAIL_GT_2)</f>
        <v>sara.piccirilli@spw.wallonie.be</v>
      </c>
    </row>
    <row r="3" spans="1:85" x14ac:dyDescent="0.25">
      <c r="F3" s="152"/>
      <c r="G3" s="153"/>
    </row>
  </sheetData>
  <sheetProtection sheet="1" objects="1" scenarios="1"/>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9A65A2DD5DF44A80A654981849549B" ma:contentTypeVersion="18" ma:contentTypeDescription="Crée un document." ma:contentTypeScope="" ma:versionID="28e23cc3a681c515576c43da351f9e13">
  <xsd:schema xmlns:xsd="http://www.w3.org/2001/XMLSchema" xmlns:xs="http://www.w3.org/2001/XMLSchema" xmlns:p="http://schemas.microsoft.com/office/2006/metadata/properties" xmlns:ns2="c1a3df3e-33cb-4260-8132-609fc1ecef07" xmlns:ns3="db7435c9-3aa2-4ddd-a3fd-7413ce4a853b" targetNamespace="http://schemas.microsoft.com/office/2006/metadata/properties" ma:root="true" ma:fieldsID="d30dcce89bba5ce87255e50c83a74176" ns2:_="" ns3:_="">
    <xsd:import namespace="c1a3df3e-33cb-4260-8132-609fc1ecef07"/>
    <xsd:import namespace="db7435c9-3aa2-4ddd-a3fd-7413ce4a85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3df3e-33cb-4260-8132-609fc1ecef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7435c9-3aa2-4ddd-a3fd-7413ce4a853b"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88778c9c-666d-4ff1-a670-db9690eff8b8}" ma:internalName="TaxCatchAll" ma:showField="CatchAllData" ma:web="db7435c9-3aa2-4ddd-a3fd-7413ce4a85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a3df3e-33cb-4260-8132-609fc1ecef07">
      <Terms xmlns="http://schemas.microsoft.com/office/infopath/2007/PartnerControls"/>
    </lcf76f155ced4ddcb4097134ff3c332f>
    <TaxCatchAll xmlns="db7435c9-3aa2-4ddd-a3fd-7413ce4a85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3484AE-C2BD-432A-9E5A-AFB645A49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3df3e-33cb-4260-8132-609fc1ecef07"/>
    <ds:schemaRef ds:uri="db7435c9-3aa2-4ddd-a3fd-7413ce4a85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6BE80B-17BF-4683-9231-F9B3439CA542}">
  <ds:schemaRefs>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purl.org/dc/dcmitype/"/>
    <ds:schemaRef ds:uri="c1a3df3e-33cb-4260-8132-609fc1ecef07"/>
    <ds:schemaRef ds:uri="http://schemas.openxmlformats.org/package/2006/metadata/core-properties"/>
    <ds:schemaRef ds:uri="db7435c9-3aa2-4ddd-a3fd-7413ce4a853b"/>
    <ds:schemaRef ds:uri="http://www.w3.org/XML/1998/namespace"/>
  </ds:schemaRefs>
</ds:datastoreItem>
</file>

<file path=customXml/itemProps3.xml><?xml version="1.0" encoding="utf-8"?>
<ds:datastoreItem xmlns:ds="http://schemas.openxmlformats.org/officeDocument/2006/customXml" ds:itemID="{4A07C846-057A-4351-A773-4C8E877715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124</vt:i4>
      </vt:variant>
    </vt:vector>
  </HeadingPairs>
  <TitlesOfParts>
    <vt:vector size="135" baseType="lpstr">
      <vt:lpstr>INFOS</vt:lpstr>
      <vt:lpstr>1-Identification</vt:lpstr>
      <vt:lpstr>2-Relevé dépenses</vt:lpstr>
      <vt:lpstr>3-Déclaration de créance</vt:lpstr>
      <vt:lpstr>Synthèse</vt:lpstr>
      <vt:lpstr>C3</vt:lpstr>
      <vt:lpstr>Plan ord.</vt:lpstr>
      <vt:lpstr>C5</vt:lpstr>
      <vt:lpstr>PUBLI</vt:lpstr>
      <vt:lpstr>LISTE</vt:lpstr>
      <vt:lpstr>infos-COM_SUPRA</vt:lpstr>
      <vt:lpstr>C_3_Cellules_BLEUES</vt:lpstr>
      <vt:lpstr>DATE_DEB_CONV</vt:lpstr>
      <vt:lpstr>DATE_FIN_CONV</vt:lpstr>
      <vt:lpstr>DC_N°</vt:lpstr>
      <vt:lpstr>DC_TOT_DECL</vt:lpstr>
      <vt:lpstr>GT</vt:lpstr>
      <vt:lpstr>IDENTIF_ADRESSE</vt:lpstr>
      <vt:lpstr>IDENTIF_ADRESSE_CP</vt:lpstr>
      <vt:lpstr>IDENTIF_ADRESSE_LOC</vt:lpstr>
      <vt:lpstr>IDENTIF_AGT_CIV</vt:lpstr>
      <vt:lpstr>IDENTIF_AGT_EMAIL</vt:lpstr>
      <vt:lpstr>IDENTIF_AGT_NOM</vt:lpstr>
      <vt:lpstr>IDENTIF_AGT_SERVICE</vt:lpstr>
      <vt:lpstr>IDENTIF_AGT_TEL</vt:lpstr>
      <vt:lpstr>IDENTIF_BCE</vt:lpstr>
      <vt:lpstr>IDENTIF_BUDG_AB_CONV</vt:lpstr>
      <vt:lpstr>IDENTIF_BUDG_PROGRAMME_CONV</vt:lpstr>
      <vt:lpstr>IDENTIF_COMPTE_BIC</vt:lpstr>
      <vt:lpstr>IDENTIF_COMPTE_COM</vt:lpstr>
      <vt:lpstr>IDENTIF_COMPTE_N°IBAN</vt:lpstr>
      <vt:lpstr>IDENTIF_COMPTE_OUVERT_NOM_DE</vt:lpstr>
      <vt:lpstr>IDENTIF_DEB_DC</vt:lpstr>
      <vt:lpstr>IDENTIF_Durée_de_la_DC_en_mois</vt:lpstr>
      <vt:lpstr>IDENTIF_FIN_DC</vt:lpstr>
      <vt:lpstr>IDENTIF_LEGALE</vt:lpstr>
      <vt:lpstr>IDENTIF_MONTANT_AUTRES_PROJETS</vt:lpstr>
      <vt:lpstr>IDENTIF_MONTANT_PROJET</vt:lpstr>
      <vt:lpstr>IDENTIF_MONTANT_SUBSIDE</vt:lpstr>
      <vt:lpstr>IDENTIF_NOM_PROJET</vt:lpstr>
      <vt:lpstr>IDENTIF_NOM_REQUERANT</vt:lpstr>
      <vt:lpstr>IDENTIF_TAUX_DE_FINANCEMENT</vt:lpstr>
      <vt:lpstr>IDENTIF_TYPE_SUBS</vt:lpstr>
      <vt:lpstr>IDENTIF_VISA_CONV</vt:lpstr>
      <vt:lpstr>LISTE_ACRONYME</vt:lpstr>
      <vt:lpstr>LISTE_AG_COMPTA</vt:lpstr>
      <vt:lpstr>LISTE_AG_TECH</vt:lpstr>
      <vt:lpstr>LISTE_CIV</vt:lpstr>
      <vt:lpstr>LISTE_Commune_Supra_INV</vt:lpstr>
      <vt:lpstr>LISTE_direct_induit</vt:lpstr>
      <vt:lpstr>LISTE_EMAIL</vt:lpstr>
      <vt:lpstr>LISTE_EMAIL_GT</vt:lpstr>
      <vt:lpstr>LISTE_EMAIL_GT_1</vt:lpstr>
      <vt:lpstr>LISTE_EMAIL_GT_2</vt:lpstr>
      <vt:lpstr>LISTE_FINALE</vt:lpstr>
      <vt:lpstr>LISTE_FONCT_DETAIL</vt:lpstr>
      <vt:lpstr>LISTE_INTERMEDIAIRE</vt:lpstr>
      <vt:lpstr>LISTE_LEQUEL_PUBLI</vt:lpstr>
      <vt:lpstr>LISTE_MAT</vt:lpstr>
      <vt:lpstr>LISTE_MAT_SS_TRAIT</vt:lpstr>
      <vt:lpstr>LISTE_MOIS</vt:lpstr>
      <vt:lpstr>LISTE_N°DC</vt:lpstr>
      <vt:lpstr>LISTE_NON</vt:lpstr>
      <vt:lpstr>LISTE_OUI</vt:lpstr>
      <vt:lpstr>LISTE_OUI_NON</vt:lpstr>
      <vt:lpstr>LISTE_SS_TRAITANT</vt:lpstr>
      <vt:lpstr>LISTE_TEL</vt:lpstr>
      <vt:lpstr>LISTE_TEL_GT</vt:lpstr>
      <vt:lpstr>LISTE_TEL_GT_1</vt:lpstr>
      <vt:lpstr>LISTE_TEL_GT_2</vt:lpstr>
      <vt:lpstr>LISTE_TVA</vt:lpstr>
      <vt:lpstr>MONTANT_DC_C3_FONDS_ROULEMENT_JUSTIFIE</vt:lpstr>
      <vt:lpstr>MONTANT_DC_C3_SOLDE_DESENGAGE</vt:lpstr>
      <vt:lpstr>MONTANT_DC_C3_TOT_LIQUIDE</vt:lpstr>
      <vt:lpstr>MONTANT_TOT_MAT_ACC</vt:lpstr>
      <vt:lpstr>MONTANT_TOT_MAT_DECL</vt:lpstr>
      <vt:lpstr>PL_ORDO_DC1</vt:lpstr>
      <vt:lpstr>PL_ORDO_DC2</vt:lpstr>
      <vt:lpstr>REL_DEP_DETAIL_RUB_ACCEPT</vt:lpstr>
      <vt:lpstr>REL_DEP_DETAIL_RUB_DECL</vt:lpstr>
      <vt:lpstr>REL_DEP_DETAIL_TOT_ACCEPT</vt:lpstr>
      <vt:lpstr>REL_DEP_DETAIL_TOT_DECL</vt:lpstr>
      <vt:lpstr>Sara</vt:lpstr>
      <vt:lpstr>SYNT_A_REMBOURSER</vt:lpstr>
      <vt:lpstr>SYNT_BUDGET_100</vt:lpstr>
      <vt:lpstr>SYNTH_ACC_1_100</vt:lpstr>
      <vt:lpstr>SYNTH_ACC_2_100</vt:lpstr>
      <vt:lpstr>SYNTH_DECL_1_100</vt:lpstr>
      <vt:lpstr>SYNTH_DECL_2_100</vt:lpstr>
      <vt:lpstr>SYNTH_DIFF_1</vt:lpstr>
      <vt:lpstr>SYNTH_DIFF_2</vt:lpstr>
      <vt:lpstr>SYNTH_DIFF_TOT</vt:lpstr>
      <vt:lpstr>SYNTH_FR</vt:lpstr>
      <vt:lpstr>SYNTH_FR_JUSTIF_1</vt:lpstr>
      <vt:lpstr>SYNTH_FR_JUSTIF_2</vt:lpstr>
      <vt:lpstr>SYNTH_FR_SOLDE_1</vt:lpstr>
      <vt:lpstr>SYNTH_FR_SOLDE_1_2</vt:lpstr>
      <vt:lpstr>SYNTH_FR_SOLDE_2</vt:lpstr>
      <vt:lpstr>SYNTH_MAT_ACC_1</vt:lpstr>
      <vt:lpstr>SYNTH_MAT_ACC_2</vt:lpstr>
      <vt:lpstr>SYNTH_MAT_DECL_1</vt:lpstr>
      <vt:lpstr>SYNTH_MAT_DECL_2</vt:lpstr>
      <vt:lpstr>SYNTH_MONTANT_LIQUIDE_1</vt:lpstr>
      <vt:lpstr>SYNTH_MONTANT_LIQUIDE_2</vt:lpstr>
      <vt:lpstr>SYNTH_SOLDE</vt:lpstr>
      <vt:lpstr>SYNTH_SST_ACC_1</vt:lpstr>
      <vt:lpstr>SYNTH_SST_ACC_2</vt:lpstr>
      <vt:lpstr>SYNTH_SST_DECL_1</vt:lpstr>
      <vt:lpstr>SYNTH_SST_DECL_2</vt:lpstr>
      <vt:lpstr>SYNTH_SUBSIDE</vt:lpstr>
      <vt:lpstr>SYNTH_SUBSIDE_SOLDE</vt:lpstr>
      <vt:lpstr>SYNTH_TOT_ACC_100</vt:lpstr>
      <vt:lpstr>SYNTH_TOT_DC_ACC</vt:lpstr>
      <vt:lpstr>SYNTH_TOT_DC_ACC_1</vt:lpstr>
      <vt:lpstr>SYNTH_TOT_DC_ACC_2</vt:lpstr>
      <vt:lpstr>SYNTH_TOT_DC_DECL</vt:lpstr>
      <vt:lpstr>SYNTH_TOT_DC_DECL_1</vt:lpstr>
      <vt:lpstr>SYNTH_TOT_DC_DECL_2</vt:lpstr>
      <vt:lpstr>SYNTH_TOT_DECL_100</vt:lpstr>
      <vt:lpstr>SYNTH_TOT_LIQUIDE_1_2</vt:lpstr>
      <vt:lpstr>SYNTH_TOT_MAT_ACC</vt:lpstr>
      <vt:lpstr>SYNTH_TOT_MAT_DECL</vt:lpstr>
      <vt:lpstr>SYNTH_TOT_SST_ACC</vt:lpstr>
      <vt:lpstr>SYNTH_TOT_SST_DECL</vt:lpstr>
      <vt:lpstr>TAB_POLLEC_20_INV</vt:lpstr>
      <vt:lpstr>TAB3_RELEV_DEP</vt:lpstr>
      <vt:lpstr>TVA</vt:lpstr>
      <vt:lpstr>VOS_REF</vt:lpstr>
      <vt:lpstr>Zélie</vt:lpstr>
      <vt:lpstr>'1-Identification'!Zone_d_impression</vt:lpstr>
      <vt:lpstr>'3-Déclaration de créance'!Zone_d_impression</vt:lpstr>
      <vt:lpstr>'C3'!Zone_d_impression</vt:lpstr>
      <vt:lpstr>'C5'!Zone_d_impression</vt:lpstr>
      <vt:lpstr>'Plan ord.'!Zone_d_impression</vt:lpstr>
      <vt:lpstr>Synthèse!Zone_d_impression</vt:lpstr>
    </vt:vector>
  </TitlesOfParts>
  <Company>Service Public Wallon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135432</dc:creator>
  <cp:lastModifiedBy>S. Piccirilli</cp:lastModifiedBy>
  <cp:lastPrinted>2021-12-03T09:05:33Z</cp:lastPrinted>
  <dcterms:created xsi:type="dcterms:W3CDTF">2013-02-14T10:32:48Z</dcterms:created>
  <dcterms:modified xsi:type="dcterms:W3CDTF">2024-04-09T14:41:14Z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0x010100559A65A2DD5DF44A80A654981849549B</vt:lpwstr>
  </property>
  <property fmtid="{D5CDD505-2E9C-101B-9397-08002B2CF9AE}" pid="3" name="MSIP_Label_e72a09c5-6e26-4737-a926-47ef1ab198ae_Enabled">
    <vt:lpwstr>true</vt:lpwstr>
  </property>
  <property fmtid="{D5CDD505-2E9C-101B-9397-08002B2CF9AE}" pid="4" name="MSIP_Label_e72a09c5-6e26-4737-a926-47ef1ab198ae_SetDate">
    <vt:lpwstr>2022-03-02T10:43:44Z</vt:lpwstr>
  </property>
  <property fmtid="{D5CDD505-2E9C-101B-9397-08002B2CF9AE}" pid="5" name="MSIP_Label_e72a09c5-6e26-4737-a926-47ef1ab198ae_Method">
    <vt:lpwstr>Standard</vt:lpwstr>
  </property>
  <property fmtid="{D5CDD505-2E9C-101B-9397-08002B2CF9AE}" pid="6" name="MSIP_Label_e72a09c5-6e26-4737-a926-47ef1ab198ae_Name">
    <vt:lpwstr>e72a09c5-6e26-4737-a926-47ef1ab198ae</vt:lpwstr>
  </property>
  <property fmtid="{D5CDD505-2E9C-101B-9397-08002B2CF9AE}" pid="7" name="MSIP_Label_e72a09c5-6e26-4737-a926-47ef1ab198ae_SiteId">
    <vt:lpwstr>1f816a84-7aa6-4a56-b22a-7b3452fa8681</vt:lpwstr>
  </property>
  <property fmtid="{D5CDD505-2E9C-101B-9397-08002B2CF9AE}" pid="8" name="MSIP_Label_e72a09c5-6e26-4737-a926-47ef1ab198ae_ActionId">
    <vt:lpwstr>cb93a8ba-78b0-4ad4-9588-5b5e73cde917</vt:lpwstr>
  </property>
  <property fmtid="{D5CDD505-2E9C-101B-9397-08002B2CF9AE}" pid="9" name="MSIP_Label_e72a09c5-6e26-4737-a926-47ef1ab198ae_ContentBits">
    <vt:lpwstr>8</vt:lpwstr>
  </property>
  <property fmtid="{D5CDD505-2E9C-101B-9397-08002B2CF9AE}" pid="10" name="MediaServiceImageTags">
    <vt:lpwstr/>
  </property>
</Properties>
</file>