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5.xml" ContentType="application/vnd.openxmlformats-officedocument.drawing+xml"/>
  <Override PartName="/xl/ctrlProps/ctrlProp12.xml" ContentType="application/vnd.ms-excel.controlproperties+xml"/>
  <Override PartName="/xl/tables/table3.xml" ContentType="application/vnd.openxmlformats-officedocument.spreadsheetml.table+xml"/>
  <Override PartName="/xl/namedSheetViews/namedSheetView1.xml" ContentType="application/vnd.ms-excel.namedsheetview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alloniegov-my.sharepoint.com/personal/guillaume_campion_spw_wallonie_be/Documents/"/>
    </mc:Choice>
  </mc:AlternateContent>
  <xr:revisionPtr revIDLastSave="0" documentId="8_{45369448-D4E3-4DAC-846D-6749743FA16C}" xr6:coauthVersionLast="47" xr6:coauthVersionMax="47" xr10:uidLastSave="{00000000-0000-0000-0000-000000000000}"/>
  <workbookProtection workbookAlgorithmName="SHA-512" workbookHashValue="Ibp8gT2fFLXVV5XcfFIaWnF0MDdqq6h2rzUZ+1QvMbLi3r+nPR6l8vLhBVp3BGJEgTF2A+OOl5mFoCtArkuGng==" workbookSaltValue="spzByn60mcWvqgmMIE2hIA==" workbookSpinCount="100000" lockStructure="1"/>
  <bookViews>
    <workbookView xWindow="-28920" yWindow="-120" windowWidth="29040" windowHeight="15720" tabRatio="935" activeTab="1" xr2:uid="{00000000-000D-0000-FFFF-FFFF00000000}"/>
  </bookViews>
  <sheets>
    <sheet name="INFOS" sheetId="16" r:id="rId1"/>
    <sheet name="1-Identification" sheetId="1" r:id="rId2"/>
    <sheet name="2-CPC" sheetId="38" r:id="rId3"/>
    <sheet name="3-Frais de personnel" sheetId="4" r:id="rId4"/>
    <sheet name="4-Déclaration de créance" sheetId="8" r:id="rId5"/>
    <sheet name="5-Synthèse" sheetId="39" r:id="rId6"/>
    <sheet name="Synthèse-SPW" sheetId="10" state="hidden" r:id="rId7"/>
    <sheet name="C3" sheetId="13" state="hidden" r:id="rId8"/>
    <sheet name="Plan ord." sheetId="12" state="hidden" r:id="rId9"/>
    <sheet name="C5" sheetId="30" state="hidden" r:id="rId10"/>
    <sheet name="PUBLI" sheetId="33" state="hidden" r:id="rId11"/>
    <sheet name="bénéficiaires_P22" sheetId="36" state="hidden" r:id="rId12"/>
    <sheet name="LISTE" sheetId="19" state="hidden" r:id="rId13"/>
  </sheets>
  <definedNames>
    <definedName name="_xlnm._FilterDatabase" localSheetId="2" hidden="1">'2-CPC'!#REF!</definedName>
    <definedName name="_xlnm._FilterDatabase" localSheetId="3" hidden="1">'3-Frais de personnel'!$A$5:$BF$23</definedName>
    <definedName name="_xlnm._FilterDatabase" localSheetId="11" hidden="1">bénéficiaires_P22!$A$1:$Q$182</definedName>
    <definedName name="DATE_DEB_CONV">'1-Identification'!$B$15</definedName>
    <definedName name="DATE_FIN_CONV">'1-Identification'!$B$16</definedName>
    <definedName name="DC_N°">'1-Identification'!$F$14</definedName>
    <definedName name="DC_TOT_DECL">'4-Déclaration de créance'!$D$22</definedName>
    <definedName name="ETP" localSheetId="2">'2-CPC'!$A$6</definedName>
    <definedName name="GT">'C3'!$D$18</definedName>
    <definedName name="IDENTIF_ADRESSE">'1-Identification'!$F$5</definedName>
    <definedName name="IDENTIF_ADRESSE_CP">'1-Identification'!$F$6</definedName>
    <definedName name="IDENTIF_ADRESSE_LOC">'1-Identification'!$F$7</definedName>
    <definedName name="IDENTIF_AGT_CIV">'1-Identification'!$F$20</definedName>
    <definedName name="IDENTIF_AGT_EMAIL">'1-Identification'!$F$23</definedName>
    <definedName name="IDENTIF_AGT_NOM">'1-Identification'!$F$21</definedName>
    <definedName name="IDENTIF_AGT_SERVICE">'1-Identification'!$F$24</definedName>
    <definedName name="IDENTIF_AGT_TEL">'1-Identification'!$F$22</definedName>
    <definedName name="IDENTIF_BCE">'1-Identification'!$B$5</definedName>
    <definedName name="IDENTIF_BUDG_AB_CONV">'1-Identification'!$E$27</definedName>
    <definedName name="IDENTIF_BUDG_PROGRAMME_CONV">'1-Identification'!$F$27</definedName>
    <definedName name="IDENTIF_COMPTE_BIC">'1-Identification'!$B$7</definedName>
    <definedName name="IDENTIF_COMPTE_COM">'1-Identification'!$B$8</definedName>
    <definedName name="IDENTIF_COMPTE_N°IBAN">'1-Identification'!$B$6</definedName>
    <definedName name="IDENTIF_COMPTE_OUVERT_NOM_DE">'1-Identification'!$B$9</definedName>
    <definedName name="IDENTIF_DEB_DC">'1-Identification'!$F$15</definedName>
    <definedName name="IDENTIF_ENGAGEMENT_JURIDIQUE">'1-Identification'!$B$24</definedName>
    <definedName name="IDENTIF_FIN_DC">'1-Identification'!$F$16</definedName>
    <definedName name="IDENTIF_FR_JUSTIFIE">'1-Identification'!#REF!</definedName>
    <definedName name="IDENTIF_LEGALE">'1-Identification'!$B$22</definedName>
    <definedName name="IDENTIF_MONTANT_SUBSIDE">'1-Identification'!$B$20</definedName>
    <definedName name="IDENTIF_N_VISA">'1-Identification'!$B$23</definedName>
    <definedName name="IDENTIF_NOM_PROJET">'1-Identification'!$B$14</definedName>
    <definedName name="IDENTIF_NOM_REQUERANT">'1-Identification'!$B$4</definedName>
    <definedName name="IDENTIF_TAUX_DE_FINANCEMENT">'1-Identification'!$B$17</definedName>
    <definedName name="l_beneficiaires_p22">t_beneficiaires_p22[Entité]</definedName>
    <definedName name="l_personnel">t_personnel[[#Headers],[#Data],[Nom, Prénom]]</definedName>
    <definedName name="LISTE_AG_TECH">t_gestionnaires[[Gestionnaire  ]]</definedName>
    <definedName name="LISTE_CIV">t_civilite[Civilité]</definedName>
    <definedName name="LISTE_EMAIL_GT">t_email_gestionnaires[Email-Gestionnaire]</definedName>
    <definedName name="LISTE_FINALE">LISTE!$K$3</definedName>
    <definedName name="LISTE_MOIS">t_mois[Mois]</definedName>
    <definedName name="LISTE_N_DC">t_ri_rf[N°DC]</definedName>
    <definedName name="LISTE_OUI_NON">t_o_n[O_N]</definedName>
    <definedName name="LISTE_RUBRIQUE_FONCT_NV">t_rubriques[Rubrique]</definedName>
    <definedName name="LISTE_TVA">t_tva_htva[TVAC_HTVA]</definedName>
    <definedName name="LISTE_V_S">t_montant_subside[Montant_subside]</definedName>
    <definedName name="MONTANT_DC_C3_FONDS_ROULEMENT_JUSTIFIE">'C3'!$D$39</definedName>
    <definedName name="MONTANT_DC_C3_SOLDE_DESENGAGE">'C3'!$G$37</definedName>
    <definedName name="MONTANT_DC_C3_TOT_LIQUIDE">'C3'!$D$37</definedName>
    <definedName name="MONTANT_TOT_PERSO_ACC">t_frais_personnel[[#Totals],[TOTAL ACCEPTÉ]]</definedName>
    <definedName name="MONTANT_TOT_PERSO_DECL">t_frais_personnel[[#Totals],[TOTAL  DÉCLARÉ ]]</definedName>
    <definedName name="PL_ORDO_DC1">'Plan ord.'!$C$8</definedName>
    <definedName name="SYNT_A_REMBOURSER">'C5'!$G$19</definedName>
    <definedName name="SYNT_BUDGET_100">'Synthèse-SPW'!$E$7</definedName>
    <definedName name="SYNT_FR_OLD">'Synthèse-SPW'!$G$16</definedName>
    <definedName name="SYNT_MONTANT_TOT_LIQUIDE">'Synthèse-SPW'!$G$20</definedName>
    <definedName name="SYNTH_ACC_100">'Synthèse-SPW'!$G$7</definedName>
    <definedName name="SYNTH_DECL_100">'Synthèse-SPW'!$F$7</definedName>
    <definedName name="SYNTH_DIFF_ACC_DECL">'Synthèse-SPW'!$E$11</definedName>
    <definedName name="SYNTH_FR_JUSTIF">'Synthèse-SPW'!$G$18</definedName>
    <definedName name="SYNTH_FR_liquidé">'Synthèse-SPW'!$G$17</definedName>
    <definedName name="SYNTH_FR_NON_JUSTIF">'Synthèse-SPW'!$G$19</definedName>
    <definedName name="SYNTH_FR_SOLDE">'Synthèse-SPW'!$G$19</definedName>
    <definedName name="SYNTH_MONTANT_LIQUIDE">'Synthèse-SPW'!$G$20</definedName>
    <definedName name="SYNTH_SOLDE_SUBV">'Synthèse-SPW'!$G$22</definedName>
    <definedName name="SYNTH_SUBSIDE">'Synthèse-SPW'!$E$9</definedName>
    <definedName name="SYNTH_TOT_DC_ACC_2">'Synthèse-SPW'!$G$9</definedName>
    <definedName name="SYNTH_TOT_DC_DECL_2">'Synthèse-SPW'!$F$9</definedName>
    <definedName name="TVA">'1-Identification'!$B$10</definedName>
    <definedName name="VOS_REF">'4-Déclaration de créance'!$B$12</definedName>
    <definedName name="Z_C3F58662_020B_4E56_B390_38D4A953D070_.wvu.PrintArea" localSheetId="1" hidden="1">'1-Identification'!$A$1:$F$30</definedName>
    <definedName name="Z_C3F58662_020B_4E56_B390_38D4A953D070_.wvu.PrintArea" localSheetId="2" hidden="1">'2-CPC'!#REF!,'2-CPC'!#REF!</definedName>
    <definedName name="Z_C3F58662_020B_4E56_B390_38D4A953D070_.wvu.PrintArea" localSheetId="3" hidden="1">'3-Frais de personnel'!$A$1:$H$1,'3-Frais de personnel'!$A$5:$U$24</definedName>
    <definedName name="Z_C3F58662_020B_4E56_B390_38D4A953D070_.wvu.PrintArea" localSheetId="4" hidden="1">'4-Déclaration de créance'!$A$1:$E$47</definedName>
    <definedName name="Z_C3F58662_020B_4E56_B390_38D4A953D070_.wvu.PrintArea" localSheetId="5" hidden="1">'5-Synthèse'!$D$1:$H$14</definedName>
    <definedName name="Z_C3F58662_020B_4E56_B390_38D4A953D070_.wvu.PrintArea" localSheetId="7" hidden="1">'C3'!$B$1:$J$45</definedName>
    <definedName name="Z_C3F58662_020B_4E56_B390_38D4A953D070_.wvu.PrintArea" localSheetId="6" hidden="1">'Synthèse-SPW'!$D$1:$I$17</definedName>
    <definedName name="_xlnm.Print_Area" localSheetId="1">'1-Identification'!$A$1:$F$30</definedName>
    <definedName name="_xlnm.Print_Area" localSheetId="3">'3-Frais de personnel'!$A$1:$H$1</definedName>
    <definedName name="_xlnm.Print_Area" localSheetId="4">'4-Déclaration de créance'!$A$1:$E$47</definedName>
    <definedName name="_xlnm.Print_Area" localSheetId="5">'5-Synthèse'!$D$1:$H$14</definedName>
    <definedName name="_xlnm.Print_Area" localSheetId="7">'C3'!$B$1:$J$45</definedName>
    <definedName name="_xlnm.Print_Area" localSheetId="9">'C5'!$A$1:$J$26</definedName>
    <definedName name="_xlnm.Print_Area" localSheetId="8">'Plan ord.'!$A$1:$L$11</definedName>
    <definedName name="_xlnm.Print_Area" localSheetId="6">'Synthèse-SPW'!$D$1:$I$17</definedName>
  </definedNames>
  <calcPr calcId="191028" fullPrecision="0"/>
  <customWorkbookViews>
    <customWorkbookView name="dc1" guid="{C3F58662-020B-4E56-B390-38D4A953D070}" includeHiddenRowCol="0" maximized="1" xWindow="1" yWindow="1" windowWidth="1596" windowHeight="675" tabRatio="674" activeSheetId="10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2" i="33" l="1"/>
  <c r="E25" i="4"/>
  <c r="B25" i="4" a="1"/>
  <c r="B25" i="4" s="1"/>
  <c r="U25" i="4"/>
  <c r="K24" i="4" l="1"/>
  <c r="M24" i="4"/>
  <c r="N24" i="4"/>
  <c r="O24" i="4"/>
  <c r="P24" i="4"/>
  <c r="Q24" i="4"/>
  <c r="R24" i="4"/>
  <c r="E13" i="10"/>
  <c r="E12" i="39"/>
  <c r="F7" i="1"/>
  <c r="F6" i="1"/>
  <c r="F5" i="1"/>
  <c r="B24" i="1"/>
  <c r="B23" i="1"/>
  <c r="AC2" i="33" s="1"/>
  <c r="B22" i="1"/>
  <c r="B20" i="1"/>
  <c r="B21" i="1"/>
  <c r="B14" i="1"/>
  <c r="B6" i="1"/>
  <c r="B5" i="1"/>
  <c r="M6" i="4"/>
  <c r="M7" i="4"/>
  <c r="S24" i="4" l="1"/>
  <c r="T24" i="4" s="1"/>
  <c r="F8" i="39"/>
  <c r="E8" i="39"/>
  <c r="F5" i="39"/>
  <c r="F3" i="39"/>
  <c r="E3" i="39"/>
  <c r="F1" i="39"/>
  <c r="E1" i="39"/>
  <c r="B29" i="8" l="1"/>
  <c r="G1" i="10"/>
  <c r="G3" i="10"/>
  <c r="F3" i="10"/>
  <c r="F1" i="10"/>
  <c r="C8" i="12"/>
  <c r="C4" i="12"/>
  <c r="C3" i="12"/>
  <c r="E9" i="39" l="1"/>
  <c r="E7" i="39"/>
  <c r="G17" i="10"/>
  <c r="C7" i="12"/>
  <c r="G20" i="10" l="1"/>
  <c r="BA2" i="33" s="1"/>
  <c r="AP2" i="33"/>
  <c r="G5" i="10"/>
  <c r="F5" i="10"/>
  <c r="R6" i="4" l="1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N6" i="4"/>
  <c r="N25" i="4" s="1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K6" i="4"/>
  <c r="K12" i="4"/>
  <c r="C8" i="38"/>
  <c r="D8" i="38"/>
  <c r="E8" i="38"/>
  <c r="K7" i="4"/>
  <c r="K8" i="4"/>
  <c r="K9" i="4"/>
  <c r="K10" i="4"/>
  <c r="E17" i="8"/>
  <c r="E7" i="10"/>
  <c r="S18" i="4" l="1"/>
  <c r="S10" i="4"/>
  <c r="T10" i="4" s="1"/>
  <c r="S8" i="4"/>
  <c r="T8" i="4" s="1"/>
  <c r="S16" i="4"/>
  <c r="S22" i="4"/>
  <c r="S6" i="4"/>
  <c r="S11" i="4"/>
  <c r="S17" i="4"/>
  <c r="S9" i="4"/>
  <c r="S20" i="4"/>
  <c r="S12" i="4"/>
  <c r="T12" i="4" s="1"/>
  <c r="S19" i="4"/>
  <c r="S23" i="4"/>
  <c r="S15" i="4"/>
  <c r="S7" i="4"/>
  <c r="T7" i="4" s="1"/>
  <c r="S14" i="4"/>
  <c r="S21" i="4"/>
  <c r="S13" i="4"/>
  <c r="B36" i="8"/>
  <c r="D11" i="30"/>
  <c r="D16" i="13"/>
  <c r="T6" i="4" l="1"/>
  <c r="S25" i="4"/>
  <c r="AT2" i="33" s="1" a="1"/>
  <c r="AT2" i="33" s="1"/>
  <c r="T9" i="4"/>
  <c r="D37" i="13"/>
  <c r="T25" i="4" l="1"/>
  <c r="B17" i="8"/>
  <c r="B21" i="8" l="1"/>
  <c r="B28" i="8"/>
  <c r="BE2" i="33"/>
  <c r="BG2" i="33"/>
  <c r="BD2" i="33" l="1"/>
  <c r="AS2" i="33"/>
  <c r="B27" i="8"/>
  <c r="B23" i="8"/>
  <c r="B14" i="8"/>
  <c r="D16" i="8"/>
  <c r="B16" i="8"/>
  <c r="AB2" i="33" l="1"/>
  <c r="AA2" i="33"/>
  <c r="Z2" i="33"/>
  <c r="V2" i="33"/>
  <c r="T2" i="33"/>
  <c r="S2" i="33"/>
  <c r="Q2" i="33"/>
  <c r="P2" i="33"/>
  <c r="O2" i="33"/>
  <c r="N2" i="33"/>
  <c r="L2" i="33"/>
  <c r="K2" i="33"/>
  <c r="J2" i="33"/>
  <c r="I2" i="33"/>
  <c r="H2" i="33"/>
  <c r="C2" i="33"/>
  <c r="B2" i="33"/>
  <c r="A2" i="33"/>
  <c r="AF2" i="33"/>
  <c r="C44" i="13" l="1"/>
  <c r="E2" i="33" l="1"/>
  <c r="A8" i="8"/>
  <c r="G2" i="33"/>
  <c r="F2" i="33"/>
  <c r="A10" i="8" l="1"/>
  <c r="F17" i="1" l="1"/>
  <c r="U2" i="33" s="1"/>
  <c r="W2" i="33"/>
  <c r="X2" i="33" l="1"/>
  <c r="B30" i="8"/>
  <c r="M2" i="33"/>
  <c r="B18" i="8"/>
  <c r="E9" i="10"/>
  <c r="AK2" i="33"/>
  <c r="C11" i="30"/>
  <c r="C16" i="13"/>
  <c r="C5" i="12"/>
  <c r="G22" i="10" l="1"/>
  <c r="AW2" i="33"/>
  <c r="C6" i="12"/>
  <c r="G37" i="13" l="1"/>
  <c r="AV2" i="33"/>
  <c r="AX2" i="33"/>
  <c r="G18" i="30"/>
  <c r="B26" i="8"/>
  <c r="R2" i="33"/>
  <c r="K11" i="4"/>
  <c r="K13" i="4"/>
  <c r="T13" i="4" s="1"/>
  <c r="K14" i="4"/>
  <c r="T14" i="4" s="1"/>
  <c r="K15" i="4"/>
  <c r="T15" i="4" s="1"/>
  <c r="K16" i="4"/>
  <c r="T16" i="4" s="1"/>
  <c r="K17" i="4"/>
  <c r="T17" i="4" s="1"/>
  <c r="K18" i="4"/>
  <c r="T18" i="4" s="1"/>
  <c r="K19" i="4"/>
  <c r="T19" i="4" s="1"/>
  <c r="K20" i="4"/>
  <c r="T20" i="4" s="1"/>
  <c r="K21" i="4"/>
  <c r="T21" i="4" s="1"/>
  <c r="K22" i="4"/>
  <c r="T22" i="4" s="1"/>
  <c r="K23" i="4"/>
  <c r="T23" i="4" s="1"/>
  <c r="K25" i="4" l="1"/>
  <c r="F7" i="39" s="1"/>
  <c r="F9" i="39" s="1"/>
  <c r="T11" i="4"/>
  <c r="D22" i="30"/>
  <c r="AI2" i="33"/>
  <c r="C13" i="13"/>
  <c r="E3" i="10"/>
  <c r="E1" i="10"/>
  <c r="F8" i="10"/>
  <c r="G8" i="10"/>
  <c r="D8" i="30"/>
  <c r="D7" i="30"/>
  <c r="E8" i="10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7" i="4"/>
  <c r="V6" i="4"/>
  <c r="BF7" i="4"/>
  <c r="BF8" i="4"/>
  <c r="BF9" i="4"/>
  <c r="BF10" i="4"/>
  <c r="BF11" i="4"/>
  <c r="BF12" i="4"/>
  <c r="BF13" i="4"/>
  <c r="BF14" i="4"/>
  <c r="BF15" i="4"/>
  <c r="BF16" i="4"/>
  <c r="BF17" i="4"/>
  <c r="BF18" i="4"/>
  <c r="BF19" i="4"/>
  <c r="BF20" i="4"/>
  <c r="BF21" i="4"/>
  <c r="BF22" i="4"/>
  <c r="BF23" i="4"/>
  <c r="BE7" i="4"/>
  <c r="BE10" i="4"/>
  <c r="BE11" i="4"/>
  <c r="BE14" i="4"/>
  <c r="BE15" i="4"/>
  <c r="BE18" i="4"/>
  <c r="BE19" i="4"/>
  <c r="BE22" i="4"/>
  <c r="BE23" i="4"/>
  <c r="BF6" i="4"/>
  <c r="BE6" i="4"/>
  <c r="C12" i="13"/>
  <c r="C11" i="13"/>
  <c r="C10" i="13"/>
  <c r="C37" i="13"/>
  <c r="I10" i="13"/>
  <c r="C9" i="13"/>
  <c r="B10" i="13"/>
  <c r="B11" i="13"/>
  <c r="B13" i="13"/>
  <c r="G10" i="13"/>
  <c r="C8" i="13"/>
  <c r="C7" i="13"/>
  <c r="F7" i="10" l="1"/>
  <c r="AU2" i="33" a="1"/>
  <c r="AU2" i="33" s="1"/>
  <c r="AG2" i="33"/>
  <c r="G7" i="10"/>
  <c r="BE8" i="4"/>
  <c r="BE12" i="4"/>
  <c r="BE16" i="4"/>
  <c r="BE20" i="4"/>
  <c r="BE9" i="4"/>
  <c r="BE13" i="4"/>
  <c r="BE17" i="4"/>
  <c r="BE21" i="4"/>
  <c r="AM2" i="33" l="1"/>
  <c r="F9" i="10"/>
  <c r="D22" i="8" s="1"/>
  <c r="AH2" i="33"/>
  <c r="D2" i="33" l="1"/>
  <c r="BC2" i="33"/>
  <c r="AZ2" i="33"/>
  <c r="G9" i="10"/>
  <c r="D39" i="13" l="1"/>
  <c r="AY2" i="33"/>
  <c r="BB2" i="33"/>
  <c r="G18" i="10"/>
  <c r="G21" i="10" s="1"/>
  <c r="G19" i="30" s="1"/>
  <c r="G17" i="30"/>
  <c r="AL2" i="33"/>
  <c r="G19" i="10" l="1"/>
  <c r="E11" i="10"/>
  <c r="AO2" i="33" s="1"/>
  <c r="I12" i="13"/>
  <c r="AD2" i="33" l="1"/>
  <c r="AQ2" i="33"/>
  <c r="AN2" i="33"/>
  <c r="AR2" i="33" l="1"/>
  <c r="AJ2" i="33" l="1"/>
  <c r="AE2" i="3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tc={E160BAD6-CB8B-4428-9920-9CA783AEF9B8}</author>
  </authors>
  <commentList>
    <comment ref="G37" authorId="0" shapeId="0" xr:uid="{E160BAD6-CB8B-4428-9920-9CA783AEF9B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Montant à modifier si il ne s'agit pas de la DC finale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<sst xmlns="http://schemas.openxmlformats.org/spreadsheetml/2006/main" count="3012" uniqueCount="1562">
  <si>
    <t>Rapport financier</t>
  </si>
  <si>
    <t>RH</t>
  </si>
  <si>
    <t>Version</t>
  </si>
  <si>
    <t>Comment compléter ce fichier ?</t>
  </si>
  <si>
    <t xml:space="preserve">1) Renommez le fichier de la façon suivante (en adaptant à votre situation les parties en italique): </t>
  </si>
  <si>
    <t>2) Complétez les feuilles jaunes du fichier dans l'odre croissant</t>
  </si>
  <si>
    <t>Les cellules bleues sont complétées par le SPW</t>
  </si>
  <si>
    <t>Les cellules grises contiennent des formules</t>
  </si>
  <si>
    <r>
      <t xml:space="preserve">4) Télécharchez les documents suivants sur le </t>
    </r>
    <r>
      <rPr>
        <b/>
        <u/>
        <sz val="11"/>
        <rFont val="Calibri"/>
        <family val="2"/>
      </rPr>
      <t xml:space="preserve"> guichet des pouvoirs locaux (https://guichet.pouvoirslocaux.wallonie.be/)</t>
    </r>
  </si>
  <si>
    <r>
      <t>le rapport financier en format</t>
    </r>
    <r>
      <rPr>
        <sz val="11"/>
        <color rgb="FFFF0000"/>
        <rFont val="Calibri"/>
        <family val="2"/>
      </rPr>
      <t xml:space="preserve"> Excel  </t>
    </r>
  </si>
  <si>
    <t>le rapport d'activité complété et ses annexes</t>
  </si>
  <si>
    <t>Pour rappel, vous trouverez le guide des dépenses éligibles pour le Volet 1 RH ici:</t>
  </si>
  <si>
    <t>Volet 1 RH : Guide des dépenses éligibles</t>
  </si>
  <si>
    <t>Nom du projet :</t>
  </si>
  <si>
    <t>Veuillez sélectionner</t>
  </si>
  <si>
    <t>Période des dépenses du :</t>
  </si>
  <si>
    <t>au :</t>
  </si>
  <si>
    <t xml:space="preserve">Taux de financement </t>
  </si>
  <si>
    <r>
      <t xml:space="preserve">BÉNÉFICIAIRE 
</t>
    </r>
    <r>
      <rPr>
        <b/>
        <i/>
        <u/>
        <sz val="11"/>
        <color theme="0" tint="-0.499984740745262"/>
        <rFont val="Calibri"/>
        <family val="2"/>
      </rPr>
      <t>* merci de vérifier les informations pré-encodées s'affichant une fois le nom du bénéficiaire sélectionné</t>
    </r>
  </si>
  <si>
    <t>COORDONNÉES DU CORRESPONDANT COMPTABLE </t>
  </si>
  <si>
    <t>Nom du bénéficiaire :</t>
  </si>
  <si>
    <t>Civilité :</t>
  </si>
  <si>
    <t>N° BCE* :</t>
  </si>
  <si>
    <t>Nom  :</t>
  </si>
  <si>
    <t>N° de compte IBAN* :</t>
  </si>
  <si>
    <t>Téléphone :</t>
  </si>
  <si>
    <t>N° de compte BIC :</t>
  </si>
  <si>
    <t>Email :</t>
  </si>
  <si>
    <t>Communication sur le compte :</t>
  </si>
  <si>
    <t>Service :</t>
  </si>
  <si>
    <t>ouvert au nom de :</t>
  </si>
  <si>
    <t>Remarque éventuelle :</t>
  </si>
  <si>
    <r>
      <t xml:space="preserve">ADRESSE
</t>
    </r>
    <r>
      <rPr>
        <b/>
        <i/>
        <u/>
        <sz val="11"/>
        <color theme="1" tint="0.499984740745262"/>
        <rFont val="Calibri"/>
        <family val="2"/>
      </rPr>
      <t>* merci de vérifier les informations pré-encodées s'affichant une fois le nom du bénéficiaire sélectionné</t>
    </r>
  </si>
  <si>
    <t>Montant du subside* :</t>
  </si>
  <si>
    <t>adresse* :</t>
  </si>
  <si>
    <t>Base légale* :</t>
  </si>
  <si>
    <t>CP* :</t>
  </si>
  <si>
    <t>Localité* :</t>
  </si>
  <si>
    <t>Nom, Prénom</t>
  </si>
  <si>
    <t xml:space="preserve"> Fonction telle que reprise dans votre contrat de travail</t>
  </si>
  <si>
    <t>Date début nouveau  contrat ou de l'avenant</t>
  </si>
  <si>
    <t>Type de contrat (en Équivalent temps plein : 1= 1 temps plein, 0.5 un mi-temps…, ) y compris les missions hors POLLEC))</t>
  </si>
  <si>
    <t>Tableau détaillé des frais de personnel</t>
  </si>
  <si>
    <t>Tableau de vérification des frais de personnel (réservé au SPW)</t>
  </si>
  <si>
    <t>NOM Prénom</t>
  </si>
  <si>
    <t>Mois</t>
  </si>
  <si>
    <t>Année</t>
  </si>
  <si>
    <t>Brut Soumis
ONSS**</t>
  </si>
  <si>
    <t>Arrièrés</t>
  </si>
  <si>
    <t>****Avantages extra-légaux</t>
  </si>
  <si>
    <t>*****Indemnités perçues</t>
  </si>
  <si>
    <t xml:space="preserve">TOTAL  DÉCLARÉ </t>
  </si>
  <si>
    <t>COMMENTAIRE</t>
  </si>
  <si>
    <t>Taux d'occupation  mensuel*(%)</t>
  </si>
  <si>
    <t>Brut total* *</t>
  </si>
  <si>
    <t>TOTAL ACCEPTÉ</t>
  </si>
  <si>
    <t>Différence Tot.  accepté et déclaré</t>
  </si>
  <si>
    <t>Raison de la révision</t>
  </si>
  <si>
    <t>critère</t>
  </si>
  <si>
    <t>Veuillez sélectionner :</t>
  </si>
  <si>
    <t>N° attribué à la pièce justificative dans la DC</t>
  </si>
  <si>
    <t>SOUS-TRAITANCE</t>
  </si>
  <si>
    <t>Département de l'Energie et du Bâtiment durable 
Direction de la Promotion de l'Energie durable</t>
  </si>
  <si>
    <t>Rue des brigades d'Irlande, 1</t>
  </si>
  <si>
    <t>5100 JAMBES</t>
  </si>
  <si>
    <t>Vos Réf. :</t>
  </si>
  <si>
    <t>Objet :</t>
  </si>
  <si>
    <t xml:space="preserve"> DECLARATION DE CREANCE</t>
  </si>
  <si>
    <t xml:space="preserve">Dossier </t>
  </si>
  <si>
    <t>Pour la période du :</t>
  </si>
  <si>
    <t xml:space="preserve">au </t>
  </si>
  <si>
    <t>Référence légale</t>
  </si>
  <si>
    <t>Je soussigné (Prénom, Nom),</t>
  </si>
  <si>
    <t>(Fonction) :</t>
  </si>
  <si>
    <t xml:space="preserve">déclare par la présente qu’il est dû à </t>
  </si>
  <si>
    <t xml:space="preserve">(Nom de l'organisme) </t>
  </si>
  <si>
    <t>par la Région wallonne, le montant de  (€) :</t>
  </si>
  <si>
    <t xml:space="preserve">pour </t>
  </si>
  <si>
    <t xml:space="preserve">Cette somme est payable au compte : </t>
  </si>
  <si>
    <t>IBAN :</t>
  </si>
  <si>
    <t>BIC :</t>
  </si>
  <si>
    <t>Numéro d'entreprise (BCE)</t>
  </si>
  <si>
    <t>Certifié sincère et véritable à la somme de (Montant en lettres) :</t>
  </si>
  <si>
    <t xml:space="preserve">Fait à </t>
  </si>
  <si>
    <t xml:space="preserve"> le</t>
  </si>
  <si>
    <t>Signature</t>
  </si>
  <si>
    <t>Annexes :</t>
  </si>
  <si>
    <t>Voir la liste des annexes requises dans le Rapport d'activité</t>
  </si>
  <si>
    <t>Période du</t>
  </si>
  <si>
    <t>au</t>
  </si>
  <si>
    <t>BUDGET subside</t>
  </si>
  <si>
    <t>RUBRIQUES BUDGÉTAIRES</t>
  </si>
  <si>
    <t>MONTANTS DECLARES</t>
  </si>
  <si>
    <t>MONTANTS ACCEPTES</t>
  </si>
  <si>
    <t>Taux de subventionnement</t>
  </si>
  <si>
    <t>MONTANT SUBVENTIONNE PAR LE SPW</t>
  </si>
  <si>
    <t>Différence total accepté/déclaré :</t>
  </si>
  <si>
    <t>Note à Muriel Hoogtoel</t>
  </si>
  <si>
    <t>Correspondante budgétaire</t>
  </si>
  <si>
    <t xml:space="preserve"> RAPPORT DE VÉRIFICATION TECHNIQUE (À JOINDRE À LA DÉCLARATION DE CRÉANCE ET TABLEAU D’ANALYSE POUR LES SUBVENTIONS)</t>
  </si>
  <si>
    <t xml:space="preserve">I: INFORMATIONS GÉNÉRALES </t>
  </si>
  <si>
    <t>Nom du requérant :</t>
  </si>
  <si>
    <t xml:space="preserve">Type :        </t>
  </si>
  <si>
    <t xml:space="preserve"> Subvention   </t>
  </si>
  <si>
    <t>Marché</t>
  </si>
  <si>
    <t>Nom du projet :</t>
  </si>
  <si>
    <t>N° BCE :</t>
  </si>
  <si>
    <t>DC  du</t>
  </si>
  <si>
    <t>Communication :</t>
  </si>
  <si>
    <t xml:space="preserve">d’un montant déclaré de :                       </t>
  </si>
  <si>
    <t>Budget</t>
  </si>
  <si>
    <t>Convention :</t>
  </si>
  <si>
    <t>Gestionnaire technique :</t>
  </si>
  <si>
    <t>Zélie Mulders</t>
  </si>
  <si>
    <t>Transmis à l’agent traitant le:</t>
  </si>
  <si>
    <t>Échéance:</t>
  </si>
  <si>
    <t>Agent comptable :</t>
  </si>
  <si>
    <t>Isabelle PIERRARD</t>
  </si>
  <si>
    <t>II : ANALYSE TECHNIQUE</t>
  </si>
  <si>
    <t xml:space="preserve">Les documents suivants, prévus par l'arrêté, la convention ou le bon de commande ont été remis et approuvés </t>
  </si>
  <si>
    <t>en date du :</t>
  </si>
  <si>
    <t xml:space="preserve"> Rapport d'activité</t>
  </si>
  <si>
    <t>Pièces jutificatives</t>
  </si>
  <si>
    <t>Livrables prévus dans l'AM</t>
  </si>
  <si>
    <t>III : ANALYSE FINANCIÈRE</t>
  </si>
  <si>
    <t>La facture / déclaration de créance est conforme au bon de commande</t>
  </si>
  <si>
    <t xml:space="preserve">ou </t>
  </si>
  <si>
    <t>Remarques :</t>
  </si>
  <si>
    <t>IV : LIQUIDATION(S)</t>
  </si>
  <si>
    <t>V : DÉSENGAGEMENT</t>
  </si>
  <si>
    <t xml:space="preserve">N° de visa </t>
  </si>
  <si>
    <t xml:space="preserve">Montant à liquider </t>
  </si>
  <si>
    <t xml:space="preserve">Un solde de </t>
  </si>
  <si>
    <t>sera à désengager si le bénéficiaire ne se manifeste pas dans le mois à dater de la réception  du rapport de vérification comptable.</t>
  </si>
  <si>
    <t>Fonds de roulement justifié :</t>
  </si>
  <si>
    <t>IV : PLAN D'ORDONANCEMENT</t>
  </si>
  <si>
    <t>Le plan d'ordonancement est transmis dans un tableau en annexe</t>
  </si>
  <si>
    <t>Agent traitant :</t>
  </si>
  <si>
    <t>Directeur : Frédéric DOUILLET</t>
  </si>
  <si>
    <t xml:space="preserve">Date + signature : </t>
  </si>
  <si>
    <t>RECAPITULATIF POUR LE PLAN D'ORDONNANCEMENT</t>
  </si>
  <si>
    <t>Visa initial</t>
  </si>
  <si>
    <t>N° visa</t>
  </si>
  <si>
    <t xml:space="preserve">Pascal LEHANCE </t>
  </si>
  <si>
    <t>Nom des bénéficiaires</t>
  </si>
  <si>
    <t xml:space="preserve">Total de la subvention </t>
  </si>
  <si>
    <t>Objet : Clôture dossier comptable- C5-désengagement/remboursement</t>
  </si>
  <si>
    <r>
      <t xml:space="preserve"> </t>
    </r>
    <r>
      <rPr>
        <u/>
        <sz val="11"/>
        <color theme="1"/>
        <rFont val="Calibri"/>
        <family val="2"/>
      </rPr>
      <t>et déclare :</t>
    </r>
  </si>
  <si>
    <t>Que des justificatifs on été founis pour un montant total de :</t>
  </si>
  <si>
    <t xml:space="preserve">Qu'un montant de </t>
  </si>
  <si>
    <r>
      <t xml:space="preserve"> doit être </t>
    </r>
    <r>
      <rPr>
        <u/>
        <sz val="11"/>
        <color theme="1"/>
        <rFont val="Calibri"/>
        <family val="2"/>
      </rPr>
      <t>désengagé</t>
    </r>
  </si>
  <si>
    <r>
      <t xml:space="preserve"> doit être </t>
    </r>
    <r>
      <rPr>
        <u/>
        <sz val="11"/>
        <color theme="1"/>
        <rFont val="Calibri"/>
        <family val="2"/>
      </rPr>
      <t>récupéré</t>
    </r>
  </si>
  <si>
    <t xml:space="preserve">Signature : </t>
  </si>
  <si>
    <t>Transmis à la compta  le:</t>
  </si>
  <si>
    <t>DATE_DEB_CONV</t>
  </si>
  <si>
    <t>DATE_FIN_CONV</t>
  </si>
  <si>
    <t>DC_N°</t>
  </si>
  <si>
    <t>DC_TOT_DECL</t>
  </si>
  <si>
    <t>IDENTIF_ADRESSE</t>
  </si>
  <si>
    <t>IDENTIF_ADRESSE_CP</t>
  </si>
  <si>
    <t>IDENTIF_ADRESSE_LOC</t>
  </si>
  <si>
    <t>IDENTIF_AGT_CIV</t>
  </si>
  <si>
    <t>IDENTIF_AGT_EMAIL</t>
  </si>
  <si>
    <t>IDENTIF_AGT_NOM</t>
  </si>
  <si>
    <t>IDENTIF_AGT_SERVICE</t>
  </si>
  <si>
    <t>IDENTIF_AGT_TEL</t>
  </si>
  <si>
    <t>IDENTIF_BCE</t>
  </si>
  <si>
    <t>IDENTIF_BUDG_AB_CONV</t>
  </si>
  <si>
    <t>IDENTIF_BUDG_PROGRAMME_CONV</t>
  </si>
  <si>
    <t>IDENTIF_COMPTE_BIC</t>
  </si>
  <si>
    <t>IDENTIF_COMPTE_COM</t>
  </si>
  <si>
    <t>IDENTIF_COMPTE_N°IBAN</t>
  </si>
  <si>
    <t>IDENTIF_COMPTE_OUVERT_NOM_DE</t>
  </si>
  <si>
    <t>IDENTIF_DEB_DC</t>
  </si>
  <si>
    <t>IDENTIF_Durée_de_la_DC_en_mois</t>
  </si>
  <si>
    <t>IDENTIF_FIN_DC</t>
  </si>
  <si>
    <t>IDENTIF_LEGALE</t>
  </si>
  <si>
    <t>IDENTIF_MONTANT_SUBSIDE</t>
  </si>
  <si>
    <t>IDENTIF_NOM_PROJET</t>
  </si>
  <si>
    <t>IDENTIF_NOM_REQUERANT</t>
  </si>
  <si>
    <t>IDENTIF_TAUX_DE_FINANCEMENT</t>
  </si>
  <si>
    <t>IDENTIF_VISA_CONV</t>
  </si>
  <si>
    <t>MONTANT_DC_C3_FONDS_ROULEMENT_JUSTIFIE</t>
  </si>
  <si>
    <t>MONTANT_DC_C3_SOLDE_DESENGAGE</t>
  </si>
  <si>
    <t>MONTANT_DC_C3_TOT_LIQUIDE</t>
  </si>
  <si>
    <t>MONTANT_TOT_PERSO_DECL</t>
  </si>
  <si>
    <t>MONTANT_TOT_PERSO_ACC</t>
  </si>
  <si>
    <t>PL_ORDO_DC1</t>
  </si>
  <si>
    <t>SYNT_A_REMBOURSER</t>
  </si>
  <si>
    <t>SYNT_BUDGET_100</t>
  </si>
  <si>
    <t>SYNTH_ACC_1_100</t>
  </si>
  <si>
    <t>SYNTH_ACC_2_100</t>
  </si>
  <si>
    <t>SYNTH_DECL_1_100</t>
  </si>
  <si>
    <t>SYNTH_DECL_2_100</t>
  </si>
  <si>
    <t>SYNTH_DIFF_1</t>
  </si>
  <si>
    <t>SYNTH_DIFF_2</t>
  </si>
  <si>
    <t>SYNTH_DIFF_TOT</t>
  </si>
  <si>
    <t>SYNTH_FR</t>
  </si>
  <si>
    <t>SYNTH_FR_JUSTIF_1</t>
  </si>
  <si>
    <t>SYNTH_FR_JUSTIF_2</t>
  </si>
  <si>
    <t>SYNTH_FR_SOLDE_1</t>
  </si>
  <si>
    <t>SYNTH_FR_SOLDE_1_2</t>
  </si>
  <si>
    <t>SYNTH_FR_SOLDE_2</t>
  </si>
  <si>
    <t>SYNTH_MONTANT_LIQUIDE_1</t>
  </si>
  <si>
    <t>SYNTH_MONTANT_LIQUIDE_2</t>
  </si>
  <si>
    <t>SYNTH_PERSO_ACC_1</t>
  </si>
  <si>
    <t>SYNTH_PERSO_ACC_2</t>
  </si>
  <si>
    <t>SYNTH_PERSO_DECL_1</t>
  </si>
  <si>
    <t>SYNTH_PERSO_DECL_2</t>
  </si>
  <si>
    <t>SYNTH_SOLDE</t>
  </si>
  <si>
    <t>SYNTH_SST_ACC_1</t>
  </si>
  <si>
    <t>SYNTH_SST_ACC_2</t>
  </si>
  <si>
    <t>SYNTH_SST_DECL_1</t>
  </si>
  <si>
    <t>SYNTH_SST_DECL_2</t>
  </si>
  <si>
    <t>SYNTH_SUBSIDE</t>
  </si>
  <si>
    <t>SYNTH_SUBSIDE_SOLDE</t>
  </si>
  <si>
    <t>SYNTH_TOT_ACC_100</t>
  </si>
  <si>
    <t>SYNTH_TOT_DC_ACC</t>
  </si>
  <si>
    <t>SYNTH_TOT_DC_ACC_1</t>
  </si>
  <si>
    <t>SYNTH_TOT_DC_ACC_2</t>
  </si>
  <si>
    <t>SYNTH_TOT_DC_DECL</t>
  </si>
  <si>
    <t>SYNTH_TOT_DC_DECL_1</t>
  </si>
  <si>
    <t>SYNTH_TOT_DC_DECL_2</t>
  </si>
  <si>
    <t>SYNTH_TOT_DECL_100</t>
  </si>
  <si>
    <t>SYNTH_TOT_LIQUIDE_1_2</t>
  </si>
  <si>
    <t>SYNTH_TOT_PERSO_ACC</t>
  </si>
  <si>
    <t>SYNTH_TOT_PERSO_DECL</t>
  </si>
  <si>
    <t>SYNTH_TOT_SST_ACC</t>
  </si>
  <si>
    <t>SYNTH_TOT_SST_DECL</t>
  </si>
  <si>
    <t>TVA</t>
  </si>
  <si>
    <t>VOS_REF</t>
  </si>
  <si>
    <t>raison révision frais de personnel</t>
  </si>
  <si>
    <t>GT</t>
  </si>
  <si>
    <t>='5-Synthèse'!$L$21</t>
  </si>
  <si>
    <t>='5-Synthèse'!$C$11</t>
  </si>
  <si>
    <t>='5-Synthèse'!$E$11</t>
  </si>
  <si>
    <t>='5-Synthèse'!$G$11</t>
  </si>
  <si>
    <t>='5-Synthèse'!$D$11</t>
  </si>
  <si>
    <t>='5-Synthèse'!$F$11</t>
  </si>
  <si>
    <t>='5-Synthèse'!$E$16</t>
  </si>
  <si>
    <t>='5-Synthèse'!$G$16</t>
  </si>
  <si>
    <t>='5-Synthèse'!$J$16</t>
  </si>
  <si>
    <t>='5-Synthèse'!$C$20</t>
  </si>
  <si>
    <t>='5-Synthèse'!$E$21</t>
  </si>
  <si>
    <t>='5-Synthèse'!$G$21</t>
  </si>
  <si>
    <t>='5-Synthèse'!$E$22</t>
  </si>
  <si>
    <t>='5-Synthèse'!$J$21</t>
  </si>
  <si>
    <t>='5-Synthèse'!$G$22</t>
  </si>
  <si>
    <t>='5-Synthèse'!$E$18</t>
  </si>
  <si>
    <t>='5-Synthèse'!$G$18</t>
  </si>
  <si>
    <t>='5-Synthèse'!$E$8</t>
  </si>
  <si>
    <t>='5-Synthèse'!$G$8</t>
  </si>
  <si>
    <t>='5-Synthèse'!$D$8</t>
  </si>
  <si>
    <t>='5-Synthèse'!$F$8</t>
  </si>
  <si>
    <t>='5-Synthèse'!$L$18</t>
  </si>
  <si>
    <t>='5-Synthèse'!$E$10</t>
  </si>
  <si>
    <t>='5-Synthèse'!$G$10</t>
  </si>
  <si>
    <t>='5-Synthèse'!$D$10</t>
  </si>
  <si>
    <t>='5-Synthèse'!$F$10</t>
  </si>
  <si>
    <t>='5-Synthèse'!$C$14</t>
  </si>
  <si>
    <t>='5-Synthèse'!$L$14</t>
  </si>
  <si>
    <t>='5-Synthèse'!$J$11</t>
  </si>
  <si>
    <t>='5-Synthèse'!$J$14</t>
  </si>
  <si>
    <t>='5-Synthèse'!$E$14</t>
  </si>
  <si>
    <t>='5-Synthèse'!$G$14</t>
  </si>
  <si>
    <t>='5-Synthèse'!$I$14</t>
  </si>
  <si>
    <t>='5-Synthèse'!$D$14</t>
  </si>
  <si>
    <t>='5-Synthèse'!$F$14</t>
  </si>
  <si>
    <t>='5-Synthèse'!$I$11</t>
  </si>
  <si>
    <t>='5-Synthèse'!$J$18</t>
  </si>
  <si>
    <t>='5-Synthèse'!$J$8</t>
  </si>
  <si>
    <t>='5-Synthèse'!$I$8</t>
  </si>
  <si>
    <t>='5-Synthèse'!$J$10</t>
  </si>
  <si>
    <t>='5-Synthèse'!$I$10</t>
  </si>
  <si>
    <t>TAB_P20_RH</t>
  </si>
  <si>
    <t>='infos bénéficiaires'!$A$1:$N$155</t>
  </si>
  <si>
    <t>='1-Identification'!$B$15</t>
  </si>
  <si>
    <t>='4-Déclaration de créance'!$B$12</t>
  </si>
  <si>
    <t>Type de candidature</t>
  </si>
  <si>
    <t xml:space="preserve">Montant du subside </t>
  </si>
  <si>
    <t>CP</t>
  </si>
  <si>
    <t>Localite</t>
  </si>
  <si>
    <t>Aiseau-Presles</t>
  </si>
  <si>
    <t>20/20494 </t>
  </si>
  <si>
    <t>Amay</t>
  </si>
  <si>
    <t>20/20496 </t>
  </si>
  <si>
    <t>Andenne</t>
  </si>
  <si>
    <t>20/20492 </t>
  </si>
  <si>
    <t>Ans</t>
  </si>
  <si>
    <t>Arlon</t>
  </si>
  <si>
    <t>20/20495 </t>
  </si>
  <si>
    <t>Assesse</t>
  </si>
  <si>
    <t>Ath</t>
  </si>
  <si>
    <t>Aubange</t>
  </si>
  <si>
    <t>Aywaille</t>
  </si>
  <si>
    <t>Bastogne</t>
  </si>
  <si>
    <t>Beauraing</t>
  </si>
  <si>
    <t>Bertogne</t>
  </si>
  <si>
    <t>Bertrix</t>
  </si>
  <si>
    <t>Bouillon</t>
  </si>
  <si>
    <t>Braine-l'Alleud</t>
  </si>
  <si>
    <t>Braine-le-Château</t>
  </si>
  <si>
    <t>Braives</t>
  </si>
  <si>
    <t>20/20490 </t>
  </si>
  <si>
    <t>Namur</t>
  </si>
  <si>
    <t>Chapelle-lez-Herlaimont</t>
  </si>
  <si>
    <t>Charleroi</t>
  </si>
  <si>
    <t>Chaumont-Gistoux</t>
  </si>
  <si>
    <t>Chièvres</t>
  </si>
  <si>
    <t>Chiny</t>
  </si>
  <si>
    <t>Comines-Warneton</t>
  </si>
  <si>
    <t>BE26 0910 2139 8229</t>
  </si>
  <si>
    <t>Court-Saint-Etienne</t>
  </si>
  <si>
    <t>Couvin</t>
  </si>
  <si>
    <t>20/20491 </t>
  </si>
  <si>
    <t>Durbuy</t>
  </si>
  <si>
    <t>Eghezée</t>
  </si>
  <si>
    <t>Enghien</t>
  </si>
  <si>
    <t>Esneux</t>
  </si>
  <si>
    <t>20/20828</t>
  </si>
  <si>
    <t>Fauvillers</t>
  </si>
  <si>
    <t>Flémalle</t>
  </si>
  <si>
    <t>Fleurus</t>
  </si>
  <si>
    <t>Florennes</t>
  </si>
  <si>
    <t>Florenville</t>
  </si>
  <si>
    <t>Fontaine-l'Evêque</t>
  </si>
  <si>
    <t>Frameries</t>
  </si>
  <si>
    <t>20/21109</t>
  </si>
  <si>
    <t>Rendeux</t>
  </si>
  <si>
    <t>Gembloux</t>
  </si>
  <si>
    <t>Genappe</t>
  </si>
  <si>
    <t>Gerpinnes</t>
  </si>
  <si>
    <t>Gesves</t>
  </si>
  <si>
    <t>Gouvy</t>
  </si>
  <si>
    <t>Grâce-Hollogne</t>
  </si>
  <si>
    <t>Grez-Doiceau</t>
  </si>
  <si>
    <t>BE52 3631 6341 2809</t>
  </si>
  <si>
    <t>Modave</t>
  </si>
  <si>
    <t>Habay</t>
  </si>
  <si>
    <t>Hamoir</t>
  </si>
  <si>
    <t>Hastière</t>
  </si>
  <si>
    <t>Havelange</t>
  </si>
  <si>
    <t>Herbeumont</t>
  </si>
  <si>
    <t>Héron</t>
  </si>
  <si>
    <t>Hotton</t>
  </si>
  <si>
    <t>IDETA</t>
  </si>
  <si>
    <t>Ittre</t>
  </si>
  <si>
    <t>Jalhay</t>
  </si>
  <si>
    <t>Jodoigne</t>
  </si>
  <si>
    <t>La Hulpe</t>
  </si>
  <si>
    <t>La Louvière</t>
  </si>
  <si>
    <t>La Roche-en-Ardenne</t>
  </si>
  <si>
    <t>Lasne</t>
  </si>
  <si>
    <t>Les Bons Villers</t>
  </si>
  <si>
    <t>Lessines</t>
  </si>
  <si>
    <t>Libin</t>
  </si>
  <si>
    <t>Libramont-Chevigny</t>
  </si>
  <si>
    <t>Liège</t>
  </si>
  <si>
    <t>Limbourg</t>
  </si>
  <si>
    <t>20/20497</t>
  </si>
  <si>
    <t>Martelange</t>
  </si>
  <si>
    <t>Meix-devant-Virton</t>
  </si>
  <si>
    <t>Momignies</t>
  </si>
  <si>
    <t>Mons</t>
  </si>
  <si>
    <t>Mont-Saint-Guibert</t>
  </si>
  <si>
    <t>Mouscron</t>
  </si>
  <si>
    <t>Nassogne</t>
  </si>
  <si>
    <t>Neufchâteau</t>
  </si>
  <si>
    <t>Neupré</t>
  </si>
  <si>
    <t>Orp-Jauche</t>
  </si>
  <si>
    <t>Ottignies-Louvain-la-Neuve</t>
  </si>
  <si>
    <t>Oupeye</t>
  </si>
  <si>
    <t>Paliseul</t>
  </si>
  <si>
    <t>Marche-en-Famenne</t>
  </si>
  <si>
    <t>Péruwelz</t>
  </si>
  <si>
    <t>Perwez</t>
  </si>
  <si>
    <t>Philippeville</t>
  </si>
  <si>
    <t>Profondeville</t>
  </si>
  <si>
    <t>Province de Hainaut</t>
  </si>
  <si>
    <t>20/20488</t>
  </si>
  <si>
    <t>Province de Liège</t>
  </si>
  <si>
    <t>Province du Luxembourg</t>
  </si>
  <si>
    <t>Ramillies</t>
  </si>
  <si>
    <t>Rixensart</t>
  </si>
  <si>
    <t>Rochefort</t>
  </si>
  <si>
    <t>Rouvroy</t>
  </si>
  <si>
    <t>Rumes</t>
  </si>
  <si>
    <t>Saint-Georges-sur-Meuse</t>
  </si>
  <si>
    <t>Sambreville</t>
  </si>
  <si>
    <t>Seraing</t>
  </si>
  <si>
    <t>Sivry-Rance</t>
  </si>
  <si>
    <t>Somme-Leuze</t>
  </si>
  <si>
    <t>Soumagne</t>
  </si>
  <si>
    <t>Spa</t>
  </si>
  <si>
    <t>Sprimont</t>
  </si>
  <si>
    <t>Stavelot</t>
  </si>
  <si>
    <t>Stoumont</t>
  </si>
  <si>
    <t>Tintigny</t>
  </si>
  <si>
    <t>Verlaine</t>
  </si>
  <si>
    <t>Verviers</t>
  </si>
  <si>
    <t>Vielsalm</t>
  </si>
  <si>
    <t>Villers-le-Bouillet</t>
  </si>
  <si>
    <t>Virton</t>
  </si>
  <si>
    <t>Waimes</t>
  </si>
  <si>
    <t>Walhain</t>
  </si>
  <si>
    <t>Waremme</t>
  </si>
  <si>
    <t>Wasseiges</t>
  </si>
  <si>
    <t>Waterloo</t>
  </si>
  <si>
    <t>Wavre</t>
  </si>
  <si>
    <t>Welkenraedt</t>
  </si>
  <si>
    <t>Num_visa</t>
  </si>
  <si>
    <t>Rubrique</t>
  </si>
  <si>
    <t>Email GT</t>
  </si>
  <si>
    <t>Madame</t>
  </si>
  <si>
    <t>Oui</t>
  </si>
  <si>
    <t>HTVA</t>
  </si>
  <si>
    <t>Janvier</t>
  </si>
  <si>
    <t>zelie.mulders@spw.wallonie.be</t>
  </si>
  <si>
    <t>Monsieur</t>
  </si>
  <si>
    <t>Non</t>
  </si>
  <si>
    <t>Sara Piccirilli</t>
  </si>
  <si>
    <t>TVAC</t>
  </si>
  <si>
    <t>Février</t>
  </si>
  <si>
    <t>sara.piccirilli@spw.wallonie.be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</si>
  <si>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</si>
  <si>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</si>
  <si>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</si>
  <si>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</si>
  <si>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</si>
  <si>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</si>
  <si>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</si>
  <si>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</si>
  <si>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</si>
  <si>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</si>
  <si>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Vaux-sur-Sûre</t>
  </si>
  <si>
    <t>Saint-Hubert</t>
  </si>
  <si>
    <t>Onhaye</t>
  </si>
  <si>
    <t>Wellin</t>
  </si>
  <si>
    <t>Ohey</t>
  </si>
  <si>
    <t>Bassenge</t>
  </si>
  <si>
    <t>Hannut</t>
  </si>
  <si>
    <t>Thuin</t>
  </si>
  <si>
    <t>Léglise</t>
  </si>
  <si>
    <t>Soignies</t>
  </si>
  <si>
    <t>Boussu</t>
  </si>
  <si>
    <t>Walcourt</t>
  </si>
  <si>
    <t>Burdinne</t>
  </si>
  <si>
    <t>Hensies</t>
  </si>
  <si>
    <t>Seneffe</t>
  </si>
  <si>
    <t>Visé</t>
  </si>
  <si>
    <t>Floreffe</t>
  </si>
  <si>
    <t>Chaudfontaine</t>
  </si>
  <si>
    <t>Nivelles</t>
  </si>
  <si>
    <t>0207691846</t>
  </si>
  <si>
    <t>0206564666</t>
  </si>
  <si>
    <t>0206705713</t>
  </si>
  <si>
    <t>0206565755</t>
  </si>
  <si>
    <t>0207358581</t>
  </si>
  <si>
    <t>0207338884</t>
  </si>
  <si>
    <t>0207376991</t>
  </si>
  <si>
    <t>0207307311</t>
  </si>
  <si>
    <t>0206567339</t>
  </si>
  <si>
    <t>0207298995</t>
  </si>
  <si>
    <t>0207286129</t>
  </si>
  <si>
    <t>0206625935</t>
  </si>
  <si>
    <t>0207353831</t>
  </si>
  <si>
    <t>0207410546</t>
  </si>
  <si>
    <t>0207283951</t>
  </si>
  <si>
    <t>0207369271</t>
  </si>
  <si>
    <t>0207355811</t>
  </si>
  <si>
    <t>0207339973</t>
  </si>
  <si>
    <t>0206642563</t>
  </si>
  <si>
    <r>
      <t xml:space="preserve">la déclaration de créance signée </t>
    </r>
    <r>
      <rPr>
        <sz val="11"/>
        <color rgb="FFFF0000"/>
        <rFont val="Calibri"/>
        <family val="2"/>
      </rPr>
      <t>électroniquement</t>
    </r>
    <r>
      <rPr>
        <sz val="11"/>
        <color theme="1"/>
        <rFont val="Calibri"/>
        <family val="2"/>
      </rPr>
      <t xml:space="preserve"> en format PDF </t>
    </r>
  </si>
  <si>
    <t>Date de début possible du subside :</t>
  </si>
  <si>
    <t>Appel</t>
  </si>
  <si>
    <t>Montant_subside</t>
  </si>
  <si>
    <t>VISA</t>
  </si>
  <si>
    <t>Civilité</t>
  </si>
  <si>
    <t>O_N</t>
  </si>
  <si>
    <t xml:space="preserve">Gestionnaire  </t>
  </si>
  <si>
    <t>TVAC_HTVA</t>
  </si>
  <si>
    <t>Email-Gestionnaire</t>
  </si>
  <si>
    <t>Date de fin du contrat (si spécifiée)</t>
  </si>
  <si>
    <t xml:space="preserve">***Autres charges </t>
  </si>
  <si>
    <t>***Autres charges</t>
  </si>
  <si>
    <t>Durée de la DC en mois* :</t>
  </si>
  <si>
    <r>
      <rPr>
        <b/>
        <sz val="11"/>
        <color theme="1"/>
        <rFont val="Calibri"/>
        <family val="2"/>
      </rPr>
      <t xml:space="preserve">Le gestionnaire technique </t>
    </r>
    <r>
      <rPr>
        <sz val="11"/>
        <color theme="1"/>
        <rFont val="Calibri"/>
        <family val="2"/>
      </rPr>
      <t>a examiné l'ensenble des pièces justificatives</t>
    </r>
  </si>
  <si>
    <t xml:space="preserve">le  </t>
  </si>
  <si>
    <t>N° d'engagement juridique * :</t>
  </si>
  <si>
    <t>EJ</t>
  </si>
  <si>
    <t>Fonds de roulement liquidé</t>
  </si>
  <si>
    <t xml:space="preserve">BUDGET
</t>
  </si>
  <si>
    <t>Votre organisme est-il assujetti à la TVA dans le cadre de ce subside ?</t>
  </si>
  <si>
    <t>Cécile Batungwanayo</t>
  </si>
  <si>
    <t>Guillaume Campion</t>
  </si>
  <si>
    <t>Solde subvention</t>
  </si>
  <si>
    <t xml:space="preserve">Numéro d'engagement juridique </t>
  </si>
  <si>
    <t xml:space="preserve">Fonds de roulement déjà justifié par ancienne(s) DC </t>
  </si>
  <si>
    <t>Cette DC</t>
  </si>
  <si>
    <t>Ancienne(s) DC</t>
  </si>
  <si>
    <t>Montant total validé (après cette DC)</t>
  </si>
  <si>
    <t>Solde Fonds de roulement non justifié après cette DC</t>
  </si>
  <si>
    <t>POLLEC 2022</t>
  </si>
  <si>
    <t>BCE</t>
  </si>
  <si>
    <t>0216690971</t>
  </si>
  <si>
    <t>0207330471</t>
  </si>
  <si>
    <t>0207258514</t>
  </si>
  <si>
    <t>0207298106</t>
  </si>
  <si>
    <t>Anderlues</t>
  </si>
  <si>
    <t>0206701159</t>
  </si>
  <si>
    <t>Anhée</t>
  </si>
  <si>
    <t>0207338092</t>
  </si>
  <si>
    <t>0216693545</t>
  </si>
  <si>
    <t>Anthisnes</t>
  </si>
  <si>
    <t>0206524876</t>
  </si>
  <si>
    <t>0207350762</t>
  </si>
  <si>
    <t>0207281476</t>
  </si>
  <si>
    <t>0207380555</t>
  </si>
  <si>
    <t>0207338686</t>
  </si>
  <si>
    <t>0206524975</t>
  </si>
  <si>
    <t>0207394116</t>
  </si>
  <si>
    <t>0219802592</t>
  </si>
  <si>
    <t>BEP</t>
  </si>
  <si>
    <t>0207374617</t>
  </si>
  <si>
    <t>Berloz</t>
  </si>
  <si>
    <t>0207382733</t>
  </si>
  <si>
    <t>0206567042</t>
  </si>
  <si>
    <t>0206544969</t>
  </si>
  <si>
    <t>0207312952</t>
  </si>
  <si>
    <t>0207315229</t>
  </si>
  <si>
    <t>0207375310</t>
  </si>
  <si>
    <t>0207308596</t>
  </si>
  <si>
    <t>Celles (lez-Tournai)</t>
  </si>
  <si>
    <t>0207284248</t>
  </si>
  <si>
    <t>0207310774</t>
  </si>
  <si>
    <t>0207274647</t>
  </si>
  <si>
    <t>0207316714</t>
  </si>
  <si>
    <t>0207348584</t>
  </si>
  <si>
    <t>0206701753</t>
  </si>
  <si>
    <t>Ciney</t>
  </si>
  <si>
    <t>0207355118</t>
  </si>
  <si>
    <t>Clavier</t>
  </si>
  <si>
    <t>0207293651</t>
  </si>
  <si>
    <t>0206491422</t>
  </si>
  <si>
    <t>0206626925</t>
  </si>
  <si>
    <t>0207376102</t>
  </si>
  <si>
    <t>Donceel</t>
  </si>
  <si>
    <t>0207286822</t>
  </si>
  <si>
    <t>Dour</t>
  </si>
  <si>
    <t>0207386196</t>
  </si>
  <si>
    <t>0216691961</t>
  </si>
  <si>
    <t>Écaussinnes</t>
  </si>
  <si>
    <t>0207359967</t>
  </si>
  <si>
    <t>0206667606</t>
  </si>
  <si>
    <t>0207340963</t>
  </si>
  <si>
    <t>0207348782</t>
  </si>
  <si>
    <t>Étalle</t>
  </si>
  <si>
    <t>0207692143</t>
  </si>
  <si>
    <t>Faimes</t>
  </si>
  <si>
    <t>0207383129</t>
  </si>
  <si>
    <t>0216697307</t>
  </si>
  <si>
    <t>Fernelmont</t>
  </si>
  <si>
    <t>0207333837</t>
  </si>
  <si>
    <t>Ferrières</t>
  </si>
  <si>
    <t>0207376397</t>
  </si>
  <si>
    <t>Fexhe-le-Haut-Clocher</t>
  </si>
  <si>
    <t>0216694337</t>
  </si>
  <si>
    <t>0207313348</t>
  </si>
  <si>
    <t>0206703040</t>
  </si>
  <si>
    <t>0207348980</t>
  </si>
  <si>
    <t>0207284347</t>
  </si>
  <si>
    <t>0206690271</t>
  </si>
  <si>
    <t>Fosses-la-Ville</t>
  </si>
  <si>
    <t>0207287713</t>
  </si>
  <si>
    <t>0216690773</t>
  </si>
  <si>
    <t>Frasnes-lez-Anvaing</t>
  </si>
  <si>
    <t>0808647923</t>
  </si>
  <si>
    <t>GAL Pays des Condruses</t>
  </si>
  <si>
    <t>0207376595</t>
  </si>
  <si>
    <t>Geer</t>
  </si>
  <si>
    <t>0216697505</t>
  </si>
  <si>
    <t>0207274350</t>
  </si>
  <si>
    <t>0207282169</t>
  </si>
  <si>
    <t>0207362343</t>
  </si>
  <si>
    <t>0216695525</t>
  </si>
  <si>
    <t>0207691747</t>
  </si>
  <si>
    <t>0207227731</t>
  </si>
  <si>
    <t>0216696317</t>
  </si>
  <si>
    <t>0207333441</t>
  </si>
  <si>
    <t>0216696713</t>
  </si>
  <si>
    <t>0207396490</t>
  </si>
  <si>
    <t>0216689387</t>
  </si>
  <si>
    <t>Hélécine</t>
  </si>
  <si>
    <t>0206565953</t>
  </si>
  <si>
    <t>0207333738</t>
  </si>
  <si>
    <t>0206544474</t>
  </si>
  <si>
    <t>0206704525</t>
  </si>
  <si>
    <t>Houyet</t>
  </si>
  <si>
    <t>0207334332</t>
  </si>
  <si>
    <t>Huy</t>
  </si>
  <si>
    <t>0241098844</t>
  </si>
  <si>
    <t>0201741786</t>
  </si>
  <si>
    <t>IGRETEC</t>
  </si>
  <si>
    <t>0200362210</t>
  </si>
  <si>
    <t>In BW</t>
  </si>
  <si>
    <t>0216881904</t>
  </si>
  <si>
    <t>IPALLE</t>
  </si>
  <si>
    <t>0207279793</t>
  </si>
  <si>
    <t>0207402628</t>
  </si>
  <si>
    <t>0216697703</t>
  </si>
  <si>
    <t>Jemeppe-sur-Sambre</t>
  </si>
  <si>
    <t>0216379185</t>
  </si>
  <si>
    <t>0207282268</t>
  </si>
  <si>
    <t>0871429489</t>
  </si>
  <si>
    <t>0206578722</t>
  </si>
  <si>
    <t>0216689585</t>
  </si>
  <si>
    <t>0216691169</t>
  </si>
  <si>
    <t>0207297116</t>
  </si>
  <si>
    <t>0216693149</t>
  </si>
  <si>
    <t>Leuze-en-Hainaut</t>
  </si>
  <si>
    <t>0206564963</t>
  </si>
  <si>
    <t>0216696119</t>
  </si>
  <si>
    <t>0207343933</t>
  </si>
  <si>
    <t>0206621183</t>
  </si>
  <si>
    <t>0206700763</t>
  </si>
  <si>
    <t>Malmédy</t>
  </si>
  <si>
    <t>0207347891</t>
  </si>
  <si>
    <t>0207334035</t>
  </si>
  <si>
    <t>Marchin</t>
  </si>
  <si>
    <t>0207381446</t>
  </si>
  <si>
    <t>0207391443</t>
  </si>
  <si>
    <t>0207303747</t>
  </si>
  <si>
    <t>Merbes-le-Château</t>
  </si>
  <si>
    <t>0207365016</t>
  </si>
  <si>
    <t>Mettet</t>
  </si>
  <si>
    <t>0207334134</t>
  </si>
  <si>
    <t>0207303054</t>
  </si>
  <si>
    <t>0207656808</t>
  </si>
  <si>
    <t>0206491917</t>
  </si>
  <si>
    <t>0207294443</t>
  </si>
  <si>
    <t>0207362739</t>
  </si>
  <si>
    <t>0207334431</t>
  </si>
  <si>
    <t>Nandrin</t>
  </si>
  <si>
    <t>0207401935</t>
  </si>
  <si>
    <t>0206543781</t>
  </si>
  <si>
    <t>0216694535</t>
  </si>
  <si>
    <t>0216689783</t>
  </si>
  <si>
    <t>0216689981</t>
  </si>
  <si>
    <t>0207334728</t>
  </si>
  <si>
    <t>Ouffet</t>
  </si>
  <si>
    <t>0207345418</t>
  </si>
  <si>
    <t>0206566052</t>
  </si>
  <si>
    <t>0207148250</t>
  </si>
  <si>
    <t>0206492610</t>
  </si>
  <si>
    <t>0206626331</t>
  </si>
  <si>
    <t>0216695129</t>
  </si>
  <si>
    <t>Plombières</t>
  </si>
  <si>
    <t>0859743068</t>
  </si>
  <si>
    <t>PNDG</t>
  </si>
  <si>
    <t>0207283654</t>
  </si>
  <si>
    <t>Pont-à-Celles</t>
  </si>
  <si>
    <t>0207372043</t>
  </si>
  <si>
    <t>0207656610</t>
  </si>
  <si>
    <t>0207725104</t>
  </si>
  <si>
    <t>0207725401</t>
  </si>
  <si>
    <t>0216691763</t>
  </si>
  <si>
    <t>Quévy</t>
  </si>
  <si>
    <t>0216690179</t>
  </si>
  <si>
    <t>0207387978</t>
  </si>
  <si>
    <t>0207277617</t>
  </si>
  <si>
    <t>0206706109</t>
  </si>
  <si>
    <t>0216696515</t>
  </si>
  <si>
    <t>0207355019</t>
  </si>
  <si>
    <t>0216695723</t>
  </si>
  <si>
    <t>Sainte-Ode</t>
  </si>
  <si>
    <t>0207379466</t>
  </si>
  <si>
    <t>0216697109</t>
  </si>
  <si>
    <t>0207347002</t>
  </si>
  <si>
    <t>0216692753</t>
  </si>
  <si>
    <t>0207361452</t>
  </si>
  <si>
    <t>Sombreffe</t>
  </si>
  <si>
    <t>0207399757</t>
  </si>
  <si>
    <t>0207347396</t>
  </si>
  <si>
    <t>0206768366</t>
  </si>
  <si>
    <t>0207347495</t>
  </si>
  <si>
    <t>0207403915</t>
  </si>
  <si>
    <t>0207404014</t>
  </si>
  <si>
    <t>0206578821</t>
  </si>
  <si>
    <t>Tenneville</t>
  </si>
  <si>
    <t>0207373627</t>
  </si>
  <si>
    <t>Theux</t>
  </si>
  <si>
    <t>0216693941</t>
  </si>
  <si>
    <t>Tinlot</t>
  </si>
  <si>
    <t>0207392928</t>
  </si>
  <si>
    <t>0207336213</t>
  </si>
  <si>
    <t>0206644741</t>
  </si>
  <si>
    <t>0207384812</t>
  </si>
  <si>
    <t>0207336708</t>
  </si>
  <si>
    <t>0206524777</t>
  </si>
  <si>
    <t>0216696911</t>
  </si>
  <si>
    <t>Vresse-sur-Semois</t>
  </si>
  <si>
    <t>0207403222</t>
  </si>
  <si>
    <t>0216690575</t>
  </si>
  <si>
    <t>0207337104</t>
  </si>
  <si>
    <t>Wanze</t>
  </si>
  <si>
    <t>0207380159</t>
  </si>
  <si>
    <t>0207380258</t>
  </si>
  <si>
    <t>0207277122</t>
  </si>
  <si>
    <t>0207316021</t>
  </si>
  <si>
    <t>0206621975</t>
  </si>
  <si>
    <t>0206706604</t>
  </si>
  <si>
    <t>Yvoir</t>
  </si>
  <si>
    <t>POLLEC 2022 - RH</t>
  </si>
  <si>
    <t>N° de compte</t>
  </si>
  <si>
    <t>AB</t>
  </si>
  <si>
    <t>N° AM</t>
  </si>
  <si>
    <t>Pr16.083_43.01.22</t>
  </si>
  <si>
    <t>P22-RH1</t>
  </si>
  <si>
    <t>Pr 16.083.43.03.53 </t>
  </si>
  <si>
    <t>P22-RH_interco</t>
  </si>
  <si>
    <t>Pr16.083.43.04.12 </t>
  </si>
  <si>
    <t>P22-RH_Provinces</t>
  </si>
  <si>
    <t>P22-RH_interco2</t>
  </si>
  <si>
    <t xml:space="preserve">PR 16 083.043-31.04.22 </t>
  </si>
  <si>
    <t>P22-RH_interco3</t>
  </si>
  <si>
    <t>P22-RH6</t>
  </si>
  <si>
    <t>P22-RH7</t>
  </si>
  <si>
    <t>P22-RH2</t>
  </si>
  <si>
    <t>P22-RH3</t>
  </si>
  <si>
    <t>P22-RH4</t>
  </si>
  <si>
    <t>P22-RH5</t>
  </si>
  <si>
    <t>BE 84 091 0016908 59</t>
  </si>
  <si>
    <t>BE 44 091 0105164 45</t>
  </si>
  <si>
    <t>BE 73 091 0007403 60</t>
  </si>
  <si>
    <t>BE 37 192 2088881 28</t>
  </si>
  <si>
    <t>BE18 7320 3516 3965</t>
  </si>
  <si>
    <t>BE 83 091 0005515 15</t>
  </si>
  <si>
    <t>BE 36 091 0101320 81</t>
  </si>
  <si>
    <t>BE 67 091 0005684 87</t>
  </si>
  <si>
    <t>rue</t>
  </si>
  <si>
    <t>numero</t>
  </si>
  <si>
    <t>INFORMATIONS GÉNÉRALES</t>
  </si>
  <si>
    <t>POLLEC 2022-RH</t>
  </si>
  <si>
    <t>SUBSIDE</t>
  </si>
  <si>
    <r>
      <t xml:space="preserve">DÉCLARATION DE CRÉANCE 
</t>
    </r>
    <r>
      <rPr>
        <b/>
        <i/>
        <u/>
        <sz val="11"/>
        <color theme="1" tint="0.499984740745262"/>
        <rFont val="Calibri"/>
        <family val="2"/>
      </rPr>
      <t xml:space="preserve">*Attention le coordinateur POLLEC Communal peut être financé au maximum pour 36 mois ( pas forcément continus) </t>
    </r>
  </si>
  <si>
    <t>Engagement juridique (obligatoire):</t>
  </si>
  <si>
    <t>Correspondant comptable</t>
  </si>
  <si>
    <t>Muriel HOOGSTOEL +32 (0)8148.63.30
muriel.hoogstoel@spw.wallonie.be</t>
  </si>
  <si>
    <r>
      <rPr>
        <b/>
        <sz val="12"/>
        <color theme="1"/>
        <rFont val="Calibri"/>
        <family val="2"/>
        <scheme val="minor"/>
      </rPr>
      <t>Numéro BCE/TVA du SPW</t>
    </r>
    <r>
      <rPr>
        <sz val="12"/>
        <color theme="1"/>
        <rFont val="Calibri"/>
        <family val="2"/>
        <scheme val="minor"/>
      </rPr>
      <t xml:space="preserve"> : 0316.381.138</t>
    </r>
  </si>
  <si>
    <r>
      <t>DC_</t>
    </r>
    <r>
      <rPr>
        <i/>
        <sz val="11"/>
        <color theme="1"/>
        <rFont val="Calibri"/>
        <family val="2"/>
      </rPr>
      <t>N°DC</t>
    </r>
    <r>
      <rPr>
        <sz val="11"/>
        <color theme="1"/>
        <rFont val="Calibri"/>
        <family val="2"/>
      </rPr>
      <t>_POLLEC22_RH_</t>
    </r>
    <r>
      <rPr>
        <i/>
        <sz val="11"/>
        <color theme="1"/>
        <rFont val="Calibri"/>
        <family val="2"/>
      </rPr>
      <t>Nom du bénéficiaire</t>
    </r>
  </si>
  <si>
    <t>Ref AM</t>
  </si>
  <si>
    <t>Date AM</t>
  </si>
  <si>
    <t xml:space="preserve"> du 08-06-2023</t>
  </si>
  <si>
    <t>Total</t>
  </si>
  <si>
    <t>INFORMATIONS SUR LE(s) CPC en fonction</t>
  </si>
  <si>
    <t>NB: si le nombre de lignes ne suffit pas veuiller utiliser le bouton "Insérer" dans la barre d'outils (onglet Accueil) OU faire Clique droit -&gt; Insérer -&gt; Ligne de tableau</t>
  </si>
  <si>
    <t>Arrièrés2</t>
  </si>
  <si>
    <t>****Avantages extra-légaux3</t>
  </si>
  <si>
    <t>*****Indemnités perçues4</t>
  </si>
  <si>
    <t>N° Engagement juridique</t>
  </si>
  <si>
    <t>N° engagement juridique</t>
  </si>
  <si>
    <t>Altais</t>
  </si>
  <si>
    <t>﻿2023-048518</t>
  </si>
  <si>
    <t>﻿2023-048964</t>
  </si>
  <si>
    <t>﻿2023-049018</t>
  </si>
  <si>
    <t>﻿2023-048948</t>
  </si>
  <si>
    <t>﻿2023-048678</t>
  </si>
  <si>
    <t>﻿2023-048862</t>
  </si>
  <si>
    <t>﻿2023-048806</t>
  </si>
  <si>
    <t>﻿2023-048957</t>
  </si>
  <si>
    <t>﻿2023-048841</t>
  </si>
  <si>
    <t>﻿2023-048902</t>
  </si>
  <si>
    <t>﻿2023-048577</t>
  </si>
  <si>
    <t>﻿2023-048476</t>
  </si>
  <si>
    <t>﻿2023-048771</t>
  </si>
  <si>
    <t>﻿2023-048921</t>
  </si>
  <si>
    <t>﻿2023-048719</t>
  </si>
  <si>
    <t>﻿2023-048694</t>
  </si>
  <si>
    <t>﻿2023-048534</t>
  </si>
  <si>
    <t>﻿2023-048810</t>
  </si>
  <si>
    <t>﻿2023-048617</t>
  </si>
  <si>
    <t>﻿2023-048958</t>
  </si>
  <si>
    <t>﻿2023-048336</t>
  </si>
  <si>
    <t>﻿2023-048692</t>
  </si>
  <si>
    <t>﻿2023-048839</t>
  </si>
  <si>
    <t>﻿2023-048606</t>
  </si>
  <si>
    <t>﻿2023-048855</t>
  </si>
  <si>
    <t>﻿2023-048466</t>
  </si>
  <si>
    <t>﻿2022-045879</t>
  </si>
  <si>
    <t>﻿2023-048154</t>
  </si>
  <si>
    <t>﻿2023-048818</t>
  </si>
  <si>
    <t>﻿2023-048798</t>
  </si>
  <si>
    <t>﻿2023-047390</t>
  </si>
  <si>
    <t>﻿2023-048966</t>
  </si>
  <si>
    <t>﻿2023-048837</t>
  </si>
  <si>
    <t>﻿2023-048930</t>
  </si>
  <si>
    <t>﻿2023-048779</t>
  </si>
  <si>
    <t>﻿2023-048294</t>
  </si>
  <si>
    <t>﻿2023-048624</t>
  </si>
  <si>
    <t>﻿2023-048970</t>
  </si>
  <si>
    <t>﻿2023-048784</t>
  </si>
  <si>
    <t>﻿2023-048835</t>
  </si>
  <si>
    <t>﻿2023-048715</t>
  </si>
  <si>
    <t>﻿2023-048933</t>
  </si>
  <si>
    <t>﻿2023-048859</t>
  </si>
  <si>
    <t>﻿2023-048963</t>
  </si>
  <si>
    <t>﻿2023-048507</t>
  </si>
  <si>
    <t>﻿2023-048745</t>
  </si>
  <si>
    <t>﻿2023-048853</t>
  </si>
  <si>
    <t>﻿2023-048766</t>
  </si>
  <si>
    <t>﻿2023-048976</t>
  </si>
  <si>
    <t>﻿2023-048505</t>
  </si>
  <si>
    <t>﻿2023-048737</t>
  </si>
  <si>
    <t>﻿2023-048525</t>
  </si>
  <si>
    <t>﻿2023-048690</t>
  </si>
  <si>
    <t>﻿2023-048940</t>
  </si>
  <si>
    <t>﻿2023-048944</t>
  </si>
  <si>
    <t>﻿2023-048646</t>
  </si>
  <si>
    <t>﻿2023-048720</t>
  </si>
  <si>
    <t>﻿2023-048905</t>
  </si>
  <si>
    <t>﻿2023-048687</t>
  </si>
  <si>
    <t>2023-GAL1</t>
  </si>
  <si>
    <t>﻿2023-048679</t>
  </si>
  <si>
    <t>﻿2023-048910</t>
  </si>
  <si>
    <t>﻿2023-048949</t>
  </si>
  <si>
    <t>﻿2023-048932</t>
  </si>
  <si>
    <t>﻿2023-048595</t>
  </si>
  <si>
    <t>﻿2023-048697</t>
  </si>
  <si>
    <t>﻿2023-048698</t>
  </si>
  <si>
    <t>﻿2023-048805</t>
  </si>
  <si>
    <t>﻿2023-048840</t>
  </si>
  <si>
    <t>﻿2023-048655</t>
  </si>
  <si>
    <t>﻿2023-048389</t>
  </si>
  <si>
    <t>﻿2023-048659</t>
  </si>
  <si>
    <t>﻿2023-048596</t>
  </si>
  <si>
    <t>﻿2023-048781</t>
  </si>
  <si>
    <t>﻿2023-048585</t>
  </si>
  <si>
    <t>﻿2023-048971</t>
  </si>
  <si>
    <t>﻿2023-048582</t>
  </si>
  <si>
    <t>﻿2023-048717</t>
  </si>
  <si>
    <t>﻿2023-048736</t>
  </si>
  <si>
    <t>﻿2023-048879</t>
  </si>
  <si>
    <t>﻿2023-048931</t>
  </si>
  <si>
    <t>﻿2023-048732</t>
  </si>
  <si>
    <t>﻿2023-048926</t>
  </si>
  <si>
    <t>﻿2023-048741</t>
  </si>
  <si>
    <t>﻿2023-048942</t>
  </si>
  <si>
    <t>﻿2023-048934</t>
  </si>
  <si>
    <t>﻿2023-048512</t>
  </si>
  <si>
    <t>﻿2023-048656</t>
  </si>
  <si>
    <t>﻿2023-048945</t>
  </si>
  <si>
    <t>﻿2023-048471</t>
  </si>
  <si>
    <t>﻿2023-048870</t>
  </si>
  <si>
    <t>﻿2023-048857</t>
  </si>
  <si>
    <t>﻿2023-048628</t>
  </si>
  <si>
    <t>﻿2023-048947</t>
  </si>
  <si>
    <t>﻿2023-048799</t>
  </si>
  <si>
    <t>﻿2023-048682</t>
  </si>
  <si>
    <t>﻿2023-048186</t>
  </si>
  <si>
    <t>﻿2023-048965</t>
  </si>
  <si>
    <t>﻿2023-048946</t>
  </si>
  <si>
    <t>﻿2023-048919</t>
  </si>
  <si>
    <t>﻿2023-048597</t>
  </si>
  <si>
    <t>﻿2023-048598</t>
  </si>
  <si>
    <t>﻿2023-048834</t>
  </si>
  <si>
    <t>﻿2023-048498</t>
  </si>
  <si>
    <t>﻿2023-048730</t>
  </si>
  <si>
    <t>﻿2023-048843</t>
  </si>
  <si>
    <t>﻿2023-048860</t>
  </si>
  <si>
    <t>﻿2023-048968</t>
  </si>
  <si>
    <t>﻿2023-048157</t>
  </si>
  <si>
    <t>﻿2023-048782</t>
  </si>
  <si>
    <t>﻿2023-048811</t>
  </si>
  <si>
    <t>﻿2023-048969</t>
  </si>
  <si>
    <t>﻿2023-048639</t>
  </si>
  <si>
    <t>﻿2023-048623</t>
  </si>
  <si>
    <t>﻿2023-047538</t>
  </si>
  <si>
    <t>﻿2023-048576</t>
  </si>
  <si>
    <t>﻿2023-048532</t>
  </si>
  <si>
    <t>﻿2023-048472</t>
  </si>
  <si>
    <t>﻿2023-048752</t>
  </si>
  <si>
    <t>﻿2023-048960</t>
  </si>
  <si>
    <t>﻿2023-048479</t>
  </si>
  <si>
    <t>﻿2023-048553</t>
  </si>
  <si>
    <t>﻿2023-048901</t>
  </si>
  <si>
    <t>﻿2023-048941</t>
  </si>
  <si>
    <t>﻿2023-048611</t>
  </si>
  <si>
    <t>﻿2023-048660</t>
  </si>
  <si>
    <t>﻿2023-048813</t>
  </si>
  <si>
    <t>﻿2023-048695</t>
  </si>
  <si>
    <t>2023-GAL2</t>
  </si>
  <si>
    <t>﻿2023-048956</t>
  </si>
  <si>
    <t>﻿2023-048575</t>
  </si>
  <si>
    <t>﻿2023-047766</t>
  </si>
  <si>
    <t>﻿2023-048552</t>
  </si>
  <si>
    <t>﻿2023-048496</t>
  </si>
  <si>
    <t>﻿2023-048953</t>
  </si>
  <si>
    <t>﻿2023-048915</t>
  </si>
  <si>
    <t>﻿2023-048803</t>
  </si>
  <si>
    <t>﻿2023-048591</t>
  </si>
  <si>
    <t>﻿2023-048726</t>
  </si>
  <si>
    <t>﻿2023-048812</t>
  </si>
  <si>
    <t>﻿2023-048776</t>
  </si>
  <si>
    <t>﻿2023-048601</t>
  </si>
  <si>
    <t>﻿2023-048619</t>
  </si>
  <si>
    <t>﻿2023-048470</t>
  </si>
  <si>
    <t>﻿2023-048898</t>
  </si>
  <si>
    <t>﻿2023-048900</t>
  </si>
  <si>
    <t>﻿2023-048831</t>
  </si>
  <si>
    <t>﻿2023-048864</t>
  </si>
  <si>
    <t>﻿2023-048925</t>
  </si>
  <si>
    <t>﻿2023-048651</t>
  </si>
  <si>
    <t>﻿2023-048820</t>
  </si>
  <si>
    <t>﻿2023-048716</t>
  </si>
  <si>
    <t>﻿2023-048788</t>
  </si>
  <si>
    <t>﻿2023-048573</t>
  </si>
  <si>
    <t>﻿2023-048863</t>
  </si>
  <si>
    <t>﻿2023-048699</t>
  </si>
  <si>
    <t>﻿2023-048650</t>
  </si>
  <si>
    <t>﻿2023-048634</t>
  </si>
  <si>
    <t>﻿2023-048821</t>
  </si>
  <si>
    <t>﻿2023-048912</t>
  </si>
  <si>
    <t>﻿2023-048959</t>
  </si>
  <si>
    <t>﻿2023-048268</t>
  </si>
  <si>
    <t>﻿2023-048665</t>
  </si>
  <si>
    <t>﻿2023-048827</t>
  </si>
  <si>
    <t>﻿2023-048950</t>
  </si>
  <si>
    <t>﻿2023-048795</t>
  </si>
  <si>
    <t>﻿2023-048490</t>
  </si>
  <si>
    <t>﻿2023-048608</t>
  </si>
  <si>
    <t>﻿2023-048935</t>
  </si>
  <si>
    <t>﻿2023-048937</t>
  </si>
  <si>
    <t>﻿2023-048612</t>
  </si>
  <si>
    <t>﻿2023-048967</t>
  </si>
  <si>
    <t>﻿2023-048321</t>
  </si>
  <si>
    <t>﻿2023-048765</t>
  </si>
  <si>
    <t>﻿2023-048790</t>
  </si>
  <si>
    <t>﻿2023-048727</t>
  </si>
  <si>
    <t>﻿2023-048929</t>
  </si>
  <si>
    <t>﻿2023-048739</t>
  </si>
  <si>
    <t>﻿2023-048908</t>
  </si>
  <si>
    <t>﻿2023-048570</t>
  </si>
  <si>
    <t>BE 98 091 0003556 93</t>
  </si>
  <si>
    <t>Rue Président John Kennedy(RO)</t>
  </si>
  <si>
    <t>150</t>
  </si>
  <si>
    <t>6250</t>
  </si>
  <si>
    <t>Arrêté ministériel POLLEC 22 - P22-RH1 du 08-06-2023</t>
  </si>
  <si>
    <t>BE 88 091 0004086 41</t>
  </si>
  <si>
    <t>Chaussée Freddy Terwagne(AMA)</t>
  </si>
  <si>
    <t>76</t>
  </si>
  <si>
    <t>4540</t>
  </si>
  <si>
    <t>BE 49 091 0005183 71</t>
  </si>
  <si>
    <t>Place du Chapitre</t>
  </si>
  <si>
    <t>7</t>
  </si>
  <si>
    <t>5300</t>
  </si>
  <si>
    <t>BE 21 091 0003563 03</t>
  </si>
  <si>
    <t>Place Albert Ier</t>
  </si>
  <si>
    <t>21</t>
  </si>
  <si>
    <t>6150</t>
  </si>
  <si>
    <t>BE 03 091 0005196 84</t>
  </si>
  <si>
    <t>Place Communale</t>
  </si>
  <si>
    <t>6</t>
  </si>
  <si>
    <t>5537</t>
  </si>
  <si>
    <t>BE 53 091 0004098 53</t>
  </si>
  <si>
    <t>Esplanade de l'Hôtel Communal</t>
  </si>
  <si>
    <t>1</t>
  </si>
  <si>
    <t>4432</t>
  </si>
  <si>
    <t>BE 95 091 0004103 58</t>
  </si>
  <si>
    <t>Cour d'Omalius</t>
  </si>
  <si>
    <t>4160</t>
  </si>
  <si>
    <t>BE 82 091 0004986 68</t>
  </si>
  <si>
    <t>Rue Paul-Reuter</t>
  </si>
  <si>
    <t>8</t>
  </si>
  <si>
    <t>6700</t>
  </si>
  <si>
    <t>BE 67 091 0005199 87</t>
  </si>
  <si>
    <t>Esplanade des Citoyens</t>
  </si>
  <si>
    <t>4</t>
  </si>
  <si>
    <t>5330</t>
  </si>
  <si>
    <t>BE 19 091 0003572 12</t>
  </si>
  <si>
    <t>Rue de Pintamont</t>
  </si>
  <si>
    <t>54</t>
  </si>
  <si>
    <t>7800</t>
  </si>
  <si>
    <t>BE 03 091 0005002 84</t>
  </si>
  <si>
    <t>Rue Haute - ATHUS</t>
  </si>
  <si>
    <t>22</t>
  </si>
  <si>
    <t>6791</t>
  </si>
  <si>
    <t>BE 53 000 0019938 53</t>
  </si>
  <si>
    <t>Rue de la Heid</t>
  </si>
  <si>
    <t>-</t>
  </si>
  <si>
    <t>4920</t>
  </si>
  <si>
    <t>BE 91 091 0004121 76</t>
  </si>
  <si>
    <t>Rue Royale</t>
  </si>
  <si>
    <t>4690</t>
  </si>
  <si>
    <t>BE 78 091 0005004 86</t>
  </si>
  <si>
    <t>Rue du Vivier</t>
  </si>
  <si>
    <t>58</t>
  </si>
  <si>
    <t>6600</t>
  </si>
  <si>
    <t>BE 08 091 0005222 13</t>
  </si>
  <si>
    <t>Place de Seurre</t>
  </si>
  <si>
    <t>3-5</t>
  </si>
  <si>
    <t>5570</t>
  </si>
  <si>
    <t>Avenue du Sergent Vrithoff</t>
  </si>
  <si>
    <t>Arrêté ministériel POLLEC 22 - P22-RH_interco du 08-06-2023</t>
  </si>
  <si>
    <t>BE 58 091 0004124 79</t>
  </si>
  <si>
    <t>Rue Antoine Dodion</t>
  </si>
  <si>
    <t>10</t>
  </si>
  <si>
    <t>4257</t>
  </si>
  <si>
    <t>BE 45 091 0005007 89</t>
  </si>
  <si>
    <t>Rue Grande(Bertogne)</t>
  </si>
  <si>
    <t>33/2</t>
  </si>
  <si>
    <t>6687</t>
  </si>
  <si>
    <t>BE 12 091 0005010 92</t>
  </si>
  <si>
    <t>Rue de la Gare</t>
  </si>
  <si>
    <t>38</t>
  </si>
  <si>
    <t>6880</t>
  </si>
  <si>
    <t>BE 21 091 0005018 03</t>
  </si>
  <si>
    <t>Place Ducale</t>
  </si>
  <si>
    <t>6830</t>
  </si>
  <si>
    <t>BE 64 091 0003612 52</t>
  </si>
  <si>
    <t>Rue François Dorzée(B)</t>
  </si>
  <si>
    <t>3</t>
  </si>
  <si>
    <t>7300</t>
  </si>
  <si>
    <t>BE 04 091 0001360 31</t>
  </si>
  <si>
    <t>avenue du 21 Juillet</t>
  </si>
  <si>
    <t>1420</t>
  </si>
  <si>
    <t>BE 55 091 0001373 44</t>
  </si>
  <si>
    <t>Rue de la Libération</t>
  </si>
  <si>
    <t>9</t>
  </si>
  <si>
    <t>1440</t>
  </si>
  <si>
    <t>BE 98 091 0004138 93</t>
  </si>
  <si>
    <t>Rue du Cornuchamp</t>
  </si>
  <si>
    <t>5</t>
  </si>
  <si>
    <t>4260</t>
  </si>
  <si>
    <t>BE 32 091 0004144 02</t>
  </si>
  <si>
    <t>Rue des Ecoles(BUR)</t>
  </si>
  <si>
    <t>4210</t>
  </si>
  <si>
    <t>BE 71 091 0003629 69</t>
  </si>
  <si>
    <t>Rue Parfait (C)</t>
  </si>
  <si>
    <t>14</t>
  </si>
  <si>
    <t>7760</t>
  </si>
  <si>
    <t>BE 38 091 0003632 72</t>
  </si>
  <si>
    <t>Place de l'Hôtel de Ville</t>
  </si>
  <si>
    <t>16</t>
  </si>
  <si>
    <t>7160</t>
  </si>
  <si>
    <t>Arrêté ministériel POLLEC 22 - P22-RH2 du 08-06-2023</t>
  </si>
  <si>
    <t>BE 85 091 0003663 06</t>
  </si>
  <si>
    <t>Place Charles II</t>
  </si>
  <si>
    <t>6000</t>
  </si>
  <si>
    <t>BE 52 091 0004151 09</t>
  </si>
  <si>
    <t>Avenue du Centenaire</t>
  </si>
  <si>
    <t>4053</t>
  </si>
  <si>
    <t>BE 71 091 0001398 69</t>
  </si>
  <si>
    <t>Rue Colleau</t>
  </si>
  <si>
    <t>2</t>
  </si>
  <si>
    <t>1325</t>
  </si>
  <si>
    <t>BE 55 091 0003701 44</t>
  </si>
  <si>
    <t>Rue du Grand Vivier</t>
  </si>
  <si>
    <t>7950</t>
  </si>
  <si>
    <t>BE 63 091 0005023 08</t>
  </si>
  <si>
    <t>Rue du Faing,Jamoigne</t>
  </si>
  <si>
    <t>6810</t>
  </si>
  <si>
    <t>BE 48 091 0005236 27</t>
  </si>
  <si>
    <t>Rue du Centre</t>
  </si>
  <si>
    <t>35</t>
  </si>
  <si>
    <t>5590</t>
  </si>
  <si>
    <t>BE 72 091 0004158 16</t>
  </si>
  <si>
    <t>Rue Forville</t>
  </si>
  <si>
    <t>4560</t>
  </si>
  <si>
    <t>BE 03 091 0003741 84</t>
  </si>
  <si>
    <t>Place Sainte-Anne(COM)</t>
  </si>
  <si>
    <t>7780</t>
  </si>
  <si>
    <t>BE 38 091 0001401 72</t>
  </si>
  <si>
    <t>Rue des Ecoles</t>
  </si>
  <si>
    <t>1490</t>
  </si>
  <si>
    <t>BE 35 091 0005246 37</t>
  </si>
  <si>
    <t>Avenue de la Libération</t>
  </si>
  <si>
    <t>5660</t>
  </si>
  <si>
    <t>BE 24 091 0004180 38</t>
  </si>
  <si>
    <t>Rue Caquin</t>
  </si>
  <si>
    <t>4357</t>
  </si>
  <si>
    <t>BE 96 091 0003759 05</t>
  </si>
  <si>
    <t>Grand'Place</t>
  </si>
  <si>
    <t>7370</t>
  </si>
  <si>
    <t>BE 81 091 0005039 24</t>
  </si>
  <si>
    <t>Basse Cour</t>
  </si>
  <si>
    <t>13</t>
  </si>
  <si>
    <t>6940</t>
  </si>
  <si>
    <t>BE 19 091 0003766 12</t>
  </si>
  <si>
    <t>Grand-Place</t>
  </si>
  <si>
    <t>7190</t>
  </si>
  <si>
    <t>Ecaussinnes</t>
  </si>
  <si>
    <t>BE 62 091 0005270 61</t>
  </si>
  <si>
    <t>Route de Gembloux</t>
  </si>
  <si>
    <t>43</t>
  </si>
  <si>
    <t>5310</t>
  </si>
  <si>
    <t>BE 50 091 0003772 18</t>
  </si>
  <si>
    <t>Avenue Reine Astrid(E)</t>
  </si>
  <si>
    <t>18/B</t>
  </si>
  <si>
    <t>7850</t>
  </si>
  <si>
    <t>BE 55 091 0004186 44</t>
  </si>
  <si>
    <t>Place Jean d'Ardenne</t>
  </si>
  <si>
    <t>4130</t>
  </si>
  <si>
    <t>BE 48 091 0005042 27</t>
  </si>
  <si>
    <t>Rue du Moulin</t>
  </si>
  <si>
    <t>15</t>
  </si>
  <si>
    <t>6740</t>
  </si>
  <si>
    <t>Etalle</t>
  </si>
  <si>
    <t>BE 84 091 0004201 59</t>
  </si>
  <si>
    <t>Rue A. Braas</t>
  </si>
  <si>
    <t>4317</t>
  </si>
  <si>
    <t>BE 15 091 0005045 30</t>
  </si>
  <si>
    <t>Place Communale,Fauvillers</t>
  </si>
  <si>
    <t>312</t>
  </si>
  <si>
    <t>6637</t>
  </si>
  <si>
    <t>BE 29 091 0005273 64</t>
  </si>
  <si>
    <t>Rue Goffin, Nov.</t>
  </si>
  <si>
    <t>5380</t>
  </si>
  <si>
    <t>BE 51 091 0004204 62</t>
  </si>
  <si>
    <t>Place de Chablis</t>
  </si>
  <si>
    <t>4190</t>
  </si>
  <si>
    <t>BE 93 091 0004209 67</t>
  </si>
  <si>
    <t>Rue de la Station</t>
  </si>
  <si>
    <t>108</t>
  </si>
  <si>
    <t>4347</t>
  </si>
  <si>
    <t>BE 69 091 0004220 78</t>
  </si>
  <si>
    <t>Grand'Route(Flh)</t>
  </si>
  <si>
    <t>287</t>
  </si>
  <si>
    <t>4400</t>
  </si>
  <si>
    <t>BE 57 091 0003789 35</t>
  </si>
  <si>
    <t>Chemin de Mons(FL)</t>
  </si>
  <si>
    <t>61</t>
  </si>
  <si>
    <t>6220</t>
  </si>
  <si>
    <t>Arrêté ministériel POLLEC 22 - P22-RH3 du 08-06-2023</t>
  </si>
  <si>
    <t>BE 93 091 0005276 67</t>
  </si>
  <si>
    <t>Rue Emile-Romedenne</t>
  </si>
  <si>
    <t>5150</t>
  </si>
  <si>
    <t>BE 71 091 0005278 69</t>
  </si>
  <si>
    <t>Place de l'Hôtel-de-Ville</t>
  </si>
  <si>
    <t>5620</t>
  </si>
  <si>
    <t>BE 90 091 0005047 32</t>
  </si>
  <si>
    <t>Rue du Château</t>
  </si>
  <si>
    <t>6820</t>
  </si>
  <si>
    <t>BE 11 091 0003802 48</t>
  </si>
  <si>
    <t>Rue du Château(F-E)</t>
  </si>
  <si>
    <t>6140</t>
  </si>
  <si>
    <t>BE 80 091 0005286 77</t>
  </si>
  <si>
    <t>Rue Donat-Masson</t>
  </si>
  <si>
    <t>5070</t>
  </si>
  <si>
    <t>BE 31 091 0003809 55</t>
  </si>
  <si>
    <t>Rue Archimède</t>
  </si>
  <si>
    <t>7080</t>
  </si>
  <si>
    <t>BE 20 091 0003810 56</t>
  </si>
  <si>
    <t>Place de l' Hôtel de Ville(FB)</t>
  </si>
  <si>
    <t>7911</t>
  </si>
  <si>
    <t>Rue de la Charmille</t>
  </si>
  <si>
    <t>Arrêté ministériel POLLEC 22 - P22-RH_interco2 du 08-06-2023</t>
  </si>
  <si>
    <t>BE 25 091 0004224 82</t>
  </si>
  <si>
    <t>Rue de la Fontaine(GR)</t>
  </si>
  <si>
    <t>4250</t>
  </si>
  <si>
    <t>BE 34 091 0005299 90</t>
  </si>
  <si>
    <t>Parc d'Epinal</t>
  </si>
  <si>
    <t>5030</t>
  </si>
  <si>
    <t>BE 90 091 0001458 32</t>
  </si>
  <si>
    <t>Espace 2000</t>
  </si>
  <si>
    <t>1470</t>
  </si>
  <si>
    <t>BE 40 091 0003817 63</t>
  </si>
  <si>
    <t>Avenue Astrid(GER)</t>
  </si>
  <si>
    <t>11</t>
  </si>
  <si>
    <t>6280</t>
  </si>
  <si>
    <t>BE 54 091 0005306 97</t>
  </si>
  <si>
    <t>Chaussée de Gramptinne</t>
  </si>
  <si>
    <t>112</t>
  </si>
  <si>
    <t>5340</t>
  </si>
  <si>
    <t>BE 35 091 0005052 37</t>
  </si>
  <si>
    <t>Bovigny</t>
  </si>
  <si>
    <t>59</t>
  </si>
  <si>
    <t>6671</t>
  </si>
  <si>
    <t>BE 89 091 0004227 85</t>
  </si>
  <si>
    <t>Rue de l'Hôtel Communal</t>
  </si>
  <si>
    <t>4460</t>
  </si>
  <si>
    <t>BE 88 091 0001467 41</t>
  </si>
  <si>
    <t>Place Ernest Dubois</t>
  </si>
  <si>
    <t>1390</t>
  </si>
  <si>
    <t>BE 02 091 0005055 40</t>
  </si>
  <si>
    <t>Rue du Châtelet</t>
  </si>
  <si>
    <t>6720</t>
  </si>
  <si>
    <t>BE 23 091 0004233 91</t>
  </si>
  <si>
    <t>Rue de Tohogne</t>
  </si>
  <si>
    <t>4180</t>
  </si>
  <si>
    <t>BE 54 091 0004239 97</t>
  </si>
  <si>
    <t>Rue de Landen</t>
  </si>
  <si>
    <t>23</t>
  </si>
  <si>
    <t>4280</t>
  </si>
  <si>
    <t>BE 19 091 0005318 12</t>
  </si>
  <si>
    <t>Av. Guy-Stinglhamber, H.-Lav.</t>
  </si>
  <si>
    <t>5540</t>
  </si>
  <si>
    <t>BE 72 091 0005322 16</t>
  </si>
  <si>
    <t>Rue de la Station(H)</t>
  </si>
  <si>
    <t>99</t>
  </si>
  <si>
    <t>5370</t>
  </si>
  <si>
    <t>BE 91 091 0001502 76</t>
  </si>
  <si>
    <t>Le-Brouc,Neerh.</t>
  </si>
  <si>
    <t>1357</t>
  </si>
  <si>
    <t>BE 16 091 0003828 74</t>
  </si>
  <si>
    <t>Place Communale(HE)</t>
  </si>
  <si>
    <t>7350</t>
  </si>
  <si>
    <t>BE 55 091 0005059 44</t>
  </si>
  <si>
    <t>Rue Lauvaux</t>
  </si>
  <si>
    <t>27</t>
  </si>
  <si>
    <t>6887</t>
  </si>
  <si>
    <t>BE 30 091 0004250 11</t>
  </si>
  <si>
    <t>4218</t>
  </si>
  <si>
    <t>BE 97 091 0005064 49</t>
  </si>
  <si>
    <t>50</t>
  </si>
  <si>
    <t>6990</t>
  </si>
  <si>
    <t>Arrêté ministériel POLLEC 22 - P22-RH4 du 08-06-2023</t>
  </si>
  <si>
    <t>BE 06 091 0005328 22</t>
  </si>
  <si>
    <t>Rue Saint-Roch</t>
  </si>
  <si>
    <t>5560</t>
  </si>
  <si>
    <t>BE 62 091 0004300 61</t>
  </si>
  <si>
    <t>4500</t>
  </si>
  <si>
    <t>Quai Saint Brice</t>
  </si>
  <si>
    <t>Tournai</t>
  </si>
  <si>
    <t>Arrêté ministériel POLLEC 22 - P22-RH_Provinces du 08-06-2023</t>
  </si>
  <si>
    <t xml:space="preserve">Rue de la Religion </t>
  </si>
  <si>
    <t>NIVELLES</t>
  </si>
  <si>
    <t>Arrêté ministériel POLLEC 22 - P22-RH_interco3 du 08-06-2023</t>
  </si>
  <si>
    <t>BE 72 091 0001539 16</t>
  </si>
  <si>
    <t>Rue de la Planchette</t>
  </si>
  <si>
    <t>1460</t>
  </si>
  <si>
    <t>BE 71 091 0004308 69</t>
  </si>
  <si>
    <t>Rue de la Fagne</t>
  </si>
  <si>
    <t>46</t>
  </si>
  <si>
    <t>4845</t>
  </si>
  <si>
    <t>BE 70 091 0126581 25</t>
  </si>
  <si>
    <t>20</t>
  </si>
  <si>
    <t>5190</t>
  </si>
  <si>
    <t>BE 33 091 0001569 46</t>
  </si>
  <si>
    <t>Rue du Château(Jod.)</t>
  </si>
  <si>
    <t>1370</t>
  </si>
  <si>
    <t>BE 36 091 0001604 81</t>
  </si>
  <si>
    <t>Rue des Combattants</t>
  </si>
  <si>
    <t>1310</t>
  </si>
  <si>
    <t>BE 78 091 0003840 86</t>
  </si>
  <si>
    <t>Place Communale(L.L)</t>
  </si>
  <si>
    <t>7100</t>
  </si>
  <si>
    <t>BE 20 091 0005071 56</t>
  </si>
  <si>
    <t>Place du Marché</t>
  </si>
  <si>
    <t>6980</t>
  </si>
  <si>
    <t>BE 23 091 0001614 91</t>
  </si>
  <si>
    <t>1-2</t>
  </si>
  <si>
    <t>1380</t>
  </si>
  <si>
    <t>BE 40 091 0005078 63</t>
  </si>
  <si>
    <t>Rue du Chaudfour,Léglise</t>
  </si>
  <si>
    <t>6860</t>
  </si>
  <si>
    <t>BE 68 091 0003885 34</t>
  </si>
  <si>
    <t>Place de Frasnes(FLG)</t>
  </si>
  <si>
    <t>6210</t>
  </si>
  <si>
    <t>BE 86 091 0003901 50</t>
  </si>
  <si>
    <t>Grand'Place(L)</t>
  </si>
  <si>
    <t>12</t>
  </si>
  <si>
    <t>7860</t>
  </si>
  <si>
    <t>BE 75 091 0003902 51</t>
  </si>
  <si>
    <t>Avenue de la Résistance(L)</t>
  </si>
  <si>
    <t>7900</t>
  </si>
  <si>
    <t>BE 82 091 0005083 68</t>
  </si>
  <si>
    <t>Rue du Commerce</t>
  </si>
  <si>
    <t>6890</t>
  </si>
  <si>
    <t>BE 60 091 0005085 70</t>
  </si>
  <si>
    <t>Libramont,Place Communale</t>
  </si>
  <si>
    <t>6800</t>
  </si>
  <si>
    <t>BE 14 091 0004322 83</t>
  </si>
  <si>
    <t>4000</t>
  </si>
  <si>
    <t>BE 57 091 0004371 35</t>
  </si>
  <si>
    <t>Avenue Victor David</t>
  </si>
  <si>
    <t>4830</t>
  </si>
  <si>
    <t>BE 33 091 0081400 46</t>
  </si>
  <si>
    <t>Rue Jules Steinbach</t>
  </si>
  <si>
    <t>4960</t>
  </si>
  <si>
    <t>Malmedy</t>
  </si>
  <si>
    <t>BE 25 091 0005097 82</t>
  </si>
  <si>
    <t>Marche, Boulevard du Midi</t>
  </si>
  <si>
    <t>6900</t>
  </si>
  <si>
    <t>BE 75 091 0004387 51</t>
  </si>
  <si>
    <t>Rue Joseph Wauters</t>
  </si>
  <si>
    <t>1/A</t>
  </si>
  <si>
    <t>4570</t>
  </si>
  <si>
    <t>BE 78 091 0005101 86</t>
  </si>
  <si>
    <t>Chemin du Moulin</t>
  </si>
  <si>
    <t>6630</t>
  </si>
  <si>
    <t>BE 45 091 0005104 89</t>
  </si>
  <si>
    <t>Rue de Gérouville</t>
  </si>
  <si>
    <t>6769</t>
  </si>
  <si>
    <t>BE 27 091 0003924 73</t>
  </si>
  <si>
    <t>Rue Saint Martin(MLC)</t>
  </si>
  <si>
    <t>71</t>
  </si>
  <si>
    <t>6567</t>
  </si>
  <si>
    <t>BE 02 091 0005346 40</t>
  </si>
  <si>
    <t>Place Joseph Meunier</t>
  </si>
  <si>
    <t>5640</t>
  </si>
  <si>
    <t>Arrêté ministériel POLLEC 22 - P22-RH5 du 08-06-2023</t>
  </si>
  <si>
    <t>BE 53 091 0004389 53</t>
  </si>
  <si>
    <t>Place Georges Hubin</t>
  </si>
  <si>
    <t>4577</t>
  </si>
  <si>
    <t>BE 05 091 0003926 75</t>
  </si>
  <si>
    <t>Grand-Place (MGS)</t>
  </si>
  <si>
    <t>6590</t>
  </si>
  <si>
    <t>BE 47 091 0003931 80</t>
  </si>
  <si>
    <t>7000</t>
  </si>
  <si>
    <t>BE 38 091 0001692 72</t>
  </si>
  <si>
    <t>Grand'Rue</t>
  </si>
  <si>
    <t>39</t>
  </si>
  <si>
    <t>1435</t>
  </si>
  <si>
    <t>BE 35 091 0003985 37</t>
  </si>
  <si>
    <t>7700</t>
  </si>
  <si>
    <t>BE 79 091 0061890 33</t>
  </si>
  <si>
    <t>Esplanade de l'Hôtel de Ville</t>
  </si>
  <si>
    <t>5000</t>
  </si>
  <si>
    <t>BE 10 340 0312112 04</t>
  </si>
  <si>
    <t>Place Ovide Musin</t>
  </si>
  <si>
    <t>4550</t>
  </si>
  <si>
    <t>BE 54 091 0005112 97</t>
  </si>
  <si>
    <t>6950</t>
  </si>
  <si>
    <t>BE 32 091 0005114 02</t>
  </si>
  <si>
    <t>Grand-Place,NEU</t>
  </si>
  <si>
    <t>6840</t>
  </si>
  <si>
    <t>BE 09 091 0004393 57</t>
  </si>
  <si>
    <t>Rue des Deux Eglises(RR)</t>
  </si>
  <si>
    <t>4120</t>
  </si>
  <si>
    <t>BE 05 091 0001695 75</t>
  </si>
  <si>
    <t>Place Albert-Ier</t>
  </si>
  <si>
    <t>1400</t>
  </si>
  <si>
    <t>BE 62 091 0005367 61</t>
  </si>
  <si>
    <t>Place Roi Baudouin</t>
  </si>
  <si>
    <t>80</t>
  </si>
  <si>
    <t>5350</t>
  </si>
  <si>
    <t>BE 93 091 0005373 67</t>
  </si>
  <si>
    <t>Rue Albert-Martin</t>
  </si>
  <si>
    <t>5520</t>
  </si>
  <si>
    <t>BE 23 091 0001711 91</t>
  </si>
  <si>
    <t>Place Communale(O)</t>
  </si>
  <si>
    <t>1350</t>
  </si>
  <si>
    <t>BE 87 091 0001714 94</t>
  </si>
  <si>
    <t>Avenue des Combattants</t>
  </si>
  <si>
    <t>1340</t>
  </si>
  <si>
    <t>BE 05 091 0004411 75</t>
  </si>
  <si>
    <t>Rue du Village</t>
  </si>
  <si>
    <t>4590</t>
  </si>
  <si>
    <t>BE 69 091 0004414 78</t>
  </si>
  <si>
    <t>4684</t>
  </si>
  <si>
    <t>BE 63 091 0005120 08</t>
  </si>
  <si>
    <t>6850</t>
  </si>
  <si>
    <t>BE 97 091 0003997 49</t>
  </si>
  <si>
    <t>Rue Albert 1er(PER)</t>
  </si>
  <si>
    <t>7600</t>
  </si>
  <si>
    <t>BE 15 091 0001747 30</t>
  </si>
  <si>
    <t>Rue de Brabant</t>
  </si>
  <si>
    <t>1360</t>
  </si>
  <si>
    <t>BE 49 091 0005377 71</t>
  </si>
  <si>
    <t>Place d'Armes</t>
  </si>
  <si>
    <t>5600</t>
  </si>
  <si>
    <t>BE 65 091 0004432 96</t>
  </si>
  <si>
    <t>Place du 3ème Millénaire</t>
  </si>
  <si>
    <t>4850</t>
  </si>
  <si>
    <t>Rue Camille Joset</t>
  </si>
  <si>
    <t>ROSSIGNOL</t>
  </si>
  <si>
    <t>BE 84 091 0004007 59</t>
  </si>
  <si>
    <t>Place Communale(PAC)</t>
  </si>
  <si>
    <t>6230</t>
  </si>
  <si>
    <t>BE 91 091 0005382 76</t>
  </si>
  <si>
    <t>Chaussée de Dinant</t>
  </si>
  <si>
    <t>5170</t>
  </si>
  <si>
    <t>Rue verte</t>
  </si>
  <si>
    <t>Place Saint-Lambert</t>
  </si>
  <si>
    <t>18A</t>
  </si>
  <si>
    <t>Place Léopold</t>
  </si>
  <si>
    <t>BE 93 091 0004015 67</t>
  </si>
  <si>
    <t>Rue de Pâturages(GIV)</t>
  </si>
  <si>
    <t>7041</t>
  </si>
  <si>
    <t>Arrêté ministériel POLLEC 22 - P22-RH6 du 08-06-2023</t>
  </si>
  <si>
    <t>BE 79 091 0001750 33</t>
  </si>
  <si>
    <t>Avenue des Déportés</t>
  </si>
  <si>
    <t>48</t>
  </si>
  <si>
    <t>1367</t>
  </si>
  <si>
    <t>BE 30 091 0005123 11</t>
  </si>
  <si>
    <t>Rue de Hotton, Rendeux</t>
  </si>
  <si>
    <t>6987</t>
  </si>
  <si>
    <t>BE 13 091 0001756 39</t>
  </si>
  <si>
    <t>Avenue de Merode</t>
  </si>
  <si>
    <t>75</t>
  </si>
  <si>
    <t>1330</t>
  </si>
  <si>
    <t>BE 58 091 0005385 79</t>
  </si>
  <si>
    <t>Place Roi-Albert-Ier</t>
  </si>
  <si>
    <t>5580</t>
  </si>
  <si>
    <t>BE 08 091 0005125 13</t>
  </si>
  <si>
    <t>Rue du 8-Septembre,Dampicourt</t>
  </si>
  <si>
    <t>41</t>
  </si>
  <si>
    <t>6767</t>
  </si>
  <si>
    <t>BE 27 091 0004021 73</t>
  </si>
  <si>
    <t>Place(T)</t>
  </si>
  <si>
    <t>7618</t>
  </si>
  <si>
    <t>BE 39 091 0005131 19</t>
  </si>
  <si>
    <t>Rue des Trois Ponts</t>
  </si>
  <si>
    <t>6680</t>
  </si>
  <si>
    <t>BE 64 091 0118751 52</t>
  </si>
  <si>
    <t>Rue Albert Ier</t>
  </si>
  <si>
    <t>4470</t>
  </si>
  <si>
    <t>BE 92 091 0005135 23</t>
  </si>
  <si>
    <t>6870</t>
  </si>
  <si>
    <t>BE 65 091 0005208 96</t>
  </si>
  <si>
    <t>Grand Place(AUV)</t>
  </si>
  <si>
    <t>5060</t>
  </si>
  <si>
    <t>BE 58 091 0004027 79</t>
  </si>
  <si>
    <t>Rue Lintermans</t>
  </si>
  <si>
    <t>7180</t>
  </si>
  <si>
    <t>BE 06 091 0004455 22</t>
  </si>
  <si>
    <t>4100</t>
  </si>
  <si>
    <t>BE 98 091 0004041 93</t>
  </si>
  <si>
    <t>6470</t>
  </si>
  <si>
    <t>BE 76 091 0004043 95</t>
  </si>
  <si>
    <t>Place Verte</t>
  </si>
  <si>
    <t>32</t>
  </si>
  <si>
    <t>7060</t>
  </si>
  <si>
    <t>BE 78 091 0005392 86</t>
  </si>
  <si>
    <t>Allée de Château-Chinon</t>
  </si>
  <si>
    <t>5140</t>
  </si>
  <si>
    <t>BE 98 091 0005399 93</t>
  </si>
  <si>
    <t>Rue du Centre, Baillonville</t>
  </si>
  <si>
    <t>5377</t>
  </si>
  <si>
    <t>BE 79 091 0004466 33</t>
  </si>
  <si>
    <t>Avenue de la Coopération</t>
  </si>
  <si>
    <t>4630</t>
  </si>
  <si>
    <t>BE 11 091 0004481 48</t>
  </si>
  <si>
    <t>Rue de l'Hôtel de Ville</t>
  </si>
  <si>
    <t>44</t>
  </si>
  <si>
    <t>4900</t>
  </si>
  <si>
    <t>BE 75 091 0004484 51</t>
  </si>
  <si>
    <t>4140</t>
  </si>
  <si>
    <t>BE 73 091 0004493 60</t>
  </si>
  <si>
    <t>Place Saint Remacle</t>
  </si>
  <si>
    <t>4970</t>
  </si>
  <si>
    <t>BE 40 091 0004496 63</t>
  </si>
  <si>
    <t>Route de l'Amblève</t>
  </si>
  <si>
    <t>4987</t>
  </si>
  <si>
    <t>BE 46 091 0005148 36</t>
  </si>
  <si>
    <t>Route de Bastogne</t>
  </si>
  <si>
    <t>6970</t>
  </si>
  <si>
    <t>BE 93 091 0004500 67</t>
  </si>
  <si>
    <t>Place du Perron</t>
  </si>
  <si>
    <t>4910</t>
  </si>
  <si>
    <t>BE 74 091 0004052 07</t>
  </si>
  <si>
    <t>Grand'Rue(THN)</t>
  </si>
  <si>
    <t>36</t>
  </si>
  <si>
    <t>6530</t>
  </si>
  <si>
    <t>BE 05 091 0004508 75</t>
  </si>
  <si>
    <t>19</t>
  </si>
  <si>
    <t>4557</t>
  </si>
  <si>
    <t>Arrêté ministériel POLLEC 22 - P22-RH7 du 08-06-2023</t>
  </si>
  <si>
    <t>BE 13 091 0005151 39</t>
  </si>
  <si>
    <t>Grand-Rue,Tintigny</t>
  </si>
  <si>
    <t>6730</t>
  </si>
  <si>
    <t>BE 77 091 0005154 42</t>
  </si>
  <si>
    <t>Chaussée de Neufchâteau</t>
  </si>
  <si>
    <t>6640</t>
  </si>
  <si>
    <t>BE 78 091 0004519 86</t>
  </si>
  <si>
    <t>Vinâve des Stréats(VER)</t>
  </si>
  <si>
    <t>4537</t>
  </si>
  <si>
    <t>BE 34 091 0004523 90</t>
  </si>
  <si>
    <t>55</t>
  </si>
  <si>
    <t>4800</t>
  </si>
  <si>
    <t>BE 44 091 0005157 45</t>
  </si>
  <si>
    <t>Rue de l'Hôtel-de-Ville</t>
  </si>
  <si>
    <t>6690</t>
  </si>
  <si>
    <t>BE 17 091 0004551 21</t>
  </si>
  <si>
    <t>Rue des Marronniers</t>
  </si>
  <si>
    <t>4530</t>
  </si>
  <si>
    <t>BE 53 091 0005165 53</t>
  </si>
  <si>
    <t>Rue Charles-Magnette</t>
  </si>
  <si>
    <t>17</t>
  </si>
  <si>
    <t>6760</t>
  </si>
  <si>
    <t>BE 35 091 0004567 37</t>
  </si>
  <si>
    <t>Rue des Récollets(VIS)</t>
  </si>
  <si>
    <t>4600</t>
  </si>
  <si>
    <t>BE 63 091 0005411 08</t>
  </si>
  <si>
    <t>Rue Albert Raty,Vresse</t>
  </si>
  <si>
    <t>5550</t>
  </si>
  <si>
    <t>BE 13 091 0004569 39</t>
  </si>
  <si>
    <t>Place Baudouin</t>
  </si>
  <si>
    <t>4950</t>
  </si>
  <si>
    <t>BE 30 091 0005414 11</t>
  </si>
  <si>
    <t>Place de l'Hôtel de Ville(Wal)</t>
  </si>
  <si>
    <t>5650</t>
  </si>
  <si>
    <t>BE 70 091 0001936 25</t>
  </si>
  <si>
    <t>Place Communale(WSP)</t>
  </si>
  <si>
    <t>1457</t>
  </si>
  <si>
    <t>BE 88 091 0004571 41</t>
  </si>
  <si>
    <t>Chaussée de Wavre(WAN)</t>
  </si>
  <si>
    <t>4520</t>
  </si>
  <si>
    <t>BE 44 091 0004575 45</t>
  </si>
  <si>
    <t>4300</t>
  </si>
  <si>
    <t>BE 42 091 0004584 54</t>
  </si>
  <si>
    <t>Rue du Baron d'Obin(AM)</t>
  </si>
  <si>
    <t>219</t>
  </si>
  <si>
    <t>4219</t>
  </si>
  <si>
    <t>BE 48 091 0001938 27</t>
  </si>
  <si>
    <t>Rue Libert (François)</t>
  </si>
  <si>
    <t>28</t>
  </si>
  <si>
    <t>1410</t>
  </si>
  <si>
    <t>BE 35 091 0001948 37</t>
  </si>
  <si>
    <t>1300</t>
  </si>
  <si>
    <t>BE 20 091 0004586 56</t>
  </si>
  <si>
    <t>Rue de l'Ecole</t>
  </si>
  <si>
    <t>4840</t>
  </si>
  <si>
    <t>BE 93 091 0005179 67</t>
  </si>
  <si>
    <t>6920</t>
  </si>
  <si>
    <t>BE 28 091 0005423 20</t>
  </si>
  <si>
    <t>5530</t>
  </si>
  <si>
    <t>TABLEAU RÉCAPITULATIF DE CETTE DC</t>
  </si>
  <si>
    <t>Tranche 2023 (80%)</t>
  </si>
  <si>
    <t>Tranche 2024 (20%)</t>
  </si>
  <si>
    <t>﻿2023-048931-IPALLE</t>
  </si>
  <si>
    <t>Entité</t>
  </si>
  <si>
    <t>PERSONNEL</t>
  </si>
  <si>
    <t>Montant liquidé après cette DC</t>
  </si>
  <si>
    <t>Montant à liquider via cette DC (Tranche 2024) 20%</t>
  </si>
  <si>
    <t>Montant restant à justifier après cette DC</t>
  </si>
  <si>
    <t>Date maximale de fin du subside :</t>
  </si>
  <si>
    <t>N° d'engagement juridique</t>
  </si>
  <si>
    <t>Visa</t>
  </si>
  <si>
    <t>23/5430</t>
  </si>
  <si>
    <t>23/5432</t>
  </si>
  <si>
    <t>23/5450</t>
  </si>
  <si>
    <t>23/5445</t>
  </si>
  <si>
    <t>23/5435</t>
  </si>
  <si>
    <t>23/5441</t>
  </si>
  <si>
    <t>23/5469</t>
  </si>
  <si>
    <t>23/5465</t>
  </si>
  <si>
    <t>23/2434</t>
  </si>
  <si>
    <t>23/5436</t>
  </si>
  <si>
    <t>23/5433</t>
  </si>
  <si>
    <t>23/5461</t>
  </si>
  <si>
    <t>23/2458</t>
  </si>
  <si>
    <t>N° Visa* :</t>
  </si>
  <si>
    <t>Taux d'occupation mensuel par CPC* (%)</t>
  </si>
  <si>
    <t>Déclaration de créance couvrant l'année</t>
  </si>
  <si>
    <t>N°DC</t>
  </si>
  <si>
    <r>
      <t>Veuillez reprendre dans le tableau ci-dessous les informations relatives au(x) coordinateur(s) POLLEC en fonction</t>
    </r>
    <r>
      <rPr>
        <b/>
        <sz val="10"/>
        <rFont val="Calibri"/>
        <family val="2"/>
      </rPr>
      <t xml:space="preserve"> durant la préiode couverte par le présent rapport</t>
    </r>
    <r>
      <rPr>
        <sz val="10"/>
        <rFont val="Calibri"/>
        <family val="2"/>
      </rPr>
      <t xml:space="preserve">.
Pour rappel, pour pouvoir valoriser un mois de subside POLLEC 22, la commune doit attribuer les tâches du coordinateur POLLEC sur 1 equivalent temps plein, réparti </t>
    </r>
    <r>
      <rPr>
        <sz val="10"/>
        <color rgb="FFFF0000"/>
        <rFont val="Calibri"/>
        <family val="2"/>
      </rPr>
      <t>simultanément</t>
    </r>
    <r>
      <rPr>
        <sz val="10"/>
        <rFont val="Calibri"/>
        <family val="2"/>
      </rPr>
      <t xml:space="preserve"> sur  deux agents maximum.</t>
    </r>
  </si>
  <si>
    <r>
      <t xml:space="preserve">Dans ce tableau, veuillez compléter une ligne par mois par CPC à valoriser sur le subside POLLEC22. Pour rappel, pour chaque mois, 1 équivalent temps plein doit etre valorisé. Les cellules passeront en vert pour les mois où cette condition est remplie.
</t>
    </r>
    <r>
      <rPr>
        <i/>
        <sz val="10"/>
        <color theme="1"/>
        <rFont val="Calibri"/>
        <family val="2"/>
      </rPr>
      <t>Exemples: 
- Si 1 ETP POLLEC a été presté par 1 agent communal sur une période de rapportage de 12 mois. 12 lignes de doivent être complétés. 
- Si 1 ETP POLLEC a été presté par 2 agents communaux sur une période de rapportage de 12 mois, 24 lignes doivent être complétées.</t>
    </r>
    <r>
      <rPr>
        <i/>
        <sz val="9"/>
        <color theme="1"/>
        <rFont val="Calibri"/>
        <family val="2"/>
      </rPr>
      <t xml:space="preserve">
</t>
    </r>
    <r>
      <rPr>
        <sz val="11"/>
        <color theme="1"/>
        <rFont val="Calibri"/>
        <family val="2"/>
      </rPr>
      <t>Le(s) CPC en fonction sur la durée de ce rapport sont à renseigner préalablement dans la feuille 2-CPC</t>
    </r>
  </si>
  <si>
    <r>
      <rPr>
        <b/>
        <sz val="11"/>
        <color theme="0" tint="-0.499984740745262"/>
        <rFont val="Calibri"/>
        <family val="2"/>
      </rPr>
      <t>*</t>
    </r>
    <r>
      <rPr>
        <b/>
        <u/>
        <sz val="11"/>
        <color theme="0" tint="-0.499984740745262"/>
        <rFont val="Calibri"/>
        <family val="2"/>
      </rPr>
      <t xml:space="preserve">Taux d'occupation= rapport ente les prestations  à charge du subside et l'ensemble des prestations. 
</t>
    </r>
    <r>
      <rPr>
        <b/>
        <sz val="11"/>
        <color theme="0" tint="-0.499984740745262"/>
        <rFont val="Calibri"/>
        <family val="2"/>
      </rPr>
      <t>**</t>
    </r>
    <r>
      <rPr>
        <b/>
        <u/>
        <sz val="11"/>
        <color theme="0" tint="-0.499984740745262"/>
        <rFont val="Calibri"/>
        <family val="2"/>
      </rPr>
      <t>Brut total</t>
    </r>
    <r>
      <rPr>
        <sz val="11"/>
        <color theme="0" tint="-0.499984740745262"/>
        <rFont val="Calibri"/>
        <family val="2"/>
      </rPr>
      <t xml:space="preserve"> = brut issu de la fiche de compte individuel ou des fiches de salaire;</t>
    </r>
    <r>
      <rPr>
        <u/>
        <sz val="11"/>
        <color theme="0" tint="-0.499984740745262"/>
        <rFont val="Calibri"/>
        <family val="2"/>
      </rPr>
      <t xml:space="preserve"> ne comprennant pas</t>
    </r>
    <r>
      <rPr>
        <sz val="11"/>
        <color theme="0" tint="-0.499984740745262"/>
        <rFont val="Calibri"/>
        <family val="2"/>
      </rPr>
      <t xml:space="preserve"> le pécule de vacance, la prime de fin d'année, … 
*** </t>
    </r>
    <r>
      <rPr>
        <b/>
        <u/>
        <sz val="11"/>
        <color theme="0" tint="-0.499984740745262"/>
        <rFont val="Calibri"/>
        <family val="2"/>
      </rPr>
      <t>Autres charges=</t>
    </r>
    <r>
      <rPr>
        <sz val="11"/>
        <color theme="0" tint="-0.499984740745262"/>
        <rFont val="Calibri"/>
        <family val="2"/>
      </rPr>
      <t xml:space="preserve"> ONSS, Assurances légales, Pécule de vacances, Prime de fin d'année…
****</t>
    </r>
    <r>
      <rPr>
        <b/>
        <u/>
        <sz val="11"/>
        <color theme="0" tint="-0.499984740745262"/>
        <rFont val="Calibri"/>
        <family val="2"/>
      </rPr>
      <t>Avantages extra-légaux</t>
    </r>
    <r>
      <rPr>
        <sz val="11"/>
        <color theme="0" tint="-0.499984740745262"/>
        <rFont val="Calibri"/>
        <family val="2"/>
      </rPr>
      <t xml:space="preserve"> (attribués à l’ensemble du personnel) : ex. : Chèques repas, assurances-groupe, prime de naissance…
*****</t>
    </r>
    <r>
      <rPr>
        <b/>
        <sz val="11"/>
        <color theme="0" tint="-0.499984740745262"/>
        <rFont val="Calibri"/>
        <family val="2"/>
      </rPr>
      <t xml:space="preserve"> </t>
    </r>
    <r>
      <rPr>
        <b/>
        <u/>
        <sz val="11"/>
        <color theme="0" tint="-0.499984740745262"/>
        <rFont val="Calibri"/>
        <family val="2"/>
      </rPr>
      <t>Indemnités perçues</t>
    </r>
    <r>
      <rPr>
        <b/>
        <sz val="11"/>
        <color theme="0" tint="-0.499984740745262"/>
        <rFont val="Calibri"/>
        <family val="2"/>
      </rPr>
      <t xml:space="preserve"> </t>
    </r>
    <r>
      <rPr>
        <sz val="11"/>
        <color theme="0" tint="-0.499984740745262"/>
        <rFont val="Calibri"/>
        <family val="2"/>
      </rPr>
      <t xml:space="preserve">: autres subsides perçus 
</t>
    </r>
  </si>
  <si>
    <r>
      <t xml:space="preserve">Déclaration de créance 
</t>
    </r>
    <r>
      <rPr>
        <sz val="12"/>
        <color theme="1"/>
        <rFont val="Calibri"/>
        <family val="2"/>
        <scheme val="minor"/>
      </rPr>
      <t xml:space="preserve">
A envoyer en version PDF (signée électroniquement  avec une carte d’identité) via le Guichet des Pouvois locaux</t>
    </r>
  </si>
  <si>
    <r>
      <rPr>
        <b/>
        <sz val="12"/>
        <color rgb="FFFF5050"/>
        <rFont val="Calibri"/>
        <family val="2"/>
        <scheme val="minor"/>
      </rPr>
      <t>Attention</t>
    </r>
    <r>
      <rPr>
        <sz val="12"/>
        <color theme="1"/>
        <rFont val="Calibri"/>
        <family val="2"/>
        <scheme val="minor"/>
      </rPr>
      <t>:  la déclaration de créance doit être complétée de manière dactylographiée et signée électroniquement.</t>
    </r>
  </si>
  <si>
    <r>
      <t>Le gestionnaire technique a examiné les pièces justificatives et déclare que leur objet et leur montant sont conformes aux indications de l'arrêté ou de la convention</t>
    </r>
    <r>
      <rPr>
        <b/>
        <sz val="9"/>
        <color theme="1"/>
        <rFont val="Calibri"/>
        <family val="2"/>
      </rPr>
      <t xml:space="preserve"> et joint le formulaire C4 (=F5-Synthèse)</t>
    </r>
  </si>
  <si>
    <t>RUBRIQUE BUDGÉTAIRE</t>
  </si>
  <si>
    <t>BUDGET subside total</t>
  </si>
  <si>
    <t>Fonds de roulement versé 1</t>
  </si>
  <si>
    <t>Fonds de roulement versé 2</t>
  </si>
  <si>
    <r>
      <rPr>
        <b/>
        <u/>
        <sz val="11"/>
        <color theme="1"/>
        <rFont val="Calibri"/>
        <family val="2"/>
      </rPr>
      <t>ATTENTION</t>
    </r>
    <r>
      <rPr>
        <sz val="11"/>
        <color theme="1"/>
        <rFont val="Calibri"/>
        <family val="2"/>
      </rPr>
      <t xml:space="preserve"> : VOUS NE DEVEZ REMPLIR QUE LES CELLULES</t>
    </r>
    <r>
      <rPr>
        <u/>
        <sz val="11"/>
        <color theme="1"/>
        <rFont val="Calibri"/>
        <family val="2"/>
      </rPr>
      <t xml:space="preserve"> </t>
    </r>
    <r>
      <rPr>
        <b/>
        <u/>
        <sz val="11"/>
        <rFont val="Calibri"/>
        <family val="2"/>
      </rPr>
      <t xml:space="preserve">JAUNES. </t>
    </r>
    <r>
      <rPr>
        <i/>
        <sz val="11"/>
        <rFont val="Calibri"/>
        <family val="2"/>
      </rPr>
      <t>(Certaines cellules jaunes sont pré-complétées, vous pouvez les modifier si elles contiennent des informations erronées).</t>
    </r>
    <r>
      <rPr>
        <sz val="11"/>
        <color theme="1"/>
        <rFont val="Calibri"/>
        <family val="2"/>
      </rPr>
      <t xml:space="preserve">
LES CELLULES EN GRIS CONTIENNENT DES FORMULES.
LES CELLULES EN BLEU SONT REMPLIES PAR Le SPW.</t>
    </r>
  </si>
  <si>
    <t>3) Une fois l'ensemble des rubriques complétées, exportez la déclaration de créance en PDF (fonction exporter en pdf) et faites la signer  de manière électronique</t>
  </si>
  <si>
    <t>P22-RH_GAL</t>
  </si>
  <si>
    <t>P22-RH_ASBL_PUBLIQUE</t>
  </si>
  <si>
    <t>Arrêté ministériel POLLEC 22 - P22-RH_GAL du 08-06-2023</t>
  </si>
  <si>
    <t>Arrêté ministériel POLLEC 22 - P22-RH_ASBL_PUBLIQUE du 08-06-2023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</si>
</sst>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* #,##0.00\ &quot;€&quot;_-;\-* #,##0.00\ &quot;€&quot;_-;_-* &quot;-&quot;??\ &quot;€&quot;_-;_-@_-"/>
    <numFmt numFmtId="164" formatCode="_ &quot;€&quot;\ * #,##0.00_ ;_ &quot;€&quot;\ * \-#,##0.00_ ;_ &quot;€&quot;\ * &quot;-&quot;??_ ;_ @_ "/>
    <numFmt numFmtId="165" formatCode="_(&quot;€&quot;* #,##0.00_);_(&quot;€&quot;* \(#,##0.00\);_(&quot;€&quot;* &quot;-&quot;??_);_(@_)"/>
    <numFmt numFmtId="166" formatCode="#,##0.00\ &quot;€&quot;"/>
    <numFmt numFmtId="167" formatCode="[$-80C]dd\-mmm\-yy;@"/>
    <numFmt numFmtId="168" formatCode="_-* #,##0.00\ [$€-40C]_-;\-* #,##0.00\ [$€-40C]_-;_-* &quot;-&quot;??\ [$€-40C]_-;_-@_-"/>
    <numFmt numFmtId="169" formatCode="_-* #,##0.00\ [$€-80C]_-;\-* #,##0.00\ [$€-80C]_-;_-* &quot;-&quot;??\ [$€-80C]_-;_-@_-"/>
    <numFmt numFmtId="170" formatCode="d/mm/yy;@"/>
  </numFmts>
  <fonts count="85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u/>
      <sz val="11"/>
      <color theme="1"/>
      <name val="Calibri"/>
      <family val="2"/>
    </font>
    <font>
      <b/>
      <sz val="11"/>
      <name val="Calibri"/>
      <family val="2"/>
    </font>
    <font>
      <b/>
      <sz val="14"/>
      <color theme="1"/>
      <name val="Calibri"/>
      <family val="2"/>
    </font>
    <font>
      <sz val="12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10"/>
      <color theme="1" tint="0.499984740745262"/>
      <name val="Calibri"/>
      <family val="2"/>
    </font>
    <font>
      <sz val="10"/>
      <color theme="0"/>
      <name val="Calibri"/>
      <family val="2"/>
    </font>
    <font>
      <sz val="10"/>
      <color theme="0" tint="-0.499984740745262"/>
      <name val="Calibri"/>
      <family val="2"/>
    </font>
    <font>
      <b/>
      <u/>
      <sz val="11"/>
      <name val="Calibri"/>
      <family val="2"/>
    </font>
    <font>
      <sz val="11"/>
      <color rgb="FF050000"/>
      <name val="Calibri"/>
      <family val="2"/>
    </font>
    <font>
      <sz val="11"/>
      <color theme="0"/>
      <name val="Calibri"/>
      <family val="2"/>
    </font>
    <font>
      <b/>
      <sz val="18"/>
      <color indexed="8"/>
      <name val="Calibri"/>
      <family val="2"/>
    </font>
    <font>
      <b/>
      <sz val="9"/>
      <color theme="1"/>
      <name val="Calibri"/>
      <family val="2"/>
    </font>
    <font>
      <sz val="9"/>
      <name val="Calibri"/>
      <family val="2"/>
    </font>
    <font>
      <sz val="16"/>
      <color theme="1"/>
      <name val="Calibri"/>
      <family val="2"/>
    </font>
    <font>
      <u/>
      <sz val="10"/>
      <name val="Calibri"/>
      <family val="2"/>
    </font>
    <font>
      <sz val="11"/>
      <color theme="0" tint="-0.499984740745262"/>
      <name val="Calibri"/>
      <family val="2"/>
    </font>
    <font>
      <b/>
      <sz val="18"/>
      <color rgb="FF050000"/>
      <name val="Calibri"/>
      <family val="2"/>
    </font>
    <font>
      <sz val="16"/>
      <color theme="1" tint="0.499984740745262"/>
      <name val="Calibri"/>
      <family val="2"/>
    </font>
    <font>
      <sz val="12"/>
      <color theme="0"/>
      <name val="Calibri"/>
      <family val="2"/>
    </font>
    <font>
      <b/>
      <u/>
      <sz val="14"/>
      <color theme="1"/>
      <name val="Calibri"/>
      <family val="2"/>
    </font>
    <font>
      <b/>
      <u/>
      <sz val="14"/>
      <name val="Calibri"/>
      <family val="2"/>
    </font>
    <font>
      <b/>
      <u/>
      <sz val="9"/>
      <color theme="1"/>
      <name val="Calibri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b/>
      <sz val="9"/>
      <name val="Calibri"/>
      <family val="2"/>
    </font>
    <font>
      <sz val="9"/>
      <color theme="0" tint="-0.499984740745262"/>
      <name val="Calibri"/>
      <family val="2"/>
    </font>
    <font>
      <sz val="9"/>
      <color rgb="FFFF0000"/>
      <name val="Calibri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u/>
      <sz val="9"/>
      <color rgb="FFFF0000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b/>
      <u/>
      <sz val="11"/>
      <color theme="0" tint="-0.499984740745262"/>
      <name val="Calibri"/>
      <family val="2"/>
    </font>
    <font>
      <u/>
      <sz val="11"/>
      <color theme="0" tint="-0.499984740745262"/>
      <name val="Calibri"/>
      <family val="2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0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</font>
    <font>
      <b/>
      <i/>
      <u/>
      <sz val="11"/>
      <color theme="0" tint="-0.499984740745262"/>
      <name val="Calibri"/>
      <family val="2"/>
    </font>
    <font>
      <b/>
      <sz val="11"/>
      <color theme="0" tint="-0.499984740745262"/>
      <name val="Calibri"/>
      <family val="2"/>
    </font>
    <font>
      <b/>
      <sz val="12"/>
      <color rgb="FFFF5050"/>
      <name val="Calibri"/>
      <family val="2"/>
      <scheme val="minor"/>
    </font>
    <font>
      <sz val="11"/>
      <color theme="1" tint="0.499984740745262"/>
      <name val="Calibri"/>
      <family val="2"/>
    </font>
    <font>
      <b/>
      <sz val="11"/>
      <color rgb="FFFF0000"/>
      <name val="Calibri"/>
      <family val="2"/>
    </font>
    <font>
      <u/>
      <sz val="11"/>
      <color theme="10"/>
      <name val="Calibri"/>
      <family val="2"/>
    </font>
    <font>
      <b/>
      <i/>
      <u/>
      <sz val="11"/>
      <color theme="1" tint="0.499984740745262"/>
      <name val="Calibri"/>
      <family val="2"/>
    </font>
    <font>
      <sz val="11"/>
      <color theme="1" tint="0.34998626667073579"/>
      <name val="Calibri"/>
      <family val="2"/>
    </font>
    <font>
      <sz val="11"/>
      <color rgb="FF000000"/>
      <name val="Calibri"/>
      <family val="2"/>
    </font>
    <font>
      <i/>
      <sz val="10"/>
      <color theme="1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</font>
    <font>
      <b/>
      <i/>
      <sz val="11"/>
      <color rgb="FF3F3F3F"/>
      <name val="Calibri"/>
      <family val="2"/>
      <scheme val="minor"/>
    </font>
    <font>
      <i/>
      <sz val="9"/>
      <name val="Calibri"/>
      <family val="2"/>
    </font>
    <font>
      <i/>
      <sz val="9"/>
      <color theme="1"/>
      <name val="Calibri"/>
      <family val="2"/>
    </font>
    <font>
      <sz val="10"/>
      <color rgb="FFFF0000"/>
      <name val="Calibri"/>
      <family val="2"/>
    </font>
    <font>
      <b/>
      <sz val="9"/>
      <color theme="1"/>
      <name val="Calibri"/>
      <family val="2"/>
      <scheme val="minor"/>
    </font>
    <font>
      <i/>
      <sz val="1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33CCFF"/>
        <bgColor indexed="64"/>
      </patternFill>
    </fill>
    <fill>
      <patternFill patternType="solid">
        <fgColor rgb="FFFFFF66"/>
        <bgColor rgb="FF000000"/>
      </patternFill>
    </fill>
    <fill>
      <patternFill patternType="solid">
        <fgColor rgb="FF93C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EBEB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EEAB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5A5A5"/>
        <bgColor indexed="64"/>
      </patternFill>
    </fill>
  </fills>
  <borders count="7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ck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ck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auto="1"/>
      </right>
      <top style="medium">
        <color auto="1"/>
      </top>
      <bottom style="hair">
        <color theme="1" tint="0.499984740745262"/>
      </bottom>
      <diagonal/>
    </border>
    <border>
      <left/>
      <right style="medium">
        <color auto="1"/>
      </right>
      <top style="hair">
        <color theme="1" tint="0.499984740745262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/>
      <top style="thin">
        <color theme="0" tint="-0.14993743705557422"/>
      </top>
      <bottom/>
      <diagonal/>
    </border>
    <border>
      <left style="double">
        <color rgb="FF3F3F3F"/>
      </left>
      <right style="double">
        <color rgb="FF3F3F3F"/>
      </right>
      <top style="thin">
        <color theme="0" tint="-0.14993743705557422"/>
      </top>
      <bottom style="double">
        <color rgb="FF3F3F3F"/>
      </bottom>
      <diagonal/>
    </border>
  </borders>
  <cellStyleXfs count="14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71" fillId="0" borderId="0" applyNumberFormat="0" applyFill="0" applyBorder="0" applyAlignment="0" applyProtection="0"/>
    <xf numFmtId="0" fontId="76" fillId="15" borderId="51" applyNumberFormat="0" applyAlignment="0" applyProtection="0"/>
    <xf numFmtId="0" fontId="77" fillId="16" borderId="52" applyNumberFormat="0" applyAlignment="0" applyProtection="0"/>
  </cellStyleXfs>
  <cellXfs count="447">
    <xf numFmtId="0" fontId="0" fillId="0" borderId="0" xfId="0"/>
    <xf numFmtId="0" fontId="26" fillId="0" borderId="0" xfId="0" applyFont="1" applyAlignment="1">
      <alignment wrapText="1"/>
    </xf>
    <xf numFmtId="0" fontId="26" fillId="0" borderId="0" xfId="0" applyFont="1" applyAlignment="1">
      <alignment horizontal="left" vertical="center" wrapText="1"/>
    </xf>
    <xf numFmtId="0" fontId="9" fillId="0" borderId="0" xfId="0" applyFont="1"/>
    <xf numFmtId="0" fontId="9" fillId="0" borderId="0" xfId="0" applyFont="1" applyAlignment="1">
      <alignment horizontal="center"/>
    </xf>
    <xf numFmtId="0" fontId="11" fillId="0" borderId="0" xfId="0" applyFont="1"/>
    <xf numFmtId="0" fontId="0" fillId="0" borderId="8" xfId="0" applyBorder="1"/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35" fillId="0" borderId="0" xfId="0" applyFont="1"/>
    <xf numFmtId="165" fontId="35" fillId="0" borderId="0" xfId="0" applyNumberFormat="1" applyFont="1"/>
    <xf numFmtId="0" fontId="26" fillId="0" borderId="0" xfId="0" applyFont="1"/>
    <xf numFmtId="14" fontId="26" fillId="0" borderId="0" xfId="0" applyNumberFormat="1" applyFont="1"/>
    <xf numFmtId="0" fontId="0" fillId="0" borderId="5" xfId="0" applyBorder="1"/>
    <xf numFmtId="0" fontId="0" fillId="0" borderId="7" xfId="0" applyBorder="1"/>
    <xf numFmtId="0" fontId="38" fillId="6" borderId="0" xfId="0" applyFont="1" applyFill="1" applyAlignment="1">
      <alignment horizontal="left" vertical="center"/>
    </xf>
    <xf numFmtId="0" fontId="39" fillId="0" borderId="0" xfId="0" applyFont="1"/>
    <xf numFmtId="0" fontId="39" fillId="0" borderId="0" xfId="0" applyFont="1" applyAlignment="1">
      <alignment horizontal="right" indent="1"/>
    </xf>
    <xf numFmtId="0" fontId="40" fillId="0" borderId="0" xfId="0" applyFont="1" applyAlignment="1">
      <alignment wrapText="1"/>
    </xf>
    <xf numFmtId="0" fontId="28" fillId="0" borderId="0" xfId="0" applyFont="1"/>
    <xf numFmtId="0" fontId="28" fillId="0" borderId="0" xfId="0" applyFont="1" applyAlignment="1">
      <alignment horizontal="center"/>
    </xf>
    <xf numFmtId="0" fontId="39" fillId="0" borderId="0" xfId="0" applyFont="1" applyAlignment="1">
      <alignment horizontal="right" vertical="center" wrapText="1" indent="1"/>
    </xf>
    <xf numFmtId="0" fontId="39" fillId="0" borderId="0" xfId="0" applyFont="1" applyAlignment="1">
      <alignment horizontal="right"/>
    </xf>
    <xf numFmtId="0" fontId="39" fillId="0" borderId="0" xfId="0" applyFont="1" applyAlignment="1">
      <alignment vertical="top" wrapText="1"/>
    </xf>
    <xf numFmtId="0" fontId="39" fillId="0" borderId="0" xfId="0" applyFont="1" applyAlignment="1">
      <alignment horizontal="right" vertical="top" wrapText="1" indent="1"/>
    </xf>
    <xf numFmtId="0" fontId="39" fillId="0" borderId="0" xfId="0" applyFont="1" applyAlignment="1">
      <alignment horizontal="right" vertical="top" wrapText="1"/>
    </xf>
    <xf numFmtId="0" fontId="39" fillId="0" borderId="0" xfId="0" applyFont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horizontal="right" vertical="center" wrapText="1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wrapText="1"/>
    </xf>
    <xf numFmtId="0" fontId="39" fillId="0" borderId="0" xfId="0" applyFont="1" applyAlignment="1">
      <alignment vertical="center"/>
    </xf>
    <xf numFmtId="0" fontId="39" fillId="0" borderId="0" xfId="0" applyFont="1" applyAlignment="1">
      <alignment horizontal="right" vertical="center" indent="1"/>
    </xf>
    <xf numFmtId="0" fontId="38" fillId="6" borderId="0" xfId="0" applyFont="1" applyFill="1" applyAlignment="1">
      <alignment horizontal="left" vertical="top"/>
    </xf>
    <xf numFmtId="0" fontId="38" fillId="0" borderId="0" xfId="0" applyFont="1" applyAlignment="1">
      <alignment vertical="center"/>
    </xf>
    <xf numFmtId="0" fontId="39" fillId="0" borderId="0" xfId="0" applyFont="1" applyAlignment="1">
      <alignment horizontal="center"/>
    </xf>
    <xf numFmtId="0" fontId="39" fillId="0" borderId="0" xfId="0" applyFont="1" applyAlignment="1">
      <alignment horizontal="right" vertical="center"/>
    </xf>
    <xf numFmtId="0" fontId="39" fillId="0" borderId="0" xfId="0" applyFont="1" applyAlignment="1">
      <alignment horizontal="center" vertical="center"/>
    </xf>
    <xf numFmtId="0" fontId="38" fillId="6" borderId="0" xfId="0" applyFont="1" applyFill="1" applyAlignment="1">
      <alignment vertical="center"/>
    </xf>
    <xf numFmtId="0" fontId="38" fillId="0" borderId="0" xfId="0" applyFont="1" applyAlignment="1">
      <alignment horizontal="right" vertical="center" indent="1"/>
    </xf>
    <xf numFmtId="0" fontId="28" fillId="0" borderId="0" xfId="0" applyFont="1" applyAlignment="1">
      <alignment horizontal="right" vertical="center" indent="1"/>
    </xf>
    <xf numFmtId="0" fontId="29" fillId="6" borderId="0" xfId="0" applyFont="1" applyFill="1" applyAlignment="1">
      <alignment vertical="center" wrapText="1"/>
    </xf>
    <xf numFmtId="165" fontId="43" fillId="6" borderId="0" xfId="0" applyNumberFormat="1" applyFont="1" applyFill="1" applyAlignment="1">
      <alignment horizontal="left" vertical="center" wrapText="1"/>
    </xf>
    <xf numFmtId="0" fontId="41" fillId="3" borderId="2" xfId="0" applyFont="1" applyFill="1" applyBorder="1" applyAlignment="1">
      <alignment horizontal="center" vertical="center"/>
    </xf>
    <xf numFmtId="0" fontId="39" fillId="3" borderId="2" xfId="0" applyFont="1" applyFill="1" applyBorder="1" applyAlignment="1">
      <alignment horizontal="center" vertical="center"/>
    </xf>
    <xf numFmtId="167" fontId="39" fillId="3" borderId="2" xfId="0" applyNumberFormat="1" applyFont="1" applyFill="1" applyBorder="1" applyAlignment="1">
      <alignment horizontal="right" vertical="center" wrapText="1"/>
    </xf>
    <xf numFmtId="167" fontId="39" fillId="3" borderId="2" xfId="0" applyNumberFormat="1" applyFont="1" applyFill="1" applyBorder="1" applyAlignment="1">
      <alignment vertical="center" wrapText="1"/>
    </xf>
    <xf numFmtId="14" fontId="39" fillId="8" borderId="2" xfId="0" applyNumberFormat="1" applyFont="1" applyFill="1" applyBorder="1" applyAlignment="1" applyProtection="1">
      <alignment vertical="center" wrapText="1"/>
      <protection locked="0"/>
    </xf>
    <xf numFmtId="0" fontId="39" fillId="8" borderId="9" xfId="0" applyFont="1" applyFill="1" applyBorder="1" applyAlignment="1">
      <alignment vertical="center"/>
    </xf>
    <xf numFmtId="0" fontId="39" fillId="0" borderId="0" xfId="0" applyFont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vertical="center"/>
    </xf>
    <xf numFmtId="0" fontId="11" fillId="0" borderId="37" xfId="0" applyFont="1" applyBorder="1"/>
    <xf numFmtId="0" fontId="11" fillId="0" borderId="37" xfId="0" applyFont="1" applyBorder="1" applyAlignment="1">
      <alignment horizontal="center"/>
    </xf>
    <xf numFmtId="0" fontId="0" fillId="0" borderId="32" xfId="0" applyBorder="1" applyAlignment="1">
      <alignment horizontal="right"/>
    </xf>
    <xf numFmtId="0" fontId="44" fillId="0" borderId="33" xfId="0" applyFont="1" applyBorder="1" applyAlignment="1">
      <alignment horizontal="center" vertical="center"/>
    </xf>
    <xf numFmtId="0" fontId="45" fillId="7" borderId="34" xfId="0" applyFont="1" applyFill="1" applyBorder="1" applyAlignment="1">
      <alignment horizontal="right" vertical="center" wrapText="1"/>
    </xf>
    <xf numFmtId="0" fontId="46" fillId="0" borderId="35" xfId="0" applyFont="1" applyBorder="1" applyAlignment="1">
      <alignment horizontal="center" vertical="center"/>
    </xf>
    <xf numFmtId="0" fontId="44" fillId="3" borderId="31" xfId="0" applyFont="1" applyFill="1" applyBorder="1" applyAlignment="1">
      <alignment horizontal="right" vertical="center"/>
    </xf>
    <xf numFmtId="165" fontId="39" fillId="0" borderId="0" xfId="0" applyNumberFormat="1" applyFont="1"/>
    <xf numFmtId="14" fontId="39" fillId="8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43" fillId="3" borderId="2" xfId="0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0" fillId="3" borderId="9" xfId="0" applyFill="1" applyBorder="1" applyAlignment="1">
      <alignment vertical="top" wrapText="1"/>
    </xf>
    <xf numFmtId="0" fontId="0" fillId="0" borderId="0" xfId="0" applyAlignment="1">
      <alignment horizontal="right"/>
    </xf>
    <xf numFmtId="0" fontId="19" fillId="0" borderId="0" xfId="0" applyFont="1" applyAlignment="1">
      <alignment vertical="center" wrapText="1"/>
    </xf>
    <xf numFmtId="44" fontId="42" fillId="3" borderId="2" xfId="0" applyNumberFormat="1" applyFont="1" applyFill="1" applyBorder="1" applyAlignment="1">
      <alignment horizontal="right" vertical="center" wrapText="1"/>
    </xf>
    <xf numFmtId="44" fontId="41" fillId="8" borderId="3" xfId="0" applyNumberFormat="1" applyFont="1" applyFill="1" applyBorder="1" applyAlignment="1" applyProtection="1">
      <alignment horizontal="center" vertical="center" wrapText="1"/>
      <protection locked="0"/>
    </xf>
    <xf numFmtId="44" fontId="39" fillId="3" borderId="2" xfId="0" applyNumberFormat="1" applyFont="1" applyFill="1" applyBorder="1" applyAlignment="1">
      <alignment horizontal="right" vertical="center" wrapText="1"/>
    </xf>
    <xf numFmtId="0" fontId="39" fillId="3" borderId="9" xfId="0" applyFont="1" applyFill="1" applyBorder="1" applyAlignment="1">
      <alignment horizontal="centerContinuous" vertical="top" wrapText="1"/>
    </xf>
    <xf numFmtId="0" fontId="39" fillId="3" borderId="3" xfId="0" applyFont="1" applyFill="1" applyBorder="1" applyAlignment="1">
      <alignment horizontal="centerContinuous" vertical="top" wrapText="1"/>
    </xf>
    <xf numFmtId="44" fontId="47" fillId="3" borderId="36" xfId="0" applyNumberFormat="1" applyFont="1" applyFill="1" applyBorder="1" applyAlignment="1">
      <alignment horizontal="right" vertical="center" wrapText="1"/>
    </xf>
    <xf numFmtId="44" fontId="0" fillId="0" borderId="33" xfId="0" applyNumberFormat="1" applyBorder="1"/>
    <xf numFmtId="44" fontId="0" fillId="0" borderId="11" xfId="0" applyNumberFormat="1" applyBorder="1"/>
    <xf numFmtId="0" fontId="0" fillId="8" borderId="3" xfId="0" applyFill="1" applyBorder="1" applyAlignment="1">
      <alignment vertical="top" wrapText="1"/>
    </xf>
    <xf numFmtId="0" fontId="0" fillId="8" borderId="9" xfId="0" applyFill="1" applyBorder="1" applyAlignment="1">
      <alignment vertical="top" wrapText="1"/>
    </xf>
    <xf numFmtId="44" fontId="0" fillId="3" borderId="3" xfId="0" applyNumberFormat="1" applyFill="1" applyBorder="1" applyAlignment="1">
      <alignment vertical="top" wrapText="1"/>
    </xf>
    <xf numFmtId="0" fontId="20" fillId="0" borderId="0" xfId="0" applyFont="1" applyAlignment="1">
      <alignment vertical="center" wrapText="1"/>
    </xf>
    <xf numFmtId="168" fontId="41" fillId="3" borderId="2" xfId="0" applyNumberFormat="1" applyFont="1" applyFill="1" applyBorder="1" applyAlignment="1">
      <alignment horizontal="right" vertical="center" wrapText="1"/>
    </xf>
    <xf numFmtId="0" fontId="7" fillId="6" borderId="5" xfId="0" applyFont="1" applyFill="1" applyBorder="1" applyAlignment="1">
      <alignment vertical="center" wrapText="1"/>
    </xf>
    <xf numFmtId="0" fontId="7" fillId="6" borderId="0" xfId="0" applyFont="1" applyFill="1" applyAlignment="1">
      <alignment vertical="center" wrapText="1"/>
    </xf>
    <xf numFmtId="0" fontId="7" fillId="6" borderId="7" xfId="0" applyFont="1" applyFill="1" applyBorder="1" applyAlignment="1">
      <alignment vertical="center" wrapText="1"/>
    </xf>
    <xf numFmtId="0" fontId="0" fillId="0" borderId="7" xfId="0" applyBorder="1" applyAlignment="1">
      <alignment vertical="center"/>
    </xf>
    <xf numFmtId="0" fontId="25" fillId="6" borderId="0" xfId="0" applyFont="1" applyFill="1" applyAlignment="1">
      <alignment vertical="center"/>
    </xf>
    <xf numFmtId="0" fontId="25" fillId="6" borderId="7" xfId="0" applyFont="1" applyFill="1" applyBorder="1" applyAlignment="1">
      <alignment vertical="center"/>
    </xf>
    <xf numFmtId="169" fontId="0" fillId="0" borderId="0" xfId="0" applyNumberFormat="1"/>
    <xf numFmtId="14" fontId="0" fillId="0" borderId="0" xfId="0" applyNumberFormat="1"/>
    <xf numFmtId="169" fontId="0" fillId="0" borderId="0" xfId="0" applyNumberFormat="1" applyAlignment="1">
      <alignment horizontal="right"/>
    </xf>
    <xf numFmtId="0" fontId="0" fillId="12" borderId="2" xfId="0" applyFill="1" applyBorder="1" applyAlignment="1" applyProtection="1">
      <alignment horizontal="right" vertical="center" wrapText="1"/>
      <protection locked="0"/>
    </xf>
    <xf numFmtId="14" fontId="11" fillId="12" borderId="2" xfId="0" applyNumberFormat="1" applyFont="1" applyFill="1" applyBorder="1" applyAlignment="1" applyProtection="1">
      <alignment horizontal="left" vertical="center" wrapText="1"/>
      <protection locked="0"/>
    </xf>
    <xf numFmtId="14" fontId="0" fillId="12" borderId="2" xfId="0" applyNumberFormat="1" applyFill="1" applyBorder="1" applyAlignment="1" applyProtection="1">
      <alignment horizontal="left" vertical="center" wrapText="1"/>
      <protection locked="0"/>
    </xf>
    <xf numFmtId="0" fontId="11" fillId="12" borderId="2" xfId="0" applyFont="1" applyFill="1" applyBorder="1" applyAlignment="1" applyProtection="1">
      <alignment horizontal="right" vertical="center" wrapText="1"/>
      <protection locked="0"/>
    </xf>
    <xf numFmtId="0" fontId="0" fillId="12" borderId="9" xfId="0" applyFill="1" applyBorder="1" applyAlignment="1" applyProtection="1">
      <alignment horizontal="right" vertical="center"/>
      <protection locked="0"/>
    </xf>
    <xf numFmtId="0" fontId="69" fillId="12" borderId="2" xfId="0" applyFont="1" applyFill="1" applyBorder="1" applyAlignment="1" applyProtection="1">
      <alignment horizontal="right" vertical="center" wrapText="1"/>
      <protection locked="0"/>
    </xf>
    <xf numFmtId="0" fontId="11" fillId="12" borderId="2" xfId="0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wrapText="1"/>
    </xf>
    <xf numFmtId="169" fontId="39" fillId="8" borderId="2" xfId="0" applyNumberFormat="1" applyFont="1" applyFill="1" applyBorder="1" applyAlignment="1">
      <alignment vertical="center" wrapText="1"/>
    </xf>
    <xf numFmtId="14" fontId="0" fillId="0" borderId="0" xfId="0" applyNumberFormat="1" applyAlignment="1">
      <alignment wrapText="1"/>
    </xf>
    <xf numFmtId="14" fontId="39" fillId="8" borderId="3" xfId="0" applyNumberFormat="1" applyFont="1" applyFill="1" applyBorder="1" applyAlignment="1" applyProtection="1">
      <alignment horizontal="centerContinuous" vertical="center" wrapText="1"/>
      <protection locked="0"/>
    </xf>
    <xf numFmtId="14" fontId="39" fillId="8" borderId="9" xfId="0" applyNumberFormat="1" applyFont="1" applyFill="1" applyBorder="1" applyAlignment="1" applyProtection="1">
      <alignment horizontal="centerContinuous" vertical="center" wrapText="1"/>
      <protection locked="0"/>
    </xf>
    <xf numFmtId="0" fontId="71" fillId="12" borderId="2" xfId="11" applyFill="1" applyBorder="1" applyAlignment="1" applyProtection="1">
      <alignment horizontal="right" vertical="center"/>
      <protection locked="0"/>
    </xf>
    <xf numFmtId="0" fontId="0" fillId="6" borderId="0" xfId="0" applyFill="1" applyAlignment="1">
      <alignment wrapText="1"/>
    </xf>
    <xf numFmtId="170" fontId="0" fillId="6" borderId="0" xfId="0" applyNumberFormat="1" applyFill="1" applyAlignment="1">
      <alignment wrapText="1"/>
    </xf>
    <xf numFmtId="0" fontId="0" fillId="2" borderId="0" xfId="0" applyFill="1" applyAlignment="1">
      <alignment wrapText="1"/>
    </xf>
    <xf numFmtId="169" fontId="0" fillId="6" borderId="0" xfId="0" applyNumberFormat="1" applyFill="1" applyAlignment="1">
      <alignment wrapText="1"/>
    </xf>
    <xf numFmtId="169" fontId="0" fillId="0" borderId="0" xfId="0" applyNumberFormat="1" applyAlignment="1">
      <alignment wrapText="1"/>
    </xf>
    <xf numFmtId="0" fontId="69" fillId="12" borderId="2" xfId="0" applyFont="1" applyFill="1" applyBorder="1" applyAlignment="1" applyProtection="1">
      <alignment horizontal="right" vertical="center"/>
      <protection locked="0"/>
    </xf>
    <xf numFmtId="0" fontId="19" fillId="0" borderId="0" xfId="0" applyFont="1" applyProtection="1">
      <protection hidden="1"/>
    </xf>
    <xf numFmtId="0" fontId="44" fillId="12" borderId="0" xfId="0" applyFont="1" applyFill="1" applyAlignment="1" applyProtection="1">
      <alignment vertical="center"/>
      <protection locked="0" hidden="1"/>
    </xf>
    <xf numFmtId="0" fontId="44" fillId="12" borderId="0" xfId="0" applyFont="1" applyFill="1" applyAlignment="1" applyProtection="1">
      <alignment horizontal="left" vertical="center" indent="1"/>
      <protection locked="0" hidden="1"/>
    </xf>
    <xf numFmtId="0" fontId="56" fillId="6" borderId="14" xfId="0" applyFont="1" applyFill="1" applyBorder="1" applyAlignment="1" applyProtection="1">
      <alignment horizontal="center" vertical="center"/>
      <protection hidden="1"/>
    </xf>
    <xf numFmtId="167" fontId="57" fillId="3" borderId="12" xfId="0" applyNumberFormat="1" applyFont="1" applyFill="1" applyBorder="1" applyAlignment="1" applyProtection="1">
      <alignment horizontal="center" vertical="center"/>
      <protection hidden="1"/>
    </xf>
    <xf numFmtId="167" fontId="58" fillId="11" borderId="14" xfId="0" applyNumberFormat="1" applyFont="1" applyFill="1" applyBorder="1" applyAlignment="1" applyProtection="1">
      <alignment horizontal="center" vertical="center"/>
      <protection hidden="1"/>
    </xf>
    <xf numFmtId="0" fontId="58" fillId="0" borderId="0" xfId="0" applyFont="1" applyProtection="1">
      <protection hidden="1"/>
    </xf>
    <xf numFmtId="0" fontId="0" fillId="0" borderId="0" xfId="0" applyProtection="1">
      <protection hidden="1"/>
    </xf>
    <xf numFmtId="0" fontId="56" fillId="6" borderId="15" xfId="0" applyFont="1" applyFill="1" applyBorder="1" applyAlignment="1" applyProtection="1">
      <alignment vertical="center"/>
      <protection hidden="1"/>
    </xf>
    <xf numFmtId="0" fontId="57" fillId="6" borderId="12" xfId="0" applyFont="1" applyFill="1" applyBorder="1" applyAlignment="1" applyProtection="1">
      <alignment horizontal="center" vertical="center"/>
      <protection hidden="1"/>
    </xf>
    <xf numFmtId="0" fontId="61" fillId="0" borderId="15" xfId="0" applyFont="1" applyBorder="1" applyAlignment="1" applyProtection="1">
      <alignment horizontal="center" vertical="center"/>
      <protection hidden="1"/>
    </xf>
    <xf numFmtId="0" fontId="56" fillId="6" borderId="16" xfId="0" applyFont="1" applyFill="1" applyBorder="1" applyAlignment="1" applyProtection="1">
      <alignment vertical="center"/>
      <protection hidden="1"/>
    </xf>
    <xf numFmtId="167" fontId="58" fillId="11" borderId="16" xfId="0" applyNumberFormat="1" applyFont="1" applyFill="1" applyBorder="1" applyAlignment="1" applyProtection="1">
      <alignment horizontal="center" vertical="center"/>
      <protection hidden="1"/>
    </xf>
    <xf numFmtId="0" fontId="58" fillId="6" borderId="13" xfId="0" applyFont="1" applyFill="1" applyBorder="1" applyProtection="1">
      <protection hidden="1"/>
    </xf>
    <xf numFmtId="0" fontId="10" fillId="0" borderId="0" xfId="0" applyFont="1" applyProtection="1">
      <protection hidden="1"/>
    </xf>
    <xf numFmtId="0" fontId="59" fillId="5" borderId="12" xfId="0" applyFont="1" applyFill="1" applyBorder="1" applyAlignment="1" applyProtection="1">
      <alignment vertical="center"/>
      <protection hidden="1"/>
    </xf>
    <xf numFmtId="0" fontId="59" fillId="5" borderId="12" xfId="0" applyFont="1" applyFill="1" applyBorder="1" applyAlignment="1" applyProtection="1">
      <alignment horizontal="center" vertical="center"/>
      <protection hidden="1"/>
    </xf>
    <xf numFmtId="0" fontId="16" fillId="0" borderId="0" xfId="0" applyFont="1" applyProtection="1">
      <protection hidden="1"/>
    </xf>
    <xf numFmtId="0" fontId="59" fillId="6" borderId="14" xfId="0" applyFont="1" applyFill="1" applyBorder="1" applyAlignment="1" applyProtection="1">
      <alignment horizontal="left" vertical="center" wrapText="1"/>
      <protection hidden="1"/>
    </xf>
    <xf numFmtId="0" fontId="57" fillId="6" borderId="14" xfId="0" applyFont="1" applyFill="1" applyBorder="1" applyAlignment="1" applyProtection="1">
      <alignment horizontal="center" vertical="center" wrapText="1"/>
      <protection hidden="1"/>
    </xf>
    <xf numFmtId="44" fontId="62" fillId="6" borderId="17" xfId="0" applyNumberFormat="1" applyFont="1" applyFill="1" applyBorder="1" applyAlignment="1" applyProtection="1">
      <alignment horizontal="right"/>
      <protection hidden="1"/>
    </xf>
    <xf numFmtId="0" fontId="18" fillId="0" borderId="0" xfId="0" applyFont="1" applyProtection="1">
      <protection hidden="1"/>
    </xf>
    <xf numFmtId="0" fontId="56" fillId="4" borderId="12" xfId="0" applyFont="1" applyFill="1" applyBorder="1" applyAlignment="1" applyProtection="1">
      <alignment horizontal="left" vertical="center"/>
      <protection hidden="1"/>
    </xf>
    <xf numFmtId="0" fontId="56" fillId="3" borderId="18" xfId="0" applyFont="1" applyFill="1" applyBorder="1" applyAlignment="1" applyProtection="1">
      <alignment horizontal="right" vertical="center"/>
      <protection hidden="1"/>
    </xf>
    <xf numFmtId="9" fontId="61" fillId="3" borderId="20" xfId="0" applyNumberFormat="1" applyFont="1" applyFill="1" applyBorder="1" applyAlignment="1" applyProtection="1">
      <alignment horizontal="right"/>
      <protection hidden="1"/>
    </xf>
    <xf numFmtId="0" fontId="9" fillId="0" borderId="0" xfId="0" applyFont="1" applyProtection="1">
      <protection hidden="1"/>
    </xf>
    <xf numFmtId="165" fontId="59" fillId="5" borderId="18" xfId="0" applyNumberFormat="1" applyFont="1" applyFill="1" applyBorder="1" applyAlignment="1" applyProtection="1">
      <alignment horizontal="right" vertical="center" wrapText="1"/>
      <protection hidden="1"/>
    </xf>
    <xf numFmtId="44" fontId="63" fillId="5" borderId="20" xfId="0" applyNumberFormat="1" applyFont="1" applyFill="1" applyBorder="1" applyAlignment="1" applyProtection="1">
      <alignment horizontal="right" vertical="center"/>
      <protection hidden="1"/>
    </xf>
    <xf numFmtId="44" fontId="64" fillId="5" borderId="20" xfId="0" applyNumberFormat="1" applyFont="1" applyFill="1" applyBorder="1" applyAlignment="1" applyProtection="1">
      <alignment horizontal="righ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56" fillId="0" borderId="18" xfId="0" applyFont="1" applyBorder="1" applyProtection="1">
      <protection hidden="1"/>
    </xf>
    <xf numFmtId="44" fontId="60" fillId="6" borderId="0" xfId="0" applyNumberFormat="1" applyFont="1" applyFill="1" applyAlignment="1" applyProtection="1">
      <alignment horizontal="right"/>
      <protection hidden="1"/>
    </xf>
    <xf numFmtId="44" fontId="58" fillId="6" borderId="0" xfId="0" applyNumberFormat="1" applyFont="1" applyFill="1" applyAlignment="1" applyProtection="1">
      <alignment horizontal="right"/>
      <protection hidden="1"/>
    </xf>
    <xf numFmtId="44" fontId="58" fillId="0" borderId="0" xfId="0" applyNumberFormat="1" applyFont="1" applyProtection="1">
      <protection hidden="1"/>
    </xf>
    <xf numFmtId="0" fontId="58" fillId="0" borderId="21" xfId="0" applyFont="1" applyBorder="1" applyAlignment="1" applyProtection="1">
      <alignment horizontal="right" vertical="center"/>
      <protection hidden="1"/>
    </xf>
    <xf numFmtId="0" fontId="56" fillId="6" borderId="0" xfId="0" applyFont="1" applyFill="1" applyAlignment="1" applyProtection="1">
      <alignment horizontal="right"/>
      <protection hidden="1"/>
    </xf>
    <xf numFmtId="44" fontId="58" fillId="3" borderId="22" xfId="0" applyNumberFormat="1" applyFont="1" applyFill="1" applyBorder="1" applyAlignment="1" applyProtection="1">
      <alignment horizontal="right"/>
      <protection hidden="1"/>
    </xf>
    <xf numFmtId="0" fontId="19" fillId="6" borderId="0" xfId="0" applyFont="1" applyFill="1" applyProtection="1">
      <protection hidden="1"/>
    </xf>
    <xf numFmtId="0" fontId="30" fillId="0" borderId="0" xfId="0" applyFont="1" applyProtection="1">
      <protection hidden="1"/>
    </xf>
    <xf numFmtId="0" fontId="34" fillId="0" borderId="0" xfId="0" applyFont="1" applyProtection="1">
      <protection hidden="1"/>
    </xf>
    <xf numFmtId="0" fontId="21" fillId="0" borderId="0" xfId="0" applyFont="1" applyProtection="1">
      <protection hidden="1"/>
    </xf>
    <xf numFmtId="0" fontId="70" fillId="0" borderId="0" xfId="0" applyFont="1" applyAlignment="1">
      <alignment vertical="center"/>
    </xf>
    <xf numFmtId="0" fontId="70" fillId="0" borderId="0" xfId="0" applyFont="1" applyAlignment="1">
      <alignment horizontal="left" vertical="center"/>
    </xf>
    <xf numFmtId="14" fontId="70" fillId="0" borderId="0" xfId="0" applyNumberFormat="1" applyFont="1" applyAlignment="1">
      <alignment horizontal="left" vertical="center"/>
    </xf>
    <xf numFmtId="0" fontId="20" fillId="12" borderId="17" xfId="0" applyFont="1" applyFill="1" applyBorder="1" applyAlignment="1" applyProtection="1">
      <alignment horizontal="center" vertical="center" wrapText="1"/>
      <protection locked="0"/>
    </xf>
    <xf numFmtId="0" fontId="20" fillId="12" borderId="39" xfId="0" applyFont="1" applyFill="1" applyBorder="1" applyAlignment="1" applyProtection="1">
      <alignment horizontal="center" vertical="center" wrapText="1"/>
      <protection locked="0"/>
    </xf>
    <xf numFmtId="10" fontId="20" fillId="12" borderId="39" xfId="0" applyNumberFormat="1" applyFont="1" applyFill="1" applyBorder="1" applyAlignment="1" applyProtection="1">
      <alignment horizontal="center" vertical="center" wrapText="1"/>
      <protection locked="0"/>
    </xf>
    <xf numFmtId="49" fontId="20" fillId="12" borderId="39" xfId="0" applyNumberFormat="1" applyFont="1" applyFill="1" applyBorder="1" applyAlignment="1" applyProtection="1">
      <alignment horizontal="center" vertical="center" wrapText="1"/>
      <protection locked="0"/>
    </xf>
    <xf numFmtId="169" fontId="20" fillId="12" borderId="39" xfId="0" applyNumberFormat="1" applyFont="1" applyFill="1" applyBorder="1" applyAlignment="1" applyProtection="1">
      <alignment vertical="center"/>
      <protection locked="0"/>
    </xf>
    <xf numFmtId="164" fontId="20" fillId="12" borderId="39" xfId="0" applyNumberFormat="1" applyFont="1" applyFill="1" applyBorder="1" applyAlignment="1" applyProtection="1">
      <alignment vertical="center" wrapText="1"/>
      <protection locked="0"/>
    </xf>
    <xf numFmtId="0" fontId="9" fillId="12" borderId="2" xfId="0" applyFont="1" applyFill="1" applyBorder="1" applyAlignment="1" applyProtection="1">
      <alignment horizontal="right" vertical="center" wrapText="1"/>
      <protection locked="0"/>
    </xf>
    <xf numFmtId="0" fontId="33" fillId="4" borderId="1" xfId="0" applyFont="1" applyFill="1" applyBorder="1" applyAlignment="1" applyProtection="1">
      <alignment horizontal="centerContinuous" vertical="center" wrapText="1"/>
    </xf>
    <xf numFmtId="0" fontId="33" fillId="4" borderId="1" xfId="0" applyFont="1" applyFill="1" applyBorder="1" applyAlignment="1" applyProtection="1">
      <alignment vertical="center" wrapText="1"/>
    </xf>
    <xf numFmtId="0" fontId="0" fillId="0" borderId="0" xfId="0" applyAlignment="1" applyProtection="1">
      <alignment vertical="center"/>
    </xf>
    <xf numFmtId="0" fontId="13" fillId="6" borderId="0" xfId="0" applyFont="1" applyFill="1" applyAlignment="1" applyProtection="1">
      <alignment horizontal="left" vertical="center"/>
    </xf>
    <xf numFmtId="0" fontId="11" fillId="6" borderId="0" xfId="0" applyFont="1" applyFill="1" applyAlignment="1" applyProtection="1">
      <alignment vertical="center"/>
    </xf>
    <xf numFmtId="0" fontId="26" fillId="6" borderId="0" xfId="0" applyFont="1" applyFill="1" applyAlignment="1" applyProtection="1">
      <alignment vertical="center"/>
    </xf>
    <xf numFmtId="0" fontId="0" fillId="0" borderId="0" xfId="0" applyProtection="1"/>
    <xf numFmtId="0" fontId="0" fillId="0" borderId="3" xfId="0" applyBorder="1" applyAlignment="1" applyProtection="1">
      <alignment horizontal="right" vertical="center" wrapText="1"/>
    </xf>
    <xf numFmtId="0" fontId="0" fillId="0" borderId="3" xfId="0" applyBorder="1" applyAlignment="1" applyProtection="1">
      <alignment vertical="center" wrapText="1"/>
    </xf>
    <xf numFmtId="0" fontId="49" fillId="0" borderId="0" xfId="0" applyFont="1" applyAlignment="1" applyProtection="1">
      <alignment vertical="center"/>
    </xf>
    <xf numFmtId="0" fontId="11" fillId="6" borderId="0" xfId="0" applyFont="1" applyFill="1" applyAlignment="1" applyProtection="1">
      <alignment horizontal="right" vertical="center"/>
    </xf>
    <xf numFmtId="0" fontId="0" fillId="0" borderId="38" xfId="0" applyBorder="1" applyAlignment="1" applyProtection="1">
      <alignment horizontal="right" vertical="center" wrapText="1"/>
    </xf>
    <xf numFmtId="9" fontId="0" fillId="10" borderId="2" xfId="0" applyNumberFormat="1" applyFill="1" applyBorder="1" applyAlignment="1" applyProtection="1">
      <alignment horizontal="right" vertical="center"/>
    </xf>
    <xf numFmtId="0" fontId="0" fillId="0" borderId="2" xfId="0" applyBorder="1" applyAlignment="1" applyProtection="1">
      <alignment vertical="center"/>
    </xf>
    <xf numFmtId="0" fontId="0" fillId="0" borderId="2" xfId="0" applyBorder="1" applyAlignment="1" applyProtection="1">
      <alignment horizontal="right" vertical="center"/>
    </xf>
    <xf numFmtId="0" fontId="11" fillId="0" borderId="38" xfId="0" applyFont="1" applyBorder="1" applyAlignment="1" applyProtection="1">
      <alignment horizontal="right" vertical="center" wrapText="1"/>
    </xf>
    <xf numFmtId="14" fontId="11" fillId="10" borderId="2" xfId="0" applyNumberFormat="1" applyFont="1" applyFill="1" applyBorder="1" applyAlignment="1" applyProtection="1">
      <alignment horizontal="right" vertical="center" wrapText="1"/>
    </xf>
    <xf numFmtId="0" fontId="0" fillId="0" borderId="3" xfId="0" applyBorder="1" applyAlignment="1" applyProtection="1">
      <alignment vertical="center"/>
    </xf>
    <xf numFmtId="0" fontId="0" fillId="10" borderId="2" xfId="0" applyFill="1" applyBorder="1" applyAlignment="1" applyProtection="1">
      <alignment horizontal="center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 wrapText="1"/>
    </xf>
    <xf numFmtId="0" fontId="0" fillId="0" borderId="41" xfId="0" applyBorder="1" applyProtection="1"/>
    <xf numFmtId="0" fontId="69" fillId="0" borderId="38" xfId="0" applyFont="1" applyBorder="1" applyAlignment="1" applyProtection="1">
      <alignment horizontal="right" vertical="center" wrapText="1"/>
    </xf>
    <xf numFmtId="0" fontId="69" fillId="0" borderId="9" xfId="0" applyFont="1" applyBorder="1" applyAlignment="1" applyProtection="1">
      <alignment horizontal="right" vertical="center" wrapText="1"/>
    </xf>
    <xf numFmtId="0" fontId="69" fillId="0" borderId="2" xfId="0" applyFont="1" applyBorder="1" applyAlignment="1" applyProtection="1">
      <alignment horizontal="right" vertical="center"/>
    </xf>
    <xf numFmtId="0" fontId="11" fillId="6" borderId="0" xfId="0" applyFont="1" applyFill="1" applyAlignment="1" applyProtection="1">
      <alignment horizontal="left" vertical="center"/>
    </xf>
    <xf numFmtId="0" fontId="0" fillId="6" borderId="0" xfId="0" applyFill="1" applyAlignment="1" applyProtection="1">
      <alignment vertical="center"/>
    </xf>
    <xf numFmtId="0" fontId="0" fillId="6" borderId="0" xfId="0" applyFill="1" applyAlignment="1" applyProtection="1">
      <alignment horizontal="right"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right" vertical="center" wrapText="1"/>
    </xf>
    <xf numFmtId="0" fontId="26" fillId="0" borderId="0" xfId="0" applyFont="1" applyAlignment="1" applyProtection="1">
      <alignment horizontal="right" vertical="center" wrapText="1"/>
    </xf>
    <xf numFmtId="0" fontId="26" fillId="0" borderId="0" xfId="0" applyFont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0" fillId="0" borderId="0" xfId="0" applyAlignment="1" applyProtection="1">
      <alignment horizontal="right" vertical="center" wrapText="1"/>
    </xf>
    <xf numFmtId="169" fontId="11" fillId="10" borderId="2" xfId="0" applyNumberFormat="1" applyFont="1" applyFill="1" applyBorder="1" applyAlignment="1" applyProtection="1">
      <alignment horizontal="right" vertical="center" wrapText="1"/>
    </xf>
    <xf numFmtId="0" fontId="11" fillId="10" borderId="2" xfId="0" applyNumberFormat="1" applyFont="1" applyFill="1" applyBorder="1" applyAlignment="1" applyProtection="1">
      <alignment horizontal="right" vertical="center" wrapText="1"/>
    </xf>
    <xf numFmtId="0" fontId="20" fillId="0" borderId="0" xfId="0" applyFont="1" applyAlignment="1" applyProtection="1">
      <alignment vertical="center" wrapText="1"/>
    </xf>
    <xf numFmtId="10" fontId="20" fillId="0" borderId="0" xfId="0" applyNumberFormat="1" applyFont="1" applyAlignment="1" applyProtection="1">
      <alignment vertical="center" wrapText="1"/>
    </xf>
    <xf numFmtId="0" fontId="20" fillId="6" borderId="0" xfId="0" applyFont="1" applyFill="1" applyAlignment="1" applyProtection="1">
      <alignment vertical="center" wrapText="1"/>
    </xf>
    <xf numFmtId="0" fontId="31" fillId="6" borderId="0" xfId="0" applyFont="1" applyFill="1" applyAlignment="1" applyProtection="1">
      <alignment vertical="center" wrapText="1"/>
    </xf>
    <xf numFmtId="0" fontId="22" fillId="0" borderId="0" xfId="0" applyFont="1" applyAlignment="1" applyProtection="1">
      <alignment vertical="center" wrapText="1"/>
    </xf>
    <xf numFmtId="0" fontId="31" fillId="0" borderId="0" xfId="0" applyFont="1" applyAlignment="1" applyProtection="1">
      <alignment vertical="center" wrapText="1"/>
    </xf>
    <xf numFmtId="0" fontId="20" fillId="6" borderId="0" xfId="0" applyFont="1" applyFill="1" applyAlignment="1" applyProtection="1">
      <alignment horizontal="center" vertical="center" wrapText="1"/>
    </xf>
    <xf numFmtId="49" fontId="20" fillId="0" borderId="0" xfId="0" applyNumberFormat="1" applyFont="1" applyAlignment="1" applyProtection="1">
      <alignment horizontal="left" vertical="center" wrapText="1"/>
    </xf>
    <xf numFmtId="0" fontId="20" fillId="0" borderId="0" xfId="0" applyFont="1" applyAlignment="1" applyProtection="1">
      <alignment horizontal="center" vertical="center" wrapText="1"/>
    </xf>
    <xf numFmtId="0" fontId="20" fillId="0" borderId="0" xfId="0" applyFont="1" applyAlignment="1" applyProtection="1">
      <alignment horizontal="center" vertical="top" wrapText="1"/>
    </xf>
    <xf numFmtId="165" fontId="20" fillId="0" borderId="0" xfId="0" applyNumberFormat="1" applyFont="1" applyAlignment="1" applyProtection="1">
      <alignment vertical="center" wrapText="1"/>
    </xf>
    <xf numFmtId="0" fontId="46" fillId="12" borderId="0" xfId="0" applyFont="1" applyFill="1" applyAlignment="1" applyProtection="1">
      <alignment vertical="center"/>
      <protection locked="0" hidden="1"/>
    </xf>
    <xf numFmtId="44" fontId="58" fillId="3" borderId="44" xfId="0" applyNumberFormat="1" applyFont="1" applyFill="1" applyBorder="1" applyAlignment="1" applyProtection="1">
      <alignment horizontal="right"/>
      <protection hidden="1"/>
    </xf>
    <xf numFmtId="44" fontId="58" fillId="3" borderId="42" xfId="0" applyNumberFormat="1" applyFont="1" applyFill="1" applyBorder="1" applyAlignment="1" applyProtection="1">
      <alignment horizontal="right"/>
      <protection hidden="1"/>
    </xf>
    <xf numFmtId="44" fontId="58" fillId="3" borderId="43" xfId="0" applyNumberFormat="1" applyFont="1" applyFill="1" applyBorder="1" applyAlignment="1" applyProtection="1">
      <alignment horizontal="right"/>
      <protection hidden="1"/>
    </xf>
    <xf numFmtId="0" fontId="0" fillId="0" borderId="0" xfId="0" applyFill="1"/>
    <xf numFmtId="169" fontId="0" fillId="0" borderId="0" xfId="0" applyNumberFormat="1" applyFill="1"/>
    <xf numFmtId="1" fontId="11" fillId="10" borderId="2" xfId="0" applyNumberFormat="1" applyFont="1" applyFill="1" applyBorder="1" applyAlignment="1" applyProtection="1">
      <alignment horizontal="right" vertical="center" wrapText="1"/>
    </xf>
    <xf numFmtId="14" fontId="0" fillId="0" borderId="0" xfId="0" applyNumberFormat="1" applyFill="1"/>
    <xf numFmtId="166" fontId="0" fillId="0" borderId="0" xfId="0" applyNumberFormat="1"/>
    <xf numFmtId="166" fontId="0" fillId="0" borderId="0" xfId="0" applyNumberFormat="1" applyFill="1"/>
    <xf numFmtId="0" fontId="64" fillId="6" borderId="56" xfId="7" applyFont="1" applyFill="1" applyBorder="1" applyAlignment="1" applyProtection="1">
      <alignment horizontal="center" vertical="center" wrapText="1"/>
    </xf>
    <xf numFmtId="0" fontId="20" fillId="6" borderId="56" xfId="0" applyFont="1" applyFill="1" applyBorder="1" applyAlignment="1" applyProtection="1">
      <alignment horizontal="center" vertical="center" wrapText="1"/>
    </xf>
    <xf numFmtId="0" fontId="20" fillId="7" borderId="56" xfId="0" applyFont="1" applyFill="1" applyBorder="1" applyAlignment="1" applyProtection="1">
      <alignment horizontal="center" vertical="center" wrapText="1"/>
    </xf>
    <xf numFmtId="0" fontId="17" fillId="9" borderId="56" xfId="0" applyFont="1" applyFill="1" applyBorder="1" applyAlignment="1" applyProtection="1">
      <alignment horizontal="center" vertical="center" wrapText="1"/>
    </xf>
    <xf numFmtId="14" fontId="20" fillId="12" borderId="17" xfId="0" applyNumberFormat="1" applyFont="1" applyFill="1" applyBorder="1" applyAlignment="1" applyProtection="1">
      <alignment horizontal="center" vertical="center" wrapText="1"/>
      <protection locked="0"/>
    </xf>
    <xf numFmtId="0" fontId="64" fillId="0" borderId="61" xfId="7" applyFont="1" applyBorder="1" applyAlignment="1" applyProtection="1">
      <alignment horizontal="center" vertical="center" wrapText="1"/>
    </xf>
    <xf numFmtId="0" fontId="64" fillId="6" borderId="62" xfId="7" applyFont="1" applyFill="1" applyBorder="1" applyAlignment="1" applyProtection="1">
      <alignment horizontal="center" vertical="center" wrapText="1"/>
    </xf>
    <xf numFmtId="0" fontId="20" fillId="12" borderId="63" xfId="0" applyFont="1" applyFill="1" applyBorder="1" applyAlignment="1" applyProtection="1">
      <alignment horizontal="center" vertical="center" wrapText="1"/>
      <protection locked="0"/>
    </xf>
    <xf numFmtId="0" fontId="20" fillId="12" borderId="64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vertical="center" wrapText="1"/>
    </xf>
    <xf numFmtId="0" fontId="20" fillId="0" borderId="60" xfId="0" applyFont="1" applyBorder="1" applyAlignment="1" applyProtection="1">
      <alignment vertical="center" wrapText="1"/>
    </xf>
    <xf numFmtId="0" fontId="20" fillId="0" borderId="59" xfId="0" applyFont="1" applyBorder="1" applyAlignment="1" applyProtection="1">
      <alignment vertical="center" wrapText="1"/>
    </xf>
    <xf numFmtId="169" fontId="77" fillId="16" borderId="52" xfId="13" applyNumberFormat="1" applyAlignment="1" applyProtection="1">
      <alignment vertical="center"/>
      <protection locked="0"/>
    </xf>
    <xf numFmtId="10" fontId="77" fillId="16" borderId="52" xfId="13" applyNumberFormat="1" applyAlignment="1" applyProtection="1">
      <alignment horizontal="center" vertical="center" wrapText="1"/>
    </xf>
    <xf numFmtId="0" fontId="77" fillId="16" borderId="52" xfId="13" applyAlignment="1" applyProtection="1">
      <alignment horizontal="center" vertical="center" wrapText="1"/>
    </xf>
    <xf numFmtId="165" fontId="77" fillId="16" borderId="52" xfId="13" applyNumberFormat="1" applyAlignment="1" applyProtection="1">
      <alignment horizontal="center" vertical="center" wrapText="1"/>
    </xf>
    <xf numFmtId="10" fontId="77" fillId="16" borderId="52" xfId="13" applyNumberFormat="1" applyAlignment="1" applyProtection="1">
      <alignment vertical="center"/>
      <protection locked="0"/>
    </xf>
    <xf numFmtId="0" fontId="38" fillId="0" borderId="0" xfId="0" applyFont="1" applyAlignment="1">
      <alignment horizontal="left"/>
    </xf>
    <xf numFmtId="165" fontId="56" fillId="18" borderId="14" xfId="0" applyNumberFormat="1" applyFont="1" applyFill="1" applyBorder="1" applyAlignment="1" applyProtection="1">
      <alignment horizontal="center" vertical="center" wrapText="1"/>
      <protection hidden="1"/>
    </xf>
    <xf numFmtId="0" fontId="58" fillId="19" borderId="14" xfId="0" applyFont="1" applyFill="1" applyBorder="1" applyAlignment="1" applyProtection="1">
      <alignment horizontal="center" vertical="center" wrapText="1"/>
      <protection hidden="1"/>
    </xf>
    <xf numFmtId="44" fontId="1" fillId="3" borderId="67" xfId="0" applyNumberFormat="1" applyFont="1" applyFill="1" applyBorder="1" applyAlignment="1" applyProtection="1">
      <protection hidden="1"/>
    </xf>
    <xf numFmtId="165" fontId="61" fillId="6" borderId="0" xfId="0" applyNumberFormat="1" applyFont="1" applyFill="1" applyBorder="1" applyAlignment="1" applyProtection="1">
      <alignment horizontal="right" wrapText="1"/>
      <protection hidden="1"/>
    </xf>
    <xf numFmtId="44" fontId="58" fillId="6" borderId="0" xfId="0" applyNumberFormat="1" applyFont="1" applyFill="1" applyBorder="1" applyAlignment="1" applyProtection="1">
      <alignment horizontal="right"/>
      <protection hidden="1"/>
    </xf>
    <xf numFmtId="0" fontId="58" fillId="14" borderId="47" xfId="0" applyFont="1" applyFill="1" applyBorder="1" applyAlignment="1" applyProtection="1">
      <alignment vertical="center" wrapText="1"/>
      <protection hidden="1"/>
    </xf>
    <xf numFmtId="0" fontId="58" fillId="14" borderId="46" xfId="0" applyFont="1" applyFill="1" applyBorder="1" applyAlignment="1" applyProtection="1">
      <alignment vertical="center" wrapText="1"/>
      <protection hidden="1"/>
    </xf>
    <xf numFmtId="0" fontId="58" fillId="14" borderId="45" xfId="0" applyFont="1" applyFill="1" applyBorder="1" applyAlignment="1" applyProtection="1">
      <alignment vertical="center" wrapText="1"/>
      <protection hidden="1"/>
    </xf>
    <xf numFmtId="165" fontId="61" fillId="13" borderId="47" xfId="0" applyNumberFormat="1" applyFont="1" applyFill="1" applyBorder="1" applyAlignment="1" applyProtection="1">
      <alignment horizontal="left" vertical="top"/>
      <protection hidden="1"/>
    </xf>
    <xf numFmtId="0" fontId="33" fillId="17" borderId="0" xfId="0" applyFont="1" applyFill="1" applyBorder="1" applyAlignment="1" applyProtection="1">
      <alignment horizontal="left" vertical="center"/>
    </xf>
    <xf numFmtId="0" fontId="20" fillId="17" borderId="0" xfId="0" applyFont="1" applyFill="1" applyAlignment="1" applyProtection="1">
      <alignment vertical="center" wrapText="1"/>
    </xf>
    <xf numFmtId="0" fontId="31" fillId="17" borderId="0" xfId="0" applyFont="1" applyFill="1" applyAlignment="1" applyProtection="1">
      <alignment vertical="center" wrapText="1"/>
    </xf>
    <xf numFmtId="0" fontId="33" fillId="6" borderId="0" xfId="0" applyFont="1" applyFill="1" applyBorder="1" applyAlignment="1" applyProtection="1">
      <alignment horizontal="left" vertical="center"/>
    </xf>
    <xf numFmtId="0" fontId="58" fillId="6" borderId="21" xfId="0" applyFont="1" applyFill="1" applyBorder="1" applyAlignment="1" applyProtection="1">
      <alignment horizontal="right"/>
      <protection hidden="1"/>
    </xf>
    <xf numFmtId="0" fontId="58" fillId="6" borderId="0" xfId="0" applyFont="1" applyFill="1" applyProtection="1">
      <protection hidden="1"/>
    </xf>
    <xf numFmtId="0" fontId="23" fillId="6" borderId="0" xfId="0" applyFont="1" applyFill="1" applyProtection="1">
      <protection hidden="1"/>
    </xf>
    <xf numFmtId="165" fontId="61" fillId="13" borderId="45" xfId="0" applyNumberFormat="1" applyFont="1" applyFill="1" applyBorder="1" applyAlignment="1" applyProtection="1">
      <alignment horizontal="left" vertical="top"/>
      <protection hidden="1"/>
    </xf>
    <xf numFmtId="44" fontId="58" fillId="3" borderId="69" xfId="0" applyNumberFormat="1" applyFont="1" applyFill="1" applyBorder="1" applyAlignment="1" applyProtection="1">
      <alignment horizontal="right"/>
      <protection hidden="1"/>
    </xf>
    <xf numFmtId="0" fontId="58" fillId="14" borderId="70" xfId="0" applyFont="1" applyFill="1" applyBorder="1" applyAlignment="1" applyProtection="1">
      <alignment vertical="center" wrapText="1"/>
      <protection hidden="1"/>
    </xf>
    <xf numFmtId="44" fontId="58" fillId="3" borderId="71" xfId="0" applyNumberFormat="1" applyFont="1" applyFill="1" applyBorder="1" applyAlignment="1" applyProtection="1">
      <alignment horizontal="right"/>
      <protection hidden="1"/>
    </xf>
    <xf numFmtId="0" fontId="58" fillId="14" borderId="47" xfId="0" applyFont="1" applyFill="1" applyBorder="1" applyAlignment="1" applyProtection="1">
      <alignment vertical="center"/>
      <protection hidden="1"/>
    </xf>
    <xf numFmtId="0" fontId="58" fillId="14" borderId="46" xfId="0" applyFont="1" applyFill="1" applyBorder="1" applyAlignment="1" applyProtection="1">
      <alignment vertical="center"/>
      <protection hidden="1"/>
    </xf>
    <xf numFmtId="0" fontId="58" fillId="14" borderId="70" xfId="0" applyFont="1" applyFill="1" applyBorder="1" applyAlignment="1" applyProtection="1">
      <alignment vertical="center"/>
      <protection hidden="1"/>
    </xf>
    <xf numFmtId="0" fontId="58" fillId="14" borderId="45" xfId="0" applyFont="1" applyFill="1" applyBorder="1" applyAlignment="1" applyProtection="1">
      <alignment vertical="center"/>
      <protection hidden="1"/>
    </xf>
    <xf numFmtId="0" fontId="0" fillId="0" borderId="72" xfId="0" applyBorder="1" applyAlignment="1">
      <alignment horizontal="right"/>
    </xf>
    <xf numFmtId="0" fontId="44" fillId="0" borderId="73" xfId="0" applyFont="1" applyBorder="1" applyAlignment="1">
      <alignment horizontal="center" vertical="center"/>
    </xf>
    <xf numFmtId="44" fontId="58" fillId="20" borderId="68" xfId="0" applyNumberFormat="1" applyFont="1" applyFill="1" applyBorder="1" applyAlignment="1" applyProtection="1">
      <alignment horizontal="right"/>
      <protection hidden="1"/>
    </xf>
    <xf numFmtId="0" fontId="11" fillId="0" borderId="9" xfId="0" applyFont="1" applyBorder="1" applyAlignment="1" applyProtection="1">
      <alignment horizontal="right" vertical="center"/>
    </xf>
    <xf numFmtId="0" fontId="0" fillId="0" borderId="9" xfId="0" applyBorder="1" applyAlignment="1" applyProtection="1">
      <alignment horizontal="right" vertical="center"/>
    </xf>
    <xf numFmtId="0" fontId="33" fillId="4" borderId="26" xfId="0" applyFont="1" applyFill="1" applyBorder="1" applyAlignment="1" applyProtection="1">
      <alignment horizontal="left" vertical="center"/>
    </xf>
    <xf numFmtId="0" fontId="33" fillId="4" borderId="1" xfId="0" applyFont="1" applyFill="1" applyBorder="1" applyAlignment="1" applyProtection="1">
      <alignment horizontal="left" vertical="center"/>
    </xf>
    <xf numFmtId="1" fontId="0" fillId="0" borderId="0" xfId="0" applyNumberFormat="1"/>
    <xf numFmtId="1" fontId="59" fillId="5" borderId="12" xfId="0" applyNumberFormat="1" applyFont="1" applyFill="1" applyBorder="1" applyAlignment="1" applyProtection="1">
      <alignment horizontal="center" vertical="center"/>
      <protection hidden="1"/>
    </xf>
    <xf numFmtId="0" fontId="83" fillId="4" borderId="12" xfId="0" applyFont="1" applyFill="1" applyBorder="1" applyAlignment="1" applyProtection="1">
      <alignment horizontal="left" vertical="center"/>
      <protection hidden="1"/>
    </xf>
    <xf numFmtId="165" fontId="56" fillId="21" borderId="14" xfId="0" applyNumberFormat="1" applyFont="1" applyFill="1" applyBorder="1" applyAlignment="1" applyProtection="1">
      <alignment horizontal="center" vertical="center" wrapText="1"/>
      <protection hidden="1"/>
    </xf>
    <xf numFmtId="0" fontId="79" fillId="15" borderId="65" xfId="12" applyFont="1" applyBorder="1" applyAlignment="1" applyProtection="1">
      <alignment horizontal="center" vertical="center" wrapText="1"/>
    </xf>
    <xf numFmtId="0" fontId="79" fillId="15" borderId="51" xfId="12" applyFont="1" applyBorder="1" applyAlignment="1" applyProtection="1">
      <alignment horizontal="center" vertical="center" wrapText="1"/>
    </xf>
    <xf numFmtId="14" fontId="79" fillId="15" borderId="51" xfId="12" applyNumberFormat="1" applyFont="1" applyFill="1" applyBorder="1" applyAlignment="1" applyProtection="1">
      <alignment horizontal="center" vertical="center" wrapText="1"/>
    </xf>
    <xf numFmtId="2" fontId="79" fillId="15" borderId="66" xfId="12" applyNumberFormat="1" applyFont="1" applyFill="1" applyBorder="1" applyAlignment="1" applyProtection="1">
      <alignment horizontal="center" vertical="center" wrapText="1"/>
    </xf>
    <xf numFmtId="0" fontId="20" fillId="0" borderId="0" xfId="0" applyFont="1" applyAlignment="1" applyProtection="1">
      <alignment vertical="center" wrapText="1"/>
      <protection locked="0"/>
    </xf>
    <xf numFmtId="10" fontId="20" fillId="0" borderId="0" xfId="0" applyNumberFormat="1" applyFont="1" applyAlignment="1" applyProtection="1">
      <alignment vertical="center" wrapText="1"/>
      <protection locked="0"/>
    </xf>
    <xf numFmtId="0" fontId="20" fillId="6" borderId="0" xfId="0" applyFont="1" applyFill="1" applyAlignment="1" applyProtection="1">
      <alignment vertical="center" wrapText="1"/>
      <protection locked="0"/>
    </xf>
    <xf numFmtId="0" fontId="20" fillId="0" borderId="59" xfId="0" applyFont="1" applyBorder="1" applyAlignment="1" applyProtection="1">
      <alignment horizontal="center" vertical="top"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0" fillId="0" borderId="60" xfId="0" applyFont="1" applyBorder="1" applyAlignment="1" applyProtection="1">
      <alignment vertical="center" wrapText="1"/>
      <protection locked="0"/>
    </xf>
    <xf numFmtId="0" fontId="20" fillId="0" borderId="59" xfId="0" applyFont="1" applyBorder="1" applyAlignment="1" applyProtection="1">
      <alignment vertical="center" wrapText="1"/>
      <protection locked="0"/>
    </xf>
    <xf numFmtId="44" fontId="17" fillId="10" borderId="39" xfId="0" applyNumberFormat="1" applyFont="1" applyFill="1" applyBorder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hidden="1"/>
    </xf>
    <xf numFmtId="0" fontId="44" fillId="0" borderId="1" xfId="0" applyFont="1" applyBorder="1" applyAlignment="1" applyProtection="1">
      <alignment vertical="center"/>
      <protection hidden="1"/>
    </xf>
    <xf numFmtId="0" fontId="47" fillId="0" borderId="0" xfId="0" applyFont="1" applyAlignment="1" applyProtection="1">
      <alignment horizontal="left" vertical="center"/>
      <protection hidden="1"/>
    </xf>
    <xf numFmtId="0" fontId="45" fillId="0" borderId="0" xfId="0" applyFont="1" applyProtection="1">
      <protection hidden="1"/>
    </xf>
    <xf numFmtId="0" fontId="46" fillId="0" borderId="0" xfId="0" applyFont="1" applyAlignment="1" applyProtection="1">
      <alignment horizontal="right" vertical="center"/>
      <protection hidden="1"/>
    </xf>
    <xf numFmtId="0" fontId="54" fillId="0" borderId="0" xfId="0" applyFont="1" applyAlignment="1" applyProtection="1">
      <alignment horizontal="right" vertical="center"/>
      <protection hidden="1"/>
    </xf>
    <xf numFmtId="0" fontId="44" fillId="0" borderId="0" xfId="0" applyFont="1" applyAlignment="1" applyProtection="1">
      <alignment horizontal="right" vertical="center"/>
      <protection hidden="1"/>
    </xf>
    <xf numFmtId="0" fontId="44" fillId="0" borderId="0" xfId="0" applyFont="1" applyProtection="1">
      <protection hidden="1"/>
    </xf>
    <xf numFmtId="0" fontId="46" fillId="0" borderId="0" xfId="0" applyFont="1" applyAlignment="1" applyProtection="1">
      <alignment vertical="center"/>
      <protection hidden="1"/>
    </xf>
    <xf numFmtId="0" fontId="55" fillId="0" borderId="0" xfId="0" applyFont="1" applyAlignment="1" applyProtection="1">
      <alignment vertical="center"/>
      <protection hidden="1"/>
    </xf>
    <xf numFmtId="167" fontId="44" fillId="3" borderId="0" xfId="0" applyNumberFormat="1" applyFont="1" applyFill="1" applyAlignment="1" applyProtection="1">
      <alignment horizontal="left" vertical="center" indent="1"/>
      <protection hidden="1"/>
    </xf>
    <xf numFmtId="0" fontId="44" fillId="0" borderId="0" xfId="0" applyFont="1" applyAlignment="1" applyProtection="1">
      <alignment horizontal="center" vertical="center"/>
      <protection hidden="1"/>
    </xf>
    <xf numFmtId="167" fontId="44" fillId="3" borderId="0" xfId="0" applyNumberFormat="1" applyFont="1" applyFill="1" applyAlignment="1" applyProtection="1">
      <alignment vertical="center"/>
      <protection hidden="1"/>
    </xf>
    <xf numFmtId="1" fontId="44" fillId="3" borderId="0" xfId="0" applyNumberFormat="1" applyFont="1" applyFill="1" applyAlignment="1" applyProtection="1">
      <alignment horizontal="left" vertical="center" indent="1"/>
      <protection hidden="1"/>
    </xf>
    <xf numFmtId="0" fontId="45" fillId="0" borderId="0" xfId="0" applyFont="1" applyAlignment="1" applyProtection="1">
      <alignment horizontal="right" vertical="center" indent="1"/>
      <protection hidden="1"/>
    </xf>
    <xf numFmtId="0" fontId="44" fillId="6" borderId="0" xfId="0" applyFont="1" applyFill="1" applyAlignment="1" applyProtection="1">
      <alignment vertical="center"/>
      <protection hidden="1"/>
    </xf>
    <xf numFmtId="0" fontId="44" fillId="6" borderId="9" xfId="0" applyFont="1" applyFill="1" applyBorder="1" applyAlignment="1" applyProtection="1">
      <alignment vertical="center"/>
      <protection hidden="1"/>
    </xf>
    <xf numFmtId="0" fontId="44" fillId="0" borderId="0" xfId="0" applyFont="1" applyAlignment="1" applyProtection="1">
      <alignment horizontal="left" vertical="center" indent="1"/>
      <protection hidden="1"/>
    </xf>
    <xf numFmtId="0" fontId="44" fillId="0" borderId="0" xfId="0" applyFont="1" applyAlignment="1" applyProtection="1">
      <alignment horizontal="right" vertical="center" indent="1"/>
      <protection hidden="1"/>
    </xf>
    <xf numFmtId="0" fontId="44" fillId="0" borderId="19" xfId="0" applyFont="1" applyBorder="1" applyAlignment="1" applyProtection="1">
      <alignment vertical="center"/>
      <protection hidden="1"/>
    </xf>
    <xf numFmtId="0" fontId="44" fillId="0" borderId="41" xfId="0" applyFont="1" applyBorder="1" applyAlignment="1" applyProtection="1">
      <alignment vertical="center"/>
      <protection hidden="1"/>
    </xf>
    <xf numFmtId="0" fontId="46" fillId="0" borderId="53" xfId="0" applyFont="1" applyBorder="1" applyAlignment="1" applyProtection="1">
      <alignment horizontal="center" vertical="center"/>
      <protection hidden="1"/>
    </xf>
    <xf numFmtId="0" fontId="44" fillId="0" borderId="0" xfId="0" applyFont="1" applyBorder="1" applyAlignment="1" applyProtection="1">
      <alignment vertical="center"/>
      <protection hidden="1"/>
    </xf>
    <xf numFmtId="0" fontId="44" fillId="0" borderId="54" xfId="0" applyFont="1" applyBorder="1" applyAlignment="1" applyProtection="1">
      <alignment vertical="center"/>
      <protection hidden="1"/>
    </xf>
    <xf numFmtId="0" fontId="44" fillId="0" borderId="4" xfId="0" applyFont="1" applyBorder="1" applyAlignment="1" applyProtection="1">
      <alignment vertical="center"/>
      <protection hidden="1"/>
    </xf>
    <xf numFmtId="2" fontId="20" fillId="0" borderId="0" xfId="0" applyNumberFormat="1" applyFont="1" applyAlignment="1" applyProtection="1">
      <alignment vertical="center" wrapText="1"/>
    </xf>
    <xf numFmtId="0" fontId="78" fillId="11" borderId="74" xfId="0" applyFont="1" applyFill="1" applyBorder="1" applyAlignment="1" applyProtection="1">
      <alignment horizontal="center" vertical="center"/>
    </xf>
    <xf numFmtId="0" fontId="77" fillId="22" borderId="75" xfId="0" applyNumberFormat="1" applyFont="1" applyFill="1" applyBorder="1" applyAlignment="1" applyProtection="1">
      <alignment vertical="center"/>
      <protection locked="0"/>
    </xf>
    <xf numFmtId="0" fontId="13" fillId="0" borderId="0" xfId="0" applyFont="1" applyAlignment="1">
      <alignment horizontal="center"/>
    </xf>
    <xf numFmtId="169" fontId="77" fillId="22" borderId="75" xfId="0" applyNumberFormat="1" applyFont="1" applyFill="1" applyBorder="1" applyAlignment="1" applyProtection="1">
      <alignment vertical="center"/>
      <protection locked="0"/>
    </xf>
    <xf numFmtId="169" fontId="78" fillId="11" borderId="74" xfId="0" applyNumberFormat="1" applyFont="1" applyFill="1" applyBorder="1" applyAlignment="1" applyProtection="1">
      <alignment horizontal="center" vertical="center"/>
    </xf>
    <xf numFmtId="44" fontId="0" fillId="0" borderId="0" xfId="0" applyNumberFormat="1"/>
    <xf numFmtId="9" fontId="0" fillId="10" borderId="2" xfId="0" applyNumberFormat="1" applyFill="1" applyBorder="1" applyAlignment="1" applyProtection="1">
      <alignment horizontal="right" vertical="center"/>
      <protection locked="0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25" fillId="6" borderId="5" xfId="0" applyFont="1" applyFill="1" applyBorder="1" applyAlignment="1">
      <alignment vertical="center"/>
    </xf>
    <xf numFmtId="0" fontId="25" fillId="6" borderId="0" xfId="0" applyFont="1" applyFill="1" applyAlignment="1">
      <alignment vertical="center"/>
    </xf>
    <xf numFmtId="0" fontId="25" fillId="6" borderId="7" xfId="0" applyFont="1" applyFill="1" applyBorder="1" applyAlignment="1">
      <alignment vertical="center"/>
    </xf>
    <xf numFmtId="0" fontId="0" fillId="0" borderId="5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14" fillId="4" borderId="26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27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7" xfId="0" applyFont="1" applyBorder="1" applyAlignment="1">
      <alignment vertical="center"/>
    </xf>
    <xf numFmtId="0" fontId="0" fillId="12" borderId="5" xfId="0" applyFill="1" applyBorder="1" applyAlignment="1">
      <alignment vertical="center" wrapText="1"/>
    </xf>
    <xf numFmtId="0" fontId="11" fillId="12" borderId="0" xfId="0" applyFont="1" applyFill="1" applyAlignment="1">
      <alignment vertical="center"/>
    </xf>
    <xf numFmtId="0" fontId="11" fillId="12" borderId="7" xfId="0" applyFont="1" applyFill="1" applyBorder="1" applyAlignment="1">
      <alignment vertical="center"/>
    </xf>
    <xf numFmtId="0" fontId="7" fillId="0" borderId="5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7" xfId="0" applyFont="1" applyBorder="1" applyAlignment="1">
      <alignment vertical="center"/>
    </xf>
    <xf numFmtId="0" fontId="0" fillId="10" borderId="5" xfId="0" applyFill="1" applyBorder="1" applyAlignment="1">
      <alignment horizontal="left" vertical="center" wrapText="1"/>
    </xf>
    <xf numFmtId="0" fontId="0" fillId="10" borderId="0" xfId="0" applyFill="1" applyAlignment="1">
      <alignment horizontal="left" vertical="center" wrapText="1"/>
    </xf>
    <xf numFmtId="0" fontId="0" fillId="10" borderId="7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0" fontId="0" fillId="6" borderId="5" xfId="0" applyFill="1" applyBorder="1" applyAlignment="1">
      <alignment horizontal="left" vertical="center" wrapText="1" indent="6"/>
    </xf>
    <xf numFmtId="0" fontId="0" fillId="6" borderId="0" xfId="0" applyFill="1" applyAlignment="1">
      <alignment horizontal="left" vertical="center" indent="6"/>
    </xf>
    <xf numFmtId="0" fontId="0" fillId="6" borderId="7" xfId="0" applyFill="1" applyBorder="1" applyAlignment="1">
      <alignment horizontal="left" vertical="center" indent="6"/>
    </xf>
    <xf numFmtId="0" fontId="71" fillId="6" borderId="28" xfId="11" applyFill="1" applyBorder="1" applyAlignment="1" applyProtection="1">
      <alignment horizontal="left" vertical="center" indent="6"/>
    </xf>
    <xf numFmtId="0" fontId="71" fillId="6" borderId="29" xfId="11" applyFill="1" applyBorder="1" applyAlignment="1" applyProtection="1">
      <alignment horizontal="left" vertical="center" indent="6"/>
    </xf>
    <xf numFmtId="0" fontId="71" fillId="6" borderId="30" xfId="11" applyFill="1" applyBorder="1" applyAlignment="1" applyProtection="1">
      <alignment horizontal="left" vertical="center" indent="6"/>
    </xf>
    <xf numFmtId="0" fontId="13" fillId="6" borderId="5" xfId="0" applyFont="1" applyFill="1" applyBorder="1" applyAlignment="1">
      <alignment vertical="center"/>
    </xf>
    <xf numFmtId="0" fontId="13" fillId="6" borderId="0" xfId="0" applyFont="1" applyFill="1" applyAlignment="1">
      <alignment vertical="center"/>
    </xf>
    <xf numFmtId="0" fontId="13" fillId="6" borderId="7" xfId="0" applyFont="1" applyFill="1" applyBorder="1" applyAlignment="1">
      <alignment vertical="center"/>
    </xf>
    <xf numFmtId="0" fontId="25" fillId="6" borderId="5" xfId="0" applyFont="1" applyFill="1" applyBorder="1" applyAlignment="1">
      <alignment horizontal="left" vertical="center" indent="3"/>
    </xf>
    <xf numFmtId="0" fontId="25" fillId="6" borderId="0" xfId="0" applyFont="1" applyFill="1" applyAlignment="1">
      <alignment horizontal="left" vertical="center" indent="3"/>
    </xf>
    <xf numFmtId="0" fontId="0" fillId="0" borderId="5" xfId="0" applyBorder="1" applyAlignment="1">
      <alignment horizontal="left" vertical="center" indent="3"/>
    </xf>
    <xf numFmtId="0" fontId="0" fillId="0" borderId="0" xfId="0" applyAlignment="1">
      <alignment horizontal="left" vertical="center" indent="3"/>
    </xf>
    <xf numFmtId="0" fontId="0" fillId="6" borderId="5" xfId="0" applyFill="1" applyBorder="1" applyAlignment="1">
      <alignment horizontal="left" vertical="center" wrapText="1" indent="3"/>
    </xf>
    <xf numFmtId="0" fontId="0" fillId="6" borderId="0" xfId="0" applyFill="1" applyAlignment="1">
      <alignment horizontal="left" vertical="center" wrapText="1" indent="3"/>
    </xf>
    <xf numFmtId="0" fontId="11" fillId="0" borderId="3" xfId="0" applyFont="1" applyBorder="1" applyAlignment="1" applyProtection="1">
      <alignment horizontal="right" vertical="center"/>
    </xf>
    <xf numFmtId="0" fontId="11" fillId="0" borderId="9" xfId="0" applyFont="1" applyBorder="1" applyAlignment="1" applyProtection="1">
      <alignment horizontal="right" vertical="center"/>
    </xf>
    <xf numFmtId="0" fontId="0" fillId="0" borderId="3" xfId="0" applyBorder="1" applyAlignment="1" applyProtection="1">
      <alignment horizontal="right" vertical="center"/>
    </xf>
    <xf numFmtId="0" fontId="0" fillId="0" borderId="9" xfId="0" applyBorder="1" applyAlignment="1" applyProtection="1">
      <alignment horizontal="right" vertical="center"/>
    </xf>
    <xf numFmtId="0" fontId="37" fillId="0" borderId="4" xfId="0" applyFont="1" applyBorder="1" applyAlignment="1" applyProtection="1">
      <alignment horizontal="left" vertical="center" wrapText="1"/>
    </xf>
    <xf numFmtId="0" fontId="36" fillId="0" borderId="40" xfId="0" applyFont="1" applyBorder="1" applyAlignment="1" applyProtection="1">
      <alignment horizontal="left" vertical="center" wrapText="1"/>
    </xf>
    <xf numFmtId="0" fontId="36" fillId="0" borderId="4" xfId="0" applyFont="1" applyBorder="1" applyAlignment="1" applyProtection="1">
      <alignment horizontal="left" vertical="center" wrapText="1"/>
    </xf>
    <xf numFmtId="0" fontId="37" fillId="0" borderId="0" xfId="0" applyFont="1" applyAlignment="1" applyProtection="1">
      <alignment horizontal="left" vertical="center" wrapText="1"/>
    </xf>
    <xf numFmtId="0" fontId="73" fillId="0" borderId="3" xfId="0" applyFont="1" applyBorder="1" applyAlignment="1" applyProtection="1">
      <alignment horizontal="right" vertical="center"/>
    </xf>
    <xf numFmtId="0" fontId="73" fillId="0" borderId="9" xfId="0" applyFont="1" applyBorder="1" applyAlignment="1" applyProtection="1">
      <alignment horizontal="right" vertical="center"/>
    </xf>
    <xf numFmtId="0" fontId="20" fillId="17" borderId="59" xfId="0" applyFont="1" applyFill="1" applyBorder="1" applyAlignment="1" applyProtection="1">
      <alignment horizontal="left" vertical="center" wrapText="1"/>
    </xf>
    <xf numFmtId="0" fontId="20" fillId="17" borderId="0" xfId="0" applyFont="1" applyFill="1" applyBorder="1" applyAlignment="1" applyProtection="1">
      <alignment horizontal="left" vertical="center" wrapText="1"/>
    </xf>
    <xf numFmtId="0" fontId="20" fillId="17" borderId="60" xfId="0" applyFont="1" applyFill="1" applyBorder="1" applyAlignment="1" applyProtection="1">
      <alignment horizontal="left" vertical="center" wrapText="1"/>
    </xf>
    <xf numFmtId="0" fontId="33" fillId="4" borderId="57" xfId="0" applyFont="1" applyFill="1" applyBorder="1" applyAlignment="1" applyProtection="1">
      <alignment horizontal="center" vertical="center"/>
    </xf>
    <xf numFmtId="0" fontId="33" fillId="4" borderId="1" xfId="0" applyFont="1" applyFill="1" applyBorder="1" applyAlignment="1" applyProtection="1">
      <alignment horizontal="center" vertical="center"/>
    </xf>
    <xf numFmtId="0" fontId="33" fillId="4" borderId="58" xfId="0" applyFont="1" applyFill="1" applyBorder="1" applyAlignment="1" applyProtection="1">
      <alignment horizontal="center" vertical="center"/>
    </xf>
    <xf numFmtId="0" fontId="80" fillId="0" borderId="59" xfId="0" applyFont="1" applyBorder="1" applyAlignment="1" applyProtection="1">
      <alignment horizontal="left" vertical="top" wrapText="1"/>
    </xf>
    <xf numFmtId="0" fontId="80" fillId="0" borderId="0" xfId="0" applyFont="1" applyBorder="1" applyAlignment="1" applyProtection="1">
      <alignment horizontal="left" vertical="top" wrapText="1"/>
    </xf>
    <xf numFmtId="0" fontId="80" fillId="0" borderId="60" xfId="0" applyFont="1" applyBorder="1" applyAlignment="1" applyProtection="1">
      <alignment horizontal="left" vertical="top" wrapText="1"/>
    </xf>
    <xf numFmtId="0" fontId="77" fillId="16" borderId="52" xfId="13" applyAlignment="1" applyProtection="1">
      <alignment horizontal="center" vertical="center" wrapText="1"/>
    </xf>
    <xf numFmtId="0" fontId="32" fillId="0" borderId="2" xfId="0" applyFont="1" applyBorder="1" applyAlignment="1" applyProtection="1">
      <alignment horizontal="left" vertical="center" wrapText="1"/>
    </xf>
    <xf numFmtId="0" fontId="33" fillId="4" borderId="26" xfId="0" applyFont="1" applyFill="1" applyBorder="1" applyAlignment="1" applyProtection="1">
      <alignment horizontal="left" vertical="center"/>
    </xf>
    <xf numFmtId="0" fontId="33" fillId="4" borderId="1" xfId="0" applyFont="1" applyFill="1" applyBorder="1" applyAlignment="1" applyProtection="1">
      <alignment horizontal="left" vertical="center"/>
    </xf>
    <xf numFmtId="0" fontId="0" fillId="17" borderId="4" xfId="0" applyFill="1" applyBorder="1" applyAlignment="1">
      <alignment horizontal="left" vertical="top" wrapText="1"/>
    </xf>
    <xf numFmtId="0" fontId="75" fillId="6" borderId="6" xfId="0" applyFont="1" applyFill="1" applyBorder="1" applyAlignment="1">
      <alignment horizontal="left" vertical="top" wrapText="1"/>
    </xf>
    <xf numFmtId="166" fontId="44" fillId="3" borderId="3" xfId="0" applyNumberFormat="1" applyFont="1" applyFill="1" applyBorder="1" applyAlignment="1" applyProtection="1">
      <alignment horizontal="center" vertical="center"/>
      <protection hidden="1"/>
    </xf>
    <xf numFmtId="166" fontId="44" fillId="3" borderId="9" xfId="0" applyNumberFormat="1" applyFont="1" applyFill="1" applyBorder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horizontal="center" vertical="center"/>
      <protection hidden="1"/>
    </xf>
    <xf numFmtId="0" fontId="44" fillId="12" borderId="0" xfId="0" applyFont="1" applyFill="1" applyAlignment="1" applyProtection="1">
      <alignment horizontal="center" vertical="center"/>
      <protection locked="0" hidden="1"/>
    </xf>
    <xf numFmtId="0" fontId="44" fillId="0" borderId="4" xfId="0" applyFont="1" applyBorder="1" applyAlignment="1" applyProtection="1">
      <alignment horizontal="left" vertical="center"/>
      <protection hidden="1"/>
    </xf>
    <xf numFmtId="0" fontId="44" fillId="0" borderId="55" xfId="0" applyFont="1" applyBorder="1" applyAlignment="1" applyProtection="1">
      <alignment horizontal="left" vertical="center"/>
      <protection hidden="1"/>
    </xf>
    <xf numFmtId="0" fontId="46" fillId="3" borderId="3" xfId="0" applyFont="1" applyFill="1" applyBorder="1" applyAlignment="1" applyProtection="1">
      <alignment horizontal="left" vertical="center"/>
      <protection hidden="1"/>
    </xf>
    <xf numFmtId="0" fontId="46" fillId="3" borderId="6" xfId="0" applyFont="1" applyFill="1" applyBorder="1" applyAlignment="1" applyProtection="1">
      <alignment horizontal="left" vertical="center"/>
      <protection hidden="1"/>
    </xf>
    <xf numFmtId="0" fontId="46" fillId="3" borderId="9" xfId="0" applyFont="1" applyFill="1" applyBorder="1" applyAlignment="1" applyProtection="1">
      <alignment horizontal="left" vertical="center"/>
      <protection hidden="1"/>
    </xf>
    <xf numFmtId="0" fontId="53" fillId="0" borderId="0" xfId="0" applyFont="1" applyAlignment="1" applyProtection="1">
      <alignment horizontal="center" vertical="center" wrapText="1"/>
      <protection hidden="1"/>
    </xf>
    <xf numFmtId="0" fontId="53" fillId="0" borderId="0" xfId="0" applyFont="1" applyAlignment="1" applyProtection="1">
      <alignment horizontal="center" vertical="center"/>
      <protection hidden="1"/>
    </xf>
    <xf numFmtId="0" fontId="46" fillId="0" borderId="41" xfId="0" applyFont="1" applyBorder="1" applyAlignment="1" applyProtection="1">
      <alignment horizontal="left" vertical="center"/>
      <protection hidden="1"/>
    </xf>
    <xf numFmtId="0" fontId="46" fillId="0" borderId="10" xfId="0" applyFont="1" applyBorder="1" applyAlignment="1" applyProtection="1">
      <alignment horizontal="left" vertical="center"/>
      <protection hidden="1"/>
    </xf>
    <xf numFmtId="0" fontId="44" fillId="0" borderId="0" xfId="0" applyFont="1" applyBorder="1" applyAlignment="1" applyProtection="1">
      <alignment horizontal="left" vertical="center" wrapText="1"/>
      <protection hidden="1"/>
    </xf>
    <xf numFmtId="0" fontId="44" fillId="0" borderId="8" xfId="0" applyFont="1" applyBorder="1" applyAlignment="1" applyProtection="1">
      <alignment horizontal="left" vertical="center"/>
      <protection hidden="1"/>
    </xf>
    <xf numFmtId="0" fontId="46" fillId="0" borderId="0" xfId="0" applyFont="1" applyAlignment="1" applyProtection="1">
      <alignment horizontal="right" vertical="center" wrapText="1"/>
      <protection hidden="1"/>
    </xf>
    <xf numFmtId="0" fontId="44" fillId="12" borderId="3" xfId="0" applyFont="1" applyFill="1" applyBorder="1" applyAlignment="1" applyProtection="1">
      <alignment horizontal="center" vertical="center" wrapText="1"/>
      <protection locked="0" hidden="1"/>
    </xf>
    <xf numFmtId="0" fontId="44" fillId="12" borderId="6" xfId="0" applyFont="1" applyFill="1" applyBorder="1" applyAlignment="1" applyProtection="1">
      <alignment horizontal="center" vertical="center" wrapText="1"/>
      <protection locked="0" hidden="1"/>
    </xf>
    <xf numFmtId="0" fontId="44" fillId="12" borderId="9" xfId="0" applyFont="1" applyFill="1" applyBorder="1" applyAlignment="1" applyProtection="1">
      <alignment horizontal="center" vertical="center" wrapText="1"/>
      <protection locked="0" hidden="1"/>
    </xf>
    <xf numFmtId="0" fontId="44" fillId="3" borderId="3" xfId="0" applyFont="1" applyFill="1" applyBorder="1" applyAlignment="1" applyProtection="1">
      <alignment horizontal="left" vertical="center"/>
      <protection hidden="1"/>
    </xf>
    <xf numFmtId="0" fontId="44" fillId="3" borderId="6" xfId="0" applyFont="1" applyFill="1" applyBorder="1" applyAlignment="1" applyProtection="1">
      <alignment horizontal="left" vertical="center"/>
      <protection hidden="1"/>
    </xf>
    <xf numFmtId="0" fontId="44" fillId="3" borderId="9" xfId="0" applyFont="1" applyFill="1" applyBorder="1" applyAlignment="1" applyProtection="1">
      <alignment horizontal="left" vertical="center"/>
      <protection hidden="1"/>
    </xf>
    <xf numFmtId="0" fontId="44" fillId="12" borderId="3" xfId="0" applyFont="1" applyFill="1" applyBorder="1" applyAlignment="1" applyProtection="1">
      <alignment horizontal="left" vertical="center"/>
      <protection locked="0" hidden="1"/>
    </xf>
    <xf numFmtId="0" fontId="44" fillId="12" borderId="6" xfId="0" applyFont="1" applyFill="1" applyBorder="1" applyAlignment="1" applyProtection="1">
      <alignment horizontal="left" vertical="center"/>
      <protection locked="0" hidden="1"/>
    </xf>
    <xf numFmtId="0" fontId="44" fillId="12" borderId="9" xfId="0" applyFont="1" applyFill="1" applyBorder="1" applyAlignment="1" applyProtection="1">
      <alignment horizontal="left" vertical="center"/>
      <protection locked="0" hidden="1"/>
    </xf>
    <xf numFmtId="0" fontId="16" fillId="13" borderId="48" xfId="0" applyFont="1" applyFill="1" applyBorder="1" applyAlignment="1" applyProtection="1">
      <alignment horizontal="center" vertical="center" wrapText="1"/>
      <protection hidden="1"/>
    </xf>
    <xf numFmtId="0" fontId="16" fillId="13" borderId="49" xfId="0" applyFont="1" applyFill="1" applyBorder="1" applyAlignment="1" applyProtection="1">
      <alignment horizontal="center" vertical="center" wrapText="1"/>
      <protection hidden="1"/>
    </xf>
    <xf numFmtId="0" fontId="16" fillId="14" borderId="48" xfId="0" applyFont="1" applyFill="1" applyBorder="1" applyAlignment="1" applyProtection="1">
      <alignment horizontal="center" vertical="center"/>
      <protection hidden="1"/>
    </xf>
    <xf numFmtId="0" fontId="16" fillId="14" borderId="49" xfId="0" applyFont="1" applyFill="1" applyBorder="1" applyAlignment="1" applyProtection="1">
      <alignment horizontal="center" vertical="center"/>
      <protection hidden="1"/>
    </xf>
    <xf numFmtId="0" fontId="16" fillId="14" borderId="50" xfId="0" applyFont="1" applyFill="1" applyBorder="1" applyAlignment="1" applyProtection="1">
      <alignment horizontal="center" vertical="center"/>
      <protection hidden="1"/>
    </xf>
    <xf numFmtId="0" fontId="28" fillId="0" borderId="23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39" fillId="8" borderId="2" xfId="0" applyFont="1" applyFill="1" applyBorder="1" applyAlignment="1" applyProtection="1">
      <alignment horizontal="center" vertical="center" wrapText="1"/>
      <protection locked="0"/>
    </xf>
    <xf numFmtId="0" fontId="39" fillId="3" borderId="3" xfId="0" applyFont="1" applyFill="1" applyBorder="1" applyAlignment="1">
      <alignment vertical="top" wrapText="1"/>
    </xf>
    <xf numFmtId="0" fontId="39" fillId="3" borderId="9" xfId="0" applyFont="1" applyFill="1" applyBorder="1" applyAlignment="1">
      <alignment vertical="top" wrapText="1"/>
    </xf>
    <xf numFmtId="0" fontId="39" fillId="6" borderId="0" xfId="0" applyFont="1" applyFill="1" applyAlignment="1">
      <alignment horizontal="center" vertical="center" wrapText="1"/>
    </xf>
    <xf numFmtId="0" fontId="39" fillId="3" borderId="2" xfId="0" applyFont="1" applyFill="1" applyBorder="1" applyAlignment="1">
      <alignment horizontal="left" vertical="top" wrapText="1"/>
    </xf>
    <xf numFmtId="0" fontId="39" fillId="6" borderId="0" xfId="0" applyFont="1" applyFill="1" applyAlignment="1">
      <alignment horizontal="right" vertical="center" wrapText="1"/>
    </xf>
    <xf numFmtId="0" fontId="39" fillId="0" borderId="0" xfId="0" applyFont="1" applyAlignment="1">
      <alignment vertical="center" wrapText="1"/>
    </xf>
    <xf numFmtId="0" fontId="39" fillId="3" borderId="19" xfId="0" applyFont="1" applyFill="1" applyBorder="1" applyAlignment="1">
      <alignment vertical="top" wrapText="1"/>
    </xf>
    <xf numFmtId="0" fontId="39" fillId="3" borderId="10" xfId="0" applyFont="1" applyFill="1" applyBorder="1" applyAlignment="1">
      <alignment vertical="top" wrapText="1"/>
    </xf>
    <xf numFmtId="0" fontId="39" fillId="0" borderId="0" xfId="0" applyFont="1" applyAlignment="1">
      <alignment horizontal="center"/>
    </xf>
    <xf numFmtId="0" fontId="39" fillId="0" borderId="0" xfId="0" applyFont="1" applyAlignment="1">
      <alignment horizontal="right" vertical="center" wrapText="1"/>
    </xf>
    <xf numFmtId="14" fontId="39" fillId="8" borderId="2" xfId="0" applyNumberFormat="1" applyFont="1" applyFill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center" wrapText="1"/>
    </xf>
    <xf numFmtId="0" fontId="29" fillId="8" borderId="2" xfId="0" applyFont="1" applyFill="1" applyBorder="1" applyAlignment="1" applyProtection="1">
      <alignment horizontal="center" vertical="center"/>
      <protection locked="0"/>
    </xf>
    <xf numFmtId="14" fontId="39" fillId="3" borderId="2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 wrapText="1" indent="1"/>
    </xf>
    <xf numFmtId="0" fontId="39" fillId="0" borderId="0" xfId="0" applyFont="1" applyAlignment="1">
      <alignment horizontal="left" vertical="center" wrapText="1" indent="4"/>
    </xf>
    <xf numFmtId="0" fontId="39" fillId="0" borderId="0" xfId="0" applyFont="1" applyAlignment="1">
      <alignment horizontal="left" vertical="center" wrapText="1" indent="5"/>
    </xf>
    <xf numFmtId="0" fontId="27" fillId="8" borderId="5" xfId="0" applyFont="1" applyFill="1" applyBorder="1" applyAlignment="1">
      <alignment horizontal="center" vertical="center" wrapText="1"/>
    </xf>
    <xf numFmtId="0" fontId="27" fillId="8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11" fillId="8" borderId="3" xfId="0" applyFont="1" applyFill="1" applyBorder="1" applyAlignment="1" applyProtection="1">
      <alignment vertical="center"/>
      <protection locked="0"/>
    </xf>
    <xf numFmtId="0" fontId="11" fillId="8" borderId="9" xfId="0" applyFont="1" applyFill="1" applyBorder="1" applyAlignment="1" applyProtection="1">
      <alignment vertical="center"/>
      <protection locked="0"/>
    </xf>
    <xf numFmtId="0" fontId="9" fillId="0" borderId="23" xfId="0" applyFont="1" applyBorder="1" applyAlignment="1">
      <alignment horizontal="left"/>
    </xf>
    <xf numFmtId="0" fontId="9" fillId="0" borderId="24" xfId="0" applyFont="1" applyBorder="1" applyAlignment="1">
      <alignment horizontal="left"/>
    </xf>
    <xf numFmtId="0" fontId="9" fillId="0" borderId="25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14" fontId="0" fillId="3" borderId="3" xfId="0" applyNumberFormat="1" applyFill="1" applyBorder="1" applyAlignment="1">
      <alignment horizontal="left" vertical="center"/>
    </xf>
    <xf numFmtId="14" fontId="0" fillId="3" borderId="9" xfId="0" applyNumberFormat="1" applyFill="1" applyBorder="1" applyAlignment="1">
      <alignment horizontal="left" vertical="center"/>
    </xf>
    <xf numFmtId="1" fontId="0" fillId="12" borderId="2" xfId="0" applyNumberFormat="1" applyFill="1" applyBorder="1" applyAlignment="1" applyProtection="1">
      <alignment horizontal="right" vertical="center"/>
      <protection locked="0"/>
    </xf>
  </cellXfs>
  <cellStyles count="14">
    <cellStyle name="Lien hypertexte" xfId="11" builtinId="8"/>
    <cellStyle name="Normal" xfId="0" builtinId="0"/>
    <cellStyle name="Normal 2" xfId="1" xr:uid="{00000000-0005-0000-0000-000003000000}"/>
    <cellStyle name="Normal 2 2" xfId="10" xr:uid="{CE4A5C56-2570-4C53-8099-032EABCADD3A}"/>
    <cellStyle name="Normal 3" xfId="3" xr:uid="{00000000-0005-0000-0000-000004000000}"/>
    <cellStyle name="Normal 4" xfId="2" xr:uid="{00000000-0005-0000-0000-000005000000}"/>
    <cellStyle name="Normal 4 2" xfId="4" xr:uid="{00000000-0005-0000-0000-000006000000}"/>
    <cellStyle name="Normal 4 2 2" xfId="6" xr:uid="{00000000-0005-0000-0000-000007000000}"/>
    <cellStyle name="Normal 4 3" xfId="5" xr:uid="{00000000-0005-0000-0000-000008000000}"/>
    <cellStyle name="Normal 5" xfId="9" xr:uid="{E870E934-34BE-4679-81B7-0EF9D53D1544}"/>
    <cellStyle name="Normal 6" xfId="7" xr:uid="{3D29BEFE-C099-41F7-B374-CFF6F40A3DFE}"/>
    <cellStyle name="Pourcentage 2" xfId="8" xr:uid="{BAAE57E2-DF71-4D60-A840-D2C4D29B6C73}"/>
    <cellStyle name="Sortie" xfId="12" builtinId="21"/>
    <cellStyle name="Vérification" xfId="13" builtinId="23"/>
  </cellStyles>
  <dxfs count="92">
    <dxf>
      <numFmt numFmtId="1" formatCode="0"/>
    </dxf>
    <dxf>
      <numFmt numFmtId="1" formatCode="0"/>
    </dxf>
    <dxf>
      <border outline="0">
        <left style="thin">
          <color theme="0"/>
        </left>
        <top style="thin">
          <color indexed="64"/>
        </top>
        <bottom style="thin">
          <color theme="0"/>
        </bottom>
      </border>
    </dxf>
    <dxf>
      <border outline="0">
        <left style="thin">
          <color theme="0"/>
        </left>
        <top style="thin">
          <color indexed="64"/>
        </top>
        <bottom style="thin">
          <color indexed="64"/>
        </bottom>
      </border>
    </dxf>
    <dxf>
      <border outline="0">
        <left style="thin">
          <color theme="0"/>
        </lef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numFmt numFmtId="0" formatCode="General"/>
    </dxf>
    <dxf>
      <numFmt numFmtId="19" formatCode="dd/mm/yy"/>
    </dxf>
    <dxf>
      <numFmt numFmtId="0" formatCode="General"/>
    </dxf>
    <dxf>
      <numFmt numFmtId="0" formatCode="General"/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166" formatCode="#,##0.00\ &quot;€&quot;"/>
      <fill>
        <patternFill patternType="none">
          <fgColor indexed="64"/>
          <bgColor indexed="65"/>
        </patternFill>
      </fill>
    </dxf>
    <dxf>
      <numFmt numFmtId="166" formatCode="#,##0.00\ &quot;€&quot;"/>
    </dxf>
    <dxf>
      <fill>
        <patternFill patternType="none">
          <fgColor indexed="64"/>
          <bgColor indexed="65"/>
        </patternFill>
      </fill>
    </dxf>
    <dxf>
      <font>
        <strike val="0"/>
        <color rgb="FFFF0000"/>
      </font>
    </dxf>
    <dxf>
      <font>
        <color auto="1"/>
      </font>
      <fill>
        <patternFill>
          <bgColor rgb="FFFF5050"/>
        </patternFill>
      </fill>
    </dxf>
    <dxf>
      <font>
        <strike/>
        <color rgb="FFFF0000"/>
      </font>
    </dxf>
    <dxf>
      <font>
        <strike val="0"/>
        <color auto="1"/>
      </font>
    </dxf>
    <dxf>
      <font>
        <strike val="0"/>
        <color rgb="FFFF0000"/>
      </font>
    </dxf>
    <dxf>
      <font>
        <strike val="0"/>
        <color theme="0" tint="-0.34998626667073579"/>
      </font>
    </dxf>
    <dxf>
      <font>
        <strike/>
        <color rgb="FFFF0000"/>
      </font>
    </dxf>
    <dxf>
      <font>
        <strike val="0"/>
        <color theme="0" tint="-0.34998626667073579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A5A5A5"/>
        </patternFill>
      </fill>
      <alignment horizontal="general" vertical="center" textRotation="0" wrapText="0" indent="0" justifyLastLine="0" shrinkToFit="0" readingOrder="0"/>
      <border diagonalUp="0" diagonalDown="0" outline="0">
        <left style="double">
          <color rgb="FF3F3F3F"/>
        </left>
        <right style="double">
          <color rgb="FF3F3F3F"/>
        </right>
        <top style="thin">
          <color theme="0" tint="-0.14993743705557422"/>
        </top>
        <bottom style="double">
          <color rgb="FF3F3F3F"/>
        </bottom>
      </border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9" formatCode="_-* #,##0.00\ [$€-80C]_-;\-* #,##0.00\ [$€-80C]_-;_-* &quot;-&quot;??\ [$€-80C]_-;_-@_-"/>
      <fill>
        <patternFill patternType="solid">
          <fgColor indexed="64"/>
          <bgColor rgb="FFA5A5A5"/>
        </patternFill>
      </fill>
      <alignment horizontal="general" vertical="center" textRotation="0" wrapText="0" indent="0" justifyLastLine="0" shrinkToFit="0" readingOrder="0"/>
      <border diagonalUp="0" diagonalDown="0" outline="0">
        <left style="double">
          <color rgb="FF3F3F3F"/>
        </left>
        <right style="double">
          <color rgb="FF3F3F3F"/>
        </right>
        <top style="thin">
          <color theme="0" tint="-0.14993743705557422"/>
        </top>
        <bottom style="double">
          <color rgb="FF3F3F3F"/>
        </bottom>
      </border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9" formatCode="_-* #,##0.00\ [$€-80C]_-;\-* #,##0.00\ [$€-80C]_-;_-* &quot;-&quot;??\ [$€-80C]_-;_-@_-"/>
      <fill>
        <patternFill patternType="solid">
          <fgColor indexed="64"/>
          <bgColor rgb="FFA5A5A5"/>
        </patternFill>
      </fill>
      <alignment horizontal="general" vertical="center" textRotation="0" wrapText="0" indent="0" justifyLastLine="0" shrinkToFit="0" readingOrder="0"/>
      <border diagonalUp="0" diagonalDown="0" outline="0">
        <left style="double">
          <color rgb="FF3F3F3F"/>
        </left>
        <right style="double">
          <color rgb="FF3F3F3F"/>
        </right>
        <top style="thin">
          <color theme="0" tint="-0.14993743705557422"/>
        </top>
        <bottom style="double">
          <color rgb="FF3F3F3F"/>
        </bottom>
      </border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14993743705557422"/>
        </top>
        <bottom/>
      </border>
      <protection locked="1" hidden="0"/>
    </dxf>
    <dxf>
      <numFmt numFmtId="14" formatCode="0.00%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4" formatCode="_ &quot;€&quot;\ * #,##0.00_ ;_ &quot;€&quot;\ * \-#,##0.00_ ;_ &quot;€&quot;\ * &quot;-&quot;??_ ;_ @_ "/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numFmt numFmtId="34" formatCode="_-* #,##0.00\ &quot;€&quot;_-;\-* #,##0.00\ &quot;€&quot;_-;_-* &quot;-&quot;??\ &quot;€&quot;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rgb="FF93CDDD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4" formatCode="0.00%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0" formatCode="@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border outline="0">
        <top style="thin">
          <color theme="0" tint="-0.14993743705557422"/>
        </top>
      </border>
    </dxf>
    <dxf>
      <font>
        <b/>
        <i/>
      </font>
      <fill>
        <patternFill patternType="solid">
          <fgColor indexed="64"/>
          <bgColor theme="0" tint="-4.9989318521683403E-2"/>
        </patternFill>
      </fill>
      <alignment horizontal="center" vertical="center" textRotation="0" indent="0" justifyLastLine="0" shrinkToFit="0" readingOrder="0"/>
      <protection locked="1" hidden="0"/>
    </dxf>
    <dxf>
      <border outline="0">
        <top style="thin">
          <color indexed="64"/>
        </top>
        <bottom style="thin">
          <color theme="0" tint="-0.149937437055574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>
          <bgColor theme="6" tint="0.39994506668294322"/>
        </patternFill>
      </fill>
    </dxf>
    <dxf>
      <font>
        <b val="0"/>
        <i val="0"/>
        <color rgb="FFFF0000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rgb="FFFF0000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rgb="FFFF0000"/>
      </font>
    </dxf>
    <dxf>
      <font>
        <b val="0"/>
        <i val="0"/>
        <color theme="0" tint="-0.34998626667073579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numFmt numFmtId="2" formatCode="0.00"/>
      <fill>
        <patternFill patternType="solid">
          <fgColor indexed="64"/>
          <bgColor rgb="FFF2F2F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ck">
          <color indexed="64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numFmt numFmtId="19" formatCode="dd/mm/yy"/>
      <fill>
        <patternFill patternType="solid">
          <fgColor indexed="64"/>
          <bgColor rgb="FFF2F2F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numFmt numFmtId="19" formatCode="dd/mm/yy"/>
      <fill>
        <patternFill patternType="solid">
          <fgColor indexed="64"/>
          <bgColor rgb="FFF2F2F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ck">
          <color indexed="64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i/>
        <family val="2"/>
      </font>
      <protection locked="1" hidden="0"/>
    </dxf>
    <dxf>
      <border outline="0">
        <top style="thin">
          <color rgb="FF000000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rgb="FF000000"/>
          <bgColor rgb="FFFFFF99"/>
        </patternFill>
      </fill>
      <alignment horizontal="center" vertical="center" textRotation="0" wrapText="1" indent="0" justifyLastLine="0" shrinkToFit="0" readingOrder="0"/>
      <protection locked="0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1" tint="0.14996795556505021"/>
      </font>
      <fill>
        <patternFill>
          <bgColor theme="5" tint="0.39994506668294322"/>
        </patternFill>
      </fill>
    </dxf>
  </dxfs>
  <tableStyles count="2" defaultTableStyle="TableStyleMedium9" defaultPivotStyle="PivotStyleLight16">
    <tableStyle name="Style de tableau 1" pivot="0" count="0" xr9:uid="{3FD15770-FEC2-4B44-85BD-8C15F09DFC5A}"/>
    <tableStyle name="Style de tableau 2" pivot="0" count="0" xr9:uid="{F6DC31DA-DAC9-4387-946B-F1B1E6ACE76B}"/>
  </tableStyles>
  <colors>
    <mruColors>
      <color rgb="FFFFFF99"/>
      <color rgb="FFFFFFCC"/>
      <color rgb="FFCEEAB0"/>
      <color rgb="FFEBEBFF"/>
      <color rgb="FF93CDDD"/>
      <color rgb="FFFF5050"/>
      <color rgb="FF33CCFF"/>
      <color rgb="FFCCFF99"/>
      <color rgb="FFFF00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92242</xdr:rowOff>
    </xdr:from>
    <xdr:to>
      <xdr:col>0</xdr:col>
      <xdr:colOff>296779</xdr:colOff>
      <xdr:row>13</xdr:row>
      <xdr:rowOff>92242</xdr:rowOff>
    </xdr:to>
    <xdr:cxnSp macro="">
      <xdr:nvCxnSpPr>
        <xdr:cNvPr id="8" name="Connecteur droit avec flèch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0" y="2350168"/>
          <a:ext cx="296779" cy="0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14</xdr:row>
      <xdr:rowOff>85725</xdr:rowOff>
    </xdr:from>
    <xdr:to>
      <xdr:col>0</xdr:col>
      <xdr:colOff>296779</xdr:colOff>
      <xdr:row>14</xdr:row>
      <xdr:rowOff>88231</xdr:rowOff>
    </xdr:to>
    <xdr:cxnSp macro="">
      <xdr:nvCxnSpPr>
        <xdr:cNvPr id="10" name="Connecteur droit avec flèch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9525" y="2528136"/>
          <a:ext cx="287254" cy="2506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</xdr:row>
      <xdr:rowOff>94247</xdr:rowOff>
    </xdr:from>
    <xdr:to>
      <xdr:col>0</xdr:col>
      <xdr:colOff>300789</xdr:colOff>
      <xdr:row>15</xdr:row>
      <xdr:rowOff>96252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0" y="2721142"/>
          <a:ext cx="300789" cy="200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670560</xdr:colOff>
          <xdr:row>135</xdr:row>
          <xdr:rowOff>106680</xdr:rowOff>
        </xdr:from>
        <xdr:to>
          <xdr:col>2</xdr:col>
          <xdr:colOff>1165860</xdr:colOff>
          <xdr:row>137</xdr:row>
          <xdr:rowOff>144780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1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AFFICHER LES FEUILLES 6 à 9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228600</xdr:colOff>
          <xdr:row>134</xdr:row>
          <xdr:rowOff>99060</xdr:rowOff>
        </xdr:from>
        <xdr:to>
          <xdr:col>1</xdr:col>
          <xdr:colOff>411480</xdr:colOff>
          <xdr:row>136</xdr:row>
          <xdr:rowOff>182880</xdr:rowOff>
        </xdr:to>
        <xdr:sp macro="" textlink="">
          <xdr:nvSpPr>
            <xdr:cNvPr id="16388" name="MASQUER LES FEUILLES 6 à 9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1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MASQUER LES FEUILLES 6 à 9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1371600</xdr:colOff>
          <xdr:row>135</xdr:row>
          <xdr:rowOff>137160</xdr:rowOff>
        </xdr:from>
        <xdr:to>
          <xdr:col>4</xdr:col>
          <xdr:colOff>441960</xdr:colOff>
          <xdr:row>137</xdr:row>
          <xdr:rowOff>152400</xdr:rowOff>
        </xdr:to>
        <xdr:sp macro="" textlink="">
          <xdr:nvSpPr>
            <xdr:cNvPr id="16390" name="Button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1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VEROUILLER IDENTIF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274109</xdr:colOff>
      <xdr:row>1</xdr:row>
      <xdr:rowOff>42334</xdr:rowOff>
    </xdr:from>
    <xdr:to>
      <xdr:col>0</xdr:col>
      <xdr:colOff>1836209</xdr:colOff>
      <xdr:row>5</xdr:row>
      <xdr:rowOff>42334</xdr:rowOff>
    </xdr:to>
    <xdr:pic>
      <xdr:nvPicPr>
        <xdr:cNvPr id="3" name="Image 5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109" y="243417"/>
          <a:ext cx="1562100" cy="793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60960</xdr:colOff>
          <xdr:row>6</xdr:row>
          <xdr:rowOff>22860</xdr:rowOff>
        </xdr:from>
        <xdr:to>
          <xdr:col>7</xdr:col>
          <xdr:colOff>365760</xdr:colOff>
          <xdr:row>7</xdr:row>
          <xdr:rowOff>60960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7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22860</xdr:rowOff>
        </xdr:from>
        <xdr:to>
          <xdr:col>9</xdr:col>
          <xdr:colOff>304800</xdr:colOff>
          <xdr:row>7</xdr:row>
          <xdr:rowOff>38100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7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24</xdr:row>
          <xdr:rowOff>144780</xdr:rowOff>
        </xdr:from>
        <xdr:to>
          <xdr:col>1</xdr:col>
          <xdr:colOff>304800</xdr:colOff>
          <xdr:row>24</xdr:row>
          <xdr:rowOff>365760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25</xdr:row>
          <xdr:rowOff>22860</xdr:rowOff>
        </xdr:from>
        <xdr:to>
          <xdr:col>1</xdr:col>
          <xdr:colOff>327660</xdr:colOff>
          <xdr:row>25</xdr:row>
          <xdr:rowOff>327660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30</xdr:row>
          <xdr:rowOff>266700</xdr:rowOff>
        </xdr:from>
        <xdr:to>
          <xdr:col>1</xdr:col>
          <xdr:colOff>327660</xdr:colOff>
          <xdr:row>30</xdr:row>
          <xdr:rowOff>487680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7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106680</xdr:colOff>
          <xdr:row>30</xdr:row>
          <xdr:rowOff>137160</xdr:rowOff>
        </xdr:from>
        <xdr:to>
          <xdr:col>5</xdr:col>
          <xdr:colOff>106680</xdr:colOff>
          <xdr:row>30</xdr:row>
          <xdr:rowOff>518160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7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23</xdr:row>
          <xdr:rowOff>30480</xdr:rowOff>
        </xdr:from>
        <xdr:to>
          <xdr:col>1</xdr:col>
          <xdr:colOff>327660</xdr:colOff>
          <xdr:row>24</xdr:row>
          <xdr:rowOff>30480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7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30</xdr:row>
          <xdr:rowOff>190500</xdr:rowOff>
        </xdr:from>
        <xdr:to>
          <xdr:col>5</xdr:col>
          <xdr:colOff>381000</xdr:colOff>
          <xdr:row>30</xdr:row>
          <xdr:rowOff>495300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7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213360</xdr:colOff>
          <xdr:row>26</xdr:row>
          <xdr:rowOff>137160</xdr:rowOff>
        </xdr:from>
        <xdr:to>
          <xdr:col>5</xdr:col>
          <xdr:colOff>22860</xdr:colOff>
          <xdr:row>29</xdr:row>
          <xdr:rowOff>114300</xdr:rowOff>
        </xdr:to>
        <xdr:sp macro="" textlink="">
          <xdr:nvSpPr>
            <xdr:cNvPr id="44033" name="Button 1" hidden="1">
              <a:extLst>
                <a:ext uri="{63B3BB69-23CF-44E3-9099-C40C66FF867C}">
                  <a14:compatExt spid="_x0000_s44033"/>
                </a:ext>
                <a:ext uri="{FF2B5EF4-FFF2-40B4-BE49-F238E27FC236}">
                  <a16:creationId xmlns:a16="http://schemas.microsoft.com/office/drawing/2014/main" id="{00000000-0008-0000-0900-000001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C5.pdf</a:t>
              </a:r>
            </a:p>
          </xdr:txBody>
        </xdr:sp>
        <xdr:clientData fPrintsWithSheet="0"/>
      </xdr:twoCellAnchor>
    </mc:Choice>
    <mc:Fallback/>
  </mc:AlternateContent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ffichage 1" id="{7093BF7A-B5AF-4865-B14F-A069EC2F593C}"/>
</namedSheetViews>
</file>

<file path=xl/persons/person.xml><?xml version="1.0" encoding="utf-8"?>
<personList xmlns="http://schemas.microsoft.com/office/spreadsheetml/2018/threadedcomments" xmlns:x="http://schemas.openxmlformats.org/spreadsheetml/2006/main">
  <person displayName="Piccirilli Sara" id="{8268C8F6-68EF-45E2-A6F5-3BBD1C6AFE71}" userId="Piccirilli Sara" providerId="Non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9306FFE-F752-49DA-B593-9758357DCBF0}" name="t_personnel" displayName="t_personnel" ref="A5:E8" totalsRowCount="1" headerRowDxfId="90" dataDxfId="88" totalsRowDxfId="86" headerRowBorderDxfId="89" tableBorderDxfId="87" headerRowCellStyle="Normal 6" totalsRowCellStyle="Sortie">
  <autoFilter ref="A5:E7" xr:uid="{938A1E36-CE96-482D-91A9-030AD206A64E}"/>
  <tableColumns count="5">
    <tableColumn id="1" xr3:uid="{0895BBFD-4EF4-4D19-B0ED-0A0292F0C1EE}" name="Nom, Prénom" totalsRowLabel="Total" dataDxfId="85" totalsRowDxfId="84" totalsRowCellStyle="Sortie"/>
    <tableColumn id="2" xr3:uid="{AD516E4D-C1D2-495F-A4E3-DB9AE05D6050}" name=" Fonction telle que reprise dans votre contrat de travail" dataDxfId="83" totalsRowDxfId="82" totalsRowCellStyle="Sortie"/>
    <tableColumn id="3" xr3:uid="{CCAD5B63-84A6-481B-9A92-AC1E98751629}" name="Date début nouveau  contrat ou de l'avenant" totalsRowFunction="min" dataDxfId="81" totalsRowDxfId="80" totalsRowCellStyle="Sortie"/>
    <tableColumn id="4" xr3:uid="{424D48A9-8A6E-495F-A592-E7BF29F8DA5C}" name="Date de fin du contrat (si spécifiée)" totalsRowFunction="max" dataDxfId="79" totalsRowDxfId="78" totalsRowCellStyle="Sortie"/>
    <tableColumn id="5" xr3:uid="{2EAE0D8D-03FC-461C-ACAD-A2869EBC1F9C}" name="Type de contrat (en Équivalent temps plein : 1= 1 temps plein, 0.5 un mi-temps…, ) y compris les missions hors POLLEC))" totalsRowFunction="sum" dataDxfId="77" totalsRowDxfId="76" totalsRowCellStyle="Sortie"/>
  </tableColumns>
  <tableStyleInfo name="TableStyleLight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8C27D53-3932-4341-B437-42BB7E9E324B}" name="t_rubriques" displayName="t_rubriques" ref="M1:M2" totalsRowShown="0">
  <autoFilter ref="M1:M2" xr:uid="{68C27D53-3932-4341-B437-42BB7E9E324B}"/>
  <tableColumns count="1">
    <tableColumn id="1" xr3:uid="{C983223A-D8CE-442B-9194-87D937861DB6}" name="Rubriqu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26AFB0B-98BF-4FDB-BB7E-E2DEF6914D3D}" name="t_tva_htva" displayName="t_tva_htva" ref="O1:O4" totalsRowShown="0">
  <autoFilter ref="O1:O4" xr:uid="{026AFB0B-98BF-4FDB-BB7E-E2DEF6914D3D}"/>
  <tableColumns count="1">
    <tableColumn id="1" xr3:uid="{D0E7C765-9E0B-43C4-8659-C2F7A33CF864}" name="TVAC_HTVA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E34D2DC-D0F4-4B2E-AD7F-9746E0C31564}" name="t_mois" displayName="t_mois" ref="Q1:Q14" totalsRowShown="0">
  <autoFilter ref="Q1:Q14" xr:uid="{AE34D2DC-D0F4-4B2E-AD7F-9746E0C31564}"/>
  <tableColumns count="1">
    <tableColumn id="1" xr3:uid="{2FF1CBAF-63E8-4097-A16B-B966C5C2DF4A}" name="Mois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29285B-F217-4650-B3B3-FAA20A0AD209}" name="t_email_gestionnaires" displayName="t_email_gestionnaires" ref="S1:S4" totalsRowShown="0">
  <autoFilter ref="S1:S4" xr:uid="{0029285B-F217-4650-B3B3-FAA20A0AD209}"/>
  <tableColumns count="1">
    <tableColumn id="1" xr3:uid="{B5E7D066-01A5-46BF-A386-72CDA679AE03}" name="Email-Gestionnaire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BBF0EE9-B899-44BD-ABDB-C9F4044DF32D}" name="t_appel" displayName="t_appel" ref="U1:U2" totalsRowShown="0">
  <autoFilter ref="U1:U2" xr:uid="{CBBF0EE9-B899-44BD-ABDB-C9F4044DF32D}"/>
  <tableColumns count="1">
    <tableColumn id="1" xr3:uid="{13FEAA35-9338-493B-A5FB-19C16764CC97}" name="Appe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AFA546E-8FD3-4920-9519-07E9921634EA}" name="t_frais_personnel" displayName="t_frais_personnel" ref="A5:U25" totalsRowCount="1" headerRowDxfId="62" dataDxfId="60" totalsRowDxfId="58" headerRowBorderDxfId="61" tableBorderDxfId="59" totalsRowBorderDxfId="57">
  <autoFilter ref="A5:U24" xr:uid="{EAFA546E-8FD3-4920-9519-07E9921634EA}"/>
  <tableColumns count="21">
    <tableColumn id="1" xr3:uid="{906B8E08-BAF8-4BCA-A2C6-CEA7CE276D18}" name="NOM Prénom" totalsRowLabel="Total" dataDxfId="56" totalsRowDxfId="55"/>
    <tableColumn id="2" xr3:uid="{74B237F3-E807-4DAE-8361-15BBE548B2A8}" name="Mois" totalsRowFunction="custom" dataDxfId="54">
      <totalsRowFormula array="1">SUMPRODUCT(1/COUNTIF(t_frais_personnel[Mois],t_frais_personnel[Mois]))-1</totalsRowFormula>
    </tableColumn>
    <tableColumn id="3" xr3:uid="{A8D70AE6-AC57-47ED-BDF2-07780A9149FB}" name="Année" dataDxfId="53"/>
    <tableColumn id="4" xr3:uid="{011B19F4-D68E-4B11-9EE6-E6688D898EFB}" name="N° attribué à la pièce justificative dans la DC" dataDxfId="52"/>
    <tableColumn id="5" xr3:uid="{2A1CC8F2-4976-4B11-BD65-5F9BAD00AF56}" name="Taux d'occupation mensuel par CPC* (%)" totalsRowFunction="custom" dataDxfId="51">
      <totalsRowFormula>AVERAGEIF(E6:E24,"&lt;&gt;0")</totalsRowFormula>
    </tableColumn>
    <tableColumn id="6" xr3:uid="{1DC24048-C66A-407C-B290-74E54F7A8CDA}" name="Brut Soumis_x000a_ONSS**" dataDxfId="50"/>
    <tableColumn id="7" xr3:uid="{70D482E6-7BB8-4584-AC24-EFCDA9A6A0DE}" name="Arrièrés" dataDxfId="49"/>
    <tableColumn id="8" xr3:uid="{809A38F7-AAE8-4E63-A240-9C2912439CD6}" name="***Autres charges " dataDxfId="48"/>
    <tableColumn id="9" xr3:uid="{1E66D418-3173-4903-9E79-B63C42135236}" name="****Avantages extra-légaux" dataDxfId="47"/>
    <tableColumn id="10" xr3:uid="{4222774E-C5E6-46F0-9819-1BD4CEBDF4F5}" name="*****Indemnités perçues" dataDxfId="46"/>
    <tableColumn id="11" xr3:uid="{BB41596F-2576-4BFE-9FF2-BC67A2EDE473}" name="TOTAL  DÉCLARÉ " totalsRowFunction="sum" dataDxfId="45" totalsRowDxfId="44">
      <calculatedColumnFormula>(SUM($F6:$I6)-J6)*$E6</calculatedColumnFormula>
    </tableColumn>
    <tableColumn id="12" xr3:uid="{06092F03-E71F-4FD8-B5FD-A2409A921A31}" name="COMMENTAIRE" dataDxfId="43"/>
    <tableColumn id="13" xr3:uid="{BEB3B486-0B50-44D0-9C1F-5CDA1C2302B1}" name="Taux d'occupation  mensuel*(%)" dataDxfId="42" totalsRowDxfId="41" dataCellStyle="Vérification">
      <calculatedColumnFormula>t_frais_personnel[[#This Row],[Taux d''occupation mensuel par CPC* (%)]]</calculatedColumnFormula>
    </tableColumn>
    <tableColumn id="14" xr3:uid="{B1CF2232-D732-4A22-9F99-D2F750EDA064}" name="Brut total* *" totalsRowFunction="sum" dataDxfId="40" totalsRowDxfId="39" dataCellStyle="Vérification">
      <calculatedColumnFormula>t_frais_personnel[[#This Row],[Brut Soumis
ONSS**]]</calculatedColumnFormula>
    </tableColumn>
    <tableColumn id="15" xr3:uid="{1F942988-04B9-452D-B5EA-733903A0712D}" name="Arrièrés2" dataDxfId="38" totalsRowDxfId="37" dataCellStyle="Vérification">
      <calculatedColumnFormula>t_frais_personnel[[#This Row],[Arrièrés]]</calculatedColumnFormula>
    </tableColumn>
    <tableColumn id="16" xr3:uid="{03080C0C-2468-4B41-830A-7CD7008847D2}" name="***Autres charges" dataDxfId="36" totalsRowDxfId="35" dataCellStyle="Vérification">
      <calculatedColumnFormula>t_frais_personnel[[#This Row],[***Autres charges ]]</calculatedColumnFormula>
    </tableColumn>
    <tableColumn id="17" xr3:uid="{107935CC-492A-45F1-925C-4097A4F70555}" name="****Avantages extra-légaux3" dataDxfId="34" totalsRowDxfId="33" dataCellStyle="Vérification">
      <calculatedColumnFormula>t_frais_personnel[[#This Row],[****Avantages extra-légaux]]</calculatedColumnFormula>
    </tableColumn>
    <tableColumn id="18" xr3:uid="{E8BCE8AB-B082-4452-9A0B-B9C00AE62090}" name="*****Indemnités perçues4" dataDxfId="32" totalsRowDxfId="31" dataCellStyle="Vérification">
      <calculatedColumnFormula>t_frais_personnel[[#This Row],[*****Indemnités perçues]]</calculatedColumnFormula>
    </tableColumn>
    <tableColumn id="19" xr3:uid="{8031B0F9-AE68-4427-BB2F-B8FD4E16242A}" name="TOTAL ACCEPTÉ" totalsRowFunction="sum" dataDxfId="30" totalsRowDxfId="29" dataCellStyle="Vérification">
      <calculatedColumnFormula>(SUM(t_frais_personnel[[#This Row],[Brut total* *]:[****Avantages extra-légaux3]])-t_frais_personnel[[#This Row],[*****Indemnités perçues4]])*t_frais_personnel[[#This Row],[Taux d''occupation  mensuel*(%)]]</calculatedColumnFormula>
    </tableColumn>
    <tableColumn id="20" xr3:uid="{9D6BB4D8-C07D-4CE5-A0F3-7FB8B94106B6}" name="Différence Tot.  accepté et déclaré" totalsRowFunction="sum" dataDxfId="28" totalsRowDxfId="27" dataCellStyle="Vérification">
      <calculatedColumnFormula>t_frais_personnel[[#This Row],[TOTAL ACCEPTÉ]]-t_frais_personnel[[#This Row],[TOTAL  DÉCLARÉ ]]</calculatedColumnFormula>
    </tableColumn>
    <tableColumn id="21" xr3:uid="{F5B3755A-225B-4A37-ACE9-AEF320707B71}" name="Raison de la révision" totalsRowFunction="count" dataDxfId="26" totalsRowDxfId="25" dataCellStyle="Vérification"/>
  </tableColumns>
  <tableStyleInfo name="TableStyleLight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95AF026-50F4-43BE-A2C2-F487311DC98B}" name="t_beneficiaires_p22" displayName="t_beneficiaires_p22" ref="A1:R182" totalsRowShown="0" headerRowCellStyle="Normal" dataCellStyle="Normal">
  <autoFilter ref="A1:R182" xr:uid="{595AF026-50F4-43BE-A2C2-F487311DC98B}"/>
  <tableColumns count="18">
    <tableColumn id="2" xr3:uid="{2E846DA0-AE57-4502-BDB2-71B51AA720EF}" name="Entité" dataCellStyle="Normal"/>
    <tableColumn id="1" xr3:uid="{6DCB62E8-29AB-4D05-8F82-01037741DE47}" name="BCE" dataDxfId="16" dataCellStyle="Normal"/>
    <tableColumn id="3" xr3:uid="{99F6620F-A3A1-41D0-A33C-6B3521C1F358}" name="Type de candidature" dataCellStyle="Normal"/>
    <tableColumn id="4" xr3:uid="{19A782A3-BB44-40CB-8E60-373FB8BD5470}" name="Montant du subside " dataCellStyle="Normal"/>
    <tableColumn id="5" xr3:uid="{A1CEC68F-6B9D-4B47-A18B-F96F3333D331}" name="Tranche 2023 (80%)" dataDxfId="15" dataCellStyle="Normal"/>
    <tableColumn id="20" xr3:uid="{53FD0D2C-47D3-4893-83E4-D8BE3D6808B5}" name="Tranche 2024 (20%)" dataDxfId="14"/>
    <tableColumn id="6" xr3:uid="{F8D34130-E010-4379-8602-481B792D4D55}" name="N° de compte" dataDxfId="13" dataCellStyle="Normal"/>
    <tableColumn id="8" xr3:uid="{86719BDC-122B-400A-ABEB-88F59D381D1C}" name="AB" dataCellStyle="Normal"/>
    <tableColumn id="9" xr3:uid="{A778B712-4FD3-4BE0-9D49-D734CF25C5DF}" name="N° AM" dataCellStyle="Normal"/>
    <tableColumn id="10" xr3:uid="{7E806943-27B8-4DB0-85C1-4C1AE9E100EB}" name="Visa" dataDxfId="12" dataCellStyle="Normal"/>
    <tableColumn id="11" xr3:uid="{6382157C-1D94-435A-ACF3-083F1B970AA1}" name="EJ" dataCellStyle="Normal"/>
    <tableColumn id="12" xr3:uid="{F482F108-131B-4B70-8791-8B7FBBAF3040}" name="rue" dataDxfId="11" dataCellStyle="Normal"/>
    <tableColumn id="18" xr3:uid="{3DAC1DC2-55EE-4F9F-9CFF-B3CB2C7F6670}" name="numero" dataDxfId="10"/>
    <tableColumn id="13" xr3:uid="{E6B7CDE7-93BF-4CFC-8AF8-7082C030DB05}" name="CP" dataDxfId="9" dataCellStyle="Normal"/>
    <tableColumn id="14" xr3:uid="{E2CA97D9-3DE2-4DF0-BCD7-0AA62E241E4A}" name="Localite" dataDxfId="8" dataCellStyle="Normal"/>
    <tableColumn id="16" xr3:uid="{A2F34AED-762A-4000-B0FA-BA92D716924D}" name="Date AM" dataCellStyle="Normal"/>
    <tableColumn id="17" xr3:uid="{9EC5DB56-DD3D-458A-962D-D452DB51A434}" name="Ref AM" dataDxfId="7" dataCellStyle="Normal"/>
    <tableColumn id="7" xr3:uid="{ECB4D071-27C9-42EC-9C8A-B97B2BAB9665}" name="Altais" dataDxfId="6" dataCellStyle="Normal"/>
  </tableColumns>
  <tableStyleInfo name="Style de tableau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4C56E97-019A-4A68-AC8E-6CB382178EC9}" name="t_montant_subside" displayName="t_montant_subside" ref="A1:A6" totalsRowShown="0" tableBorderDxfId="5" headerRowCellStyle="Normal" dataCellStyle="Normal">
  <autoFilter ref="A1:A6" xr:uid="{84C56E97-019A-4A68-AC8E-6CB382178EC9}"/>
  <tableColumns count="1">
    <tableColumn id="1" xr3:uid="{BA5BEE1A-A583-47FA-9F7F-B4E9ED2ED28F}" name="Montant_subside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AB9A1ED-7FA3-4CD2-9256-52D1EA9C2DAC}" name="t_visa" displayName="t_visa" ref="C1:C12" totalsRowShown="0" tableBorderDxfId="4" headerRowCellStyle="Normal" dataCellStyle="Normal">
  <autoFilter ref="C1:C12" xr:uid="{CAB9A1ED-7FA3-4CD2-9256-52D1EA9C2DAC}"/>
  <tableColumns count="1">
    <tableColumn id="1" xr3:uid="{27D1336C-C15B-4460-A248-BD7D8BE07A5A}" name="VISA" dataCellStyle="Normal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F8B9705-F004-4716-8D95-D16A3295EDFD}" name="t_civilite" displayName="t_civilite" ref="E1:E4" totalsRowShown="0" tableBorderDxfId="3" headerRowCellStyle="Normal" dataCellStyle="Normal">
  <autoFilter ref="E1:E4" xr:uid="{8F8B9705-F004-4716-8D95-D16A3295EDFD}"/>
  <tableColumns count="1">
    <tableColumn id="1" xr3:uid="{DF34A019-A91A-4458-B4D0-C9E4495FAE0E}" name="Civilité" dataCellStyle="Normal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2C0E22F-2B3B-4EC7-83B5-17BA5F2B612C}" name="t_o_n" displayName="t_o_n" ref="G1:G4" totalsRowShown="0" tableBorderDxfId="2" headerRowCellStyle="Normal" dataCellStyle="Normal">
  <autoFilter ref="G1:G4" xr:uid="{02C0E22F-2B3B-4EC7-83B5-17BA5F2B612C}"/>
  <tableColumns count="1">
    <tableColumn id="1" xr3:uid="{25E61806-55F1-4988-9950-E0247ACC626F}" name="O_N" dataCellStyle="Normal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47862D8-C24E-4F52-B628-2D83BE580908}" name="t_gestionnaires" displayName="t_gestionnaires" ref="I1:I5" totalsRowShown="0">
  <autoFilter ref="I1:I5" xr:uid="{847862D8-C24E-4F52-B628-2D83BE580908}"/>
  <tableColumns count="1">
    <tableColumn id="1" xr3:uid="{BF0E53A3-635D-4DFE-93C8-D49B3E477020}" name="Gestionnaire  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93C510E-4D46-40B5-A509-5F2BC45924C2}" name="t_ri_rf" displayName="t_ri_rf" ref="K1:K6" totalsRowShown="0" dataDxfId="1">
  <autoFilter ref="K1:K6" xr:uid="{393C510E-4D46-40B5-A509-5F2BC45924C2}"/>
  <tableColumns count="1">
    <tableColumn id="1" xr3:uid="{37D3ABEF-FB36-41FA-8584-47FF22E98FAB}" name="N°DC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7" personId="{8268C8F6-68EF-45E2-A6F5-3BBD1C6AFE71}" id="{E160BAD6-CB8B-4428-9920-9CA783AEF9B8}">
    <text xml:space="preserve">
Montant à modifier si il ne s'agit pas de la DC finale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lampspw.wallonie.be/dgo4/conventiondesmaires/assets/documents/content/actualit%C3%A9/Appel%20POLLEC%202022/Annexe_6_Guide_D%C3%A9penses_%C3%A9ligibles_POLLEC_22_V-finale.pdf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6.bin"/><Relationship Id="rId4" Type="http://schemas.openxmlformats.org/officeDocument/2006/relationships/ctrlProp" Target="../ctrlProps/ctrlProp1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2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8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12" Type="http://schemas.openxmlformats.org/officeDocument/2006/relationships/table" Target="../tables/table14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9.bin"/><Relationship Id="rId6" Type="http://schemas.openxmlformats.org/officeDocument/2006/relationships/table" Target="../tables/table8.xml"/><Relationship Id="rId11" Type="http://schemas.openxmlformats.org/officeDocument/2006/relationships/table" Target="../tables/table13.xml"/><Relationship Id="rId5" Type="http://schemas.openxmlformats.org/officeDocument/2006/relationships/table" Target="../tables/table7.xml"/><Relationship Id="rId10" Type="http://schemas.openxmlformats.org/officeDocument/2006/relationships/table" Target="../tables/table12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.xml"/><Relationship Id="rId13" Type="http://schemas.openxmlformats.org/officeDocument/2006/relationships/comments" Target="../comments1.xml"/><Relationship Id="rId3" Type="http://schemas.openxmlformats.org/officeDocument/2006/relationships/drawing" Target="../drawings/drawing4.xml"/><Relationship Id="rId7" Type="http://schemas.openxmlformats.org/officeDocument/2006/relationships/ctrlProp" Target="../ctrlProps/ctrlProp6.xml"/><Relationship Id="rId12" Type="http://schemas.openxmlformats.org/officeDocument/2006/relationships/ctrlProp" Target="../ctrlProps/ctrlProp11.xml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.xml"/><Relationship Id="rId11" Type="http://schemas.openxmlformats.org/officeDocument/2006/relationships/ctrlProp" Target="../ctrlProps/ctrlProp10.xml"/><Relationship Id="rId5" Type="http://schemas.openxmlformats.org/officeDocument/2006/relationships/ctrlProp" Target="../ctrlProps/ctrlProp4.xml"/><Relationship Id="rId10" Type="http://schemas.openxmlformats.org/officeDocument/2006/relationships/ctrlProp" Target="../ctrlProps/ctrlProp9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8.xml"/><Relationship Id="rId14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FOS"/>
  <dimension ref="A1:F19"/>
  <sheetViews>
    <sheetView showGridLines="0" zoomScaleNormal="100" workbookViewId="0">
      <selection activeCell="C26" sqref="C26"/>
    </sheetView>
  </sheetViews>
  <sheetFormatPr baseColWidth="10" defaultColWidth="10.6640625" defaultRowHeight="14.4" x14ac:dyDescent="0.3"/>
  <cols>
    <col min="1" max="6" width="33.33203125" customWidth="1"/>
  </cols>
  <sheetData>
    <row r="1" spans="1:6" ht="29.7" customHeight="1" thickBot="1" x14ac:dyDescent="0.35">
      <c r="A1" s="150" t="s">
        <v>0</v>
      </c>
      <c r="B1" s="150" t="s">
        <v>502</v>
      </c>
      <c r="C1" s="150" t="s">
        <v>1</v>
      </c>
      <c r="D1" s="151" t="s">
        <v>2</v>
      </c>
      <c r="E1" s="152">
        <v>45292</v>
      </c>
    </row>
    <row r="2" spans="1:6" ht="18" x14ac:dyDescent="0.3">
      <c r="A2" s="325" t="s">
        <v>3</v>
      </c>
      <c r="B2" s="326"/>
      <c r="C2" s="326"/>
      <c r="D2" s="326"/>
      <c r="E2" s="326"/>
      <c r="F2" s="327"/>
    </row>
    <row r="3" spans="1:6" x14ac:dyDescent="0.3">
      <c r="A3" s="334" t="s">
        <v>4</v>
      </c>
      <c r="B3" s="335"/>
      <c r="C3" s="335"/>
      <c r="D3" s="335"/>
      <c r="E3" s="335"/>
      <c r="F3" s="336"/>
    </row>
    <row r="4" spans="1:6" x14ac:dyDescent="0.3">
      <c r="A4" s="316" t="s">
        <v>749</v>
      </c>
      <c r="B4" s="317"/>
      <c r="C4" s="317"/>
      <c r="D4" s="317"/>
      <c r="E4" s="317"/>
      <c r="F4" s="318"/>
    </row>
    <row r="5" spans="1:6" x14ac:dyDescent="0.3">
      <c r="A5" s="319"/>
      <c r="B5" s="320"/>
      <c r="C5" s="320"/>
      <c r="D5" s="320"/>
      <c r="E5" s="320"/>
      <c r="F5" s="321"/>
    </row>
    <row r="6" spans="1:6" x14ac:dyDescent="0.3">
      <c r="A6" s="14"/>
      <c r="F6" s="15"/>
    </row>
    <row r="7" spans="1:6" x14ac:dyDescent="0.3">
      <c r="A7" s="328" t="s">
        <v>5</v>
      </c>
      <c r="B7" s="329"/>
      <c r="C7" s="329"/>
      <c r="D7" s="329"/>
      <c r="E7" s="329"/>
      <c r="F7" s="330"/>
    </row>
    <row r="8" spans="1:6" x14ac:dyDescent="0.3">
      <c r="A8" s="331" t="s">
        <v>1556</v>
      </c>
      <c r="B8" s="332"/>
      <c r="C8" s="332"/>
      <c r="D8" s="332"/>
      <c r="E8" s="332"/>
      <c r="F8" s="333"/>
    </row>
    <row r="9" spans="1:6" x14ac:dyDescent="0.3">
      <c r="A9" s="337" t="s">
        <v>6</v>
      </c>
      <c r="B9" s="338"/>
      <c r="C9" s="338"/>
      <c r="D9" s="338"/>
      <c r="E9" s="338"/>
      <c r="F9" s="339"/>
    </row>
    <row r="10" spans="1:6" x14ac:dyDescent="0.3">
      <c r="A10" s="340" t="s">
        <v>7</v>
      </c>
      <c r="B10" s="341"/>
      <c r="C10" s="341"/>
      <c r="D10" s="341"/>
      <c r="E10" s="341"/>
      <c r="F10" s="342"/>
    </row>
    <row r="11" spans="1:6" x14ac:dyDescent="0.3">
      <c r="A11" s="322"/>
      <c r="B11" s="323"/>
      <c r="C11" s="323"/>
      <c r="D11" s="323"/>
      <c r="E11" s="323"/>
      <c r="F11" s="324"/>
    </row>
    <row r="12" spans="1:6" x14ac:dyDescent="0.3">
      <c r="A12" s="349" t="s">
        <v>1557</v>
      </c>
      <c r="B12" s="350"/>
      <c r="C12" s="350"/>
      <c r="D12" s="350"/>
      <c r="E12" s="350"/>
      <c r="F12" s="351"/>
    </row>
    <row r="13" spans="1:6" x14ac:dyDescent="0.3">
      <c r="A13" s="349" t="s">
        <v>8</v>
      </c>
      <c r="B13" s="350"/>
      <c r="C13" s="350"/>
      <c r="D13" s="350"/>
      <c r="E13" s="350"/>
      <c r="F13" s="351"/>
    </row>
    <row r="14" spans="1:6" x14ac:dyDescent="0.3">
      <c r="A14" s="352" t="s">
        <v>9</v>
      </c>
      <c r="B14" s="353"/>
      <c r="C14" s="85"/>
      <c r="D14" s="85"/>
      <c r="E14" s="85"/>
      <c r="F14" s="86"/>
    </row>
    <row r="15" spans="1:6" x14ac:dyDescent="0.3">
      <c r="A15" s="354" t="s">
        <v>472</v>
      </c>
      <c r="B15" s="355"/>
      <c r="C15" s="62"/>
      <c r="D15" s="62"/>
      <c r="E15" s="62"/>
      <c r="F15" s="84"/>
    </row>
    <row r="16" spans="1:6" ht="14.7" customHeight="1" x14ac:dyDescent="0.3">
      <c r="A16" s="356" t="s">
        <v>10</v>
      </c>
      <c r="B16" s="357"/>
      <c r="C16" s="82"/>
      <c r="D16" s="82"/>
      <c r="E16" s="82"/>
      <c r="F16" s="83"/>
    </row>
    <row r="17" spans="1:6" ht="21" customHeight="1" x14ac:dyDescent="0.3">
      <c r="A17" s="81"/>
      <c r="B17" s="82"/>
      <c r="C17" s="82"/>
      <c r="D17" s="82"/>
      <c r="E17" s="82"/>
      <c r="F17" s="83"/>
    </row>
    <row r="18" spans="1:6" x14ac:dyDescent="0.3">
      <c r="A18" s="343" t="s">
        <v>11</v>
      </c>
      <c r="B18" s="344"/>
      <c r="C18" s="344"/>
      <c r="D18" s="344"/>
      <c r="E18" s="344"/>
      <c r="F18" s="345"/>
    </row>
    <row r="19" spans="1:6" ht="15" thickBot="1" x14ac:dyDescent="0.35">
      <c r="A19" s="346" t="s">
        <v>12</v>
      </c>
      <c r="B19" s="347"/>
      <c r="C19" s="347"/>
      <c r="D19" s="347"/>
      <c r="E19" s="347"/>
      <c r="F19" s="348"/>
    </row>
  </sheetData>
  <customSheetViews>
    <customSheetView guid="{C3F58662-020B-4E56-B390-38D4A953D070}">
      <selection activeCell="I31" sqref="I31"/>
      <pageMargins left="0" right="0" top="0" bottom="0" header="0" footer="0"/>
    </customSheetView>
  </customSheetViews>
  <mergeCells count="16">
    <mergeCell ref="A18:F18"/>
    <mergeCell ref="A19:F19"/>
    <mergeCell ref="A12:F12"/>
    <mergeCell ref="A13:F13"/>
    <mergeCell ref="A14:B14"/>
    <mergeCell ref="A15:B15"/>
    <mergeCell ref="A16:B16"/>
    <mergeCell ref="A4:F4"/>
    <mergeCell ref="A5:F5"/>
    <mergeCell ref="A11:F11"/>
    <mergeCell ref="A2:F2"/>
    <mergeCell ref="A7:F7"/>
    <mergeCell ref="A8:F8"/>
    <mergeCell ref="A3:F3"/>
    <mergeCell ref="A9:F9"/>
    <mergeCell ref="A10:F10"/>
  </mergeCells>
  <hyperlinks>
    <hyperlink ref="A19:F19" r:id="rId1" display="Volet 1 RH : Guide des dépenses éligibles" xr:uid="{F6C555C7-42DE-4A20-AB09-2C2CDB4A0BA7}"/>
  </hyperlinks>
  <pageMargins left="0.7" right="0.7" top="0.75" bottom="0.75" header="0.3" footer="0.3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C5">
    <tabColor rgb="FF33CCFF"/>
  </sheetPr>
  <dimension ref="B1:J25"/>
  <sheetViews>
    <sheetView showGridLines="0" zoomScale="90" zoomScaleNormal="90" zoomScaleSheetLayoutView="100" workbookViewId="0">
      <selection activeCell="G19" sqref="G19"/>
    </sheetView>
  </sheetViews>
  <sheetFormatPr baseColWidth="10" defaultColWidth="11.44140625" defaultRowHeight="14.4" x14ac:dyDescent="0.3"/>
  <cols>
    <col min="1" max="1" width="1.5546875" customWidth="1"/>
    <col min="2" max="2" width="12" customWidth="1"/>
    <col min="4" max="4" width="19" bestFit="1" customWidth="1"/>
    <col min="7" max="7" width="13.33203125" customWidth="1"/>
  </cols>
  <sheetData>
    <row r="1" spans="2:10" ht="15.6" x14ac:dyDescent="0.3">
      <c r="B1" s="7"/>
      <c r="C1" s="17"/>
      <c r="D1" s="17"/>
      <c r="E1" s="17"/>
      <c r="F1" s="17"/>
      <c r="G1" s="17"/>
      <c r="H1" s="17"/>
      <c r="I1" s="17"/>
      <c r="J1" s="18" t="s">
        <v>97</v>
      </c>
    </row>
    <row r="2" spans="2:10" ht="15.6" x14ac:dyDescent="0.3">
      <c r="B2" s="7"/>
      <c r="C2" s="17"/>
      <c r="D2" s="17"/>
      <c r="E2" s="17"/>
      <c r="F2" s="17"/>
      <c r="G2" s="17"/>
      <c r="H2" s="17"/>
      <c r="I2" s="17"/>
      <c r="J2" s="18" t="s">
        <v>98</v>
      </c>
    </row>
    <row r="3" spans="2:10" ht="16.2" thickBot="1" x14ac:dyDescent="0.35">
      <c r="B3" s="7"/>
      <c r="C3" s="17"/>
      <c r="D3" s="17"/>
      <c r="E3" s="17"/>
      <c r="F3" s="17"/>
      <c r="G3" s="17"/>
      <c r="H3" s="17"/>
      <c r="I3" s="17"/>
      <c r="J3" s="17"/>
    </row>
    <row r="4" spans="2:10" ht="16.8" thickTop="1" thickBot="1" x14ac:dyDescent="0.35">
      <c r="B4" s="439" t="s">
        <v>146</v>
      </c>
      <c r="C4" s="440"/>
      <c r="D4" s="440"/>
      <c r="E4" s="440"/>
      <c r="F4" s="440"/>
      <c r="G4" s="440"/>
      <c r="H4" s="440"/>
      <c r="I4" s="440"/>
      <c r="J4" s="441"/>
    </row>
    <row r="5" spans="2:10" ht="16.2" thickTop="1" x14ac:dyDescent="0.3">
      <c r="B5" s="7"/>
      <c r="C5" s="20"/>
      <c r="D5" s="20"/>
      <c r="E5" s="20"/>
      <c r="F5" s="20"/>
      <c r="G5" s="20"/>
      <c r="H5" s="20"/>
      <c r="I5" s="20"/>
      <c r="J5" s="20"/>
    </row>
    <row r="6" spans="2:10" ht="15.6" x14ac:dyDescent="0.3">
      <c r="B6" s="7"/>
      <c r="C6" s="16"/>
      <c r="D6" s="21"/>
      <c r="E6" s="21"/>
      <c r="F6" s="21"/>
      <c r="G6" s="21"/>
      <c r="H6" s="21"/>
      <c r="I6" s="21"/>
      <c r="J6" s="21"/>
    </row>
    <row r="7" spans="2:10" x14ac:dyDescent="0.3">
      <c r="B7" t="s">
        <v>101</v>
      </c>
      <c r="C7" s="6"/>
      <c r="D7" s="72" t="str">
        <f>IF('1-Identification'!B4="","",'1-Identification'!B4)</f>
        <v/>
      </c>
      <c r="E7" s="71"/>
      <c r="F7" s="17"/>
      <c r="G7" s="23"/>
      <c r="H7" s="23"/>
      <c r="I7" s="17"/>
      <c r="J7" s="24"/>
    </row>
    <row r="8" spans="2:10" x14ac:dyDescent="0.3">
      <c r="B8" s="442" t="s">
        <v>105</v>
      </c>
      <c r="C8" s="443"/>
      <c r="D8" s="72" t="e">
        <f>IF('1-Identification'!B14="","",'1-Identification'!B14)</f>
        <v>#N/A</v>
      </c>
      <c r="E8" s="71"/>
      <c r="F8" s="17"/>
      <c r="G8" s="17"/>
      <c r="H8" s="17"/>
      <c r="I8" s="24"/>
      <c r="J8" s="24"/>
    </row>
    <row r="10" spans="2:10" x14ac:dyDescent="0.3">
      <c r="B10" s="29"/>
      <c r="C10" s="30" t="s">
        <v>110</v>
      </c>
      <c r="D10" s="64" t="s">
        <v>759</v>
      </c>
      <c r="F10" s="30"/>
      <c r="G10" s="30"/>
      <c r="H10" s="30"/>
      <c r="I10" s="30"/>
    </row>
    <row r="11" spans="2:10" ht="18.75" customHeight="1" x14ac:dyDescent="0.3">
      <c r="B11" s="67" t="s">
        <v>111</v>
      </c>
      <c r="C11" s="70" t="e">
        <f>'1-Identification'!B20</f>
        <v>#N/A</v>
      </c>
      <c r="D11" s="63" t="e">
        <f>IDENTIF_ENGAGEMENT_JURIDIQUE</f>
        <v>#N/A</v>
      </c>
      <c r="F11" s="17"/>
      <c r="G11" s="17"/>
      <c r="H11" s="17"/>
      <c r="I11" s="17"/>
      <c r="J11" s="17"/>
    </row>
    <row r="13" spans="2:10" ht="30.75" customHeight="1" x14ac:dyDescent="0.3">
      <c r="B13" s="436" t="s">
        <v>486</v>
      </c>
      <c r="C13" s="436"/>
      <c r="D13" s="436"/>
      <c r="E13" s="436"/>
      <c r="F13" s="436"/>
      <c r="G13" s="436"/>
      <c r="H13" s="436"/>
      <c r="I13" s="436"/>
      <c r="J13" s="436"/>
    </row>
    <row r="14" spans="2:10" x14ac:dyDescent="0.3">
      <c r="B14" s="66" t="s">
        <v>487</v>
      </c>
      <c r="D14" s="76"/>
      <c r="E14" s="77"/>
      <c r="F14" t="s">
        <v>147</v>
      </c>
    </row>
    <row r="17" spans="2:9" x14ac:dyDescent="0.3">
      <c r="F17" s="66" t="s">
        <v>148</v>
      </c>
      <c r="G17" s="78">
        <f>SYNTH_TOT_DC_ACC_2</f>
        <v>0</v>
      </c>
      <c r="H17" s="65"/>
    </row>
    <row r="18" spans="2:9" x14ac:dyDescent="0.3">
      <c r="F18" s="66" t="s">
        <v>149</v>
      </c>
      <c r="G18" s="78" t="e">
        <f>SYNTH_SOLDE_SUBV</f>
        <v>#N/A</v>
      </c>
      <c r="H18" s="65"/>
      <c r="I18" t="s">
        <v>150</v>
      </c>
    </row>
    <row r="19" spans="2:9" x14ac:dyDescent="0.3">
      <c r="F19" s="66" t="s">
        <v>149</v>
      </c>
      <c r="G19" s="78" t="e">
        <f>'Synthèse-SPW'!G21</f>
        <v>#N/A</v>
      </c>
      <c r="H19" s="65"/>
      <c r="I19" t="s">
        <v>151</v>
      </c>
    </row>
    <row r="22" spans="2:9" x14ac:dyDescent="0.3">
      <c r="B22" s="62" t="s">
        <v>137</v>
      </c>
      <c r="D22" s="444" t="str">
        <f>IF('C3'!C44="","",'C3'!C44)</f>
        <v xml:space="preserve">Gestionnaire  </v>
      </c>
      <c r="E22" s="445"/>
    </row>
    <row r="23" spans="2:9" ht="39" customHeight="1" x14ac:dyDescent="0.3">
      <c r="B23" s="62" t="s">
        <v>152</v>
      </c>
      <c r="D23" s="437"/>
      <c r="E23" s="438"/>
    </row>
    <row r="24" spans="2:9" ht="24" customHeight="1" x14ac:dyDescent="0.3"/>
    <row r="25" spans="2:9" x14ac:dyDescent="0.3">
      <c r="B25" s="62" t="s">
        <v>153</v>
      </c>
      <c r="D25" s="437"/>
      <c r="E25" s="438"/>
    </row>
  </sheetData>
  <sheetProtection sheet="1" objects="1" scenarios="1"/>
  <mergeCells count="6">
    <mergeCell ref="B13:J13"/>
    <mergeCell ref="D23:E23"/>
    <mergeCell ref="D25:E25"/>
    <mergeCell ref="B4:J4"/>
    <mergeCell ref="B8:C8"/>
    <mergeCell ref="D22:E22"/>
  </mergeCells>
  <pageMargins left="0.7" right="0.7" top="0.75" bottom="0.75" header="0.3" footer="0.3"/>
  <pageSetup paperSize="9" scale="8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3" r:id="rId4" name="Button 1">
              <controlPr defaultSize="0" print="0" autoFill="0" autoPict="0" macro="[0]!exportpdf_C5">
                <anchor moveWithCells="1" sizeWithCells="1">
                  <from>
                    <xdr:col>1</xdr:col>
                    <xdr:colOff>213360</xdr:colOff>
                    <xdr:row>26</xdr:row>
                    <xdr:rowOff>137160</xdr:rowOff>
                  </from>
                  <to>
                    <xdr:col>5</xdr:col>
                    <xdr:colOff>22860</xdr:colOff>
                    <xdr:row>29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2F976-C624-4533-A31C-5BAB94A101E3}">
  <sheetPr codeName="Feuil1"/>
  <dimension ref="A1:BG103"/>
  <sheetViews>
    <sheetView topLeftCell="AK1" zoomScaleNormal="100" workbookViewId="0">
      <selection activeCell="AP11" sqref="AP11"/>
    </sheetView>
  </sheetViews>
  <sheetFormatPr baseColWidth="10" defaultColWidth="8.6640625" defaultRowHeight="14.4" x14ac:dyDescent="0.3"/>
  <cols>
    <col min="1" max="29" width="8.6640625" style="97"/>
    <col min="30" max="31" width="11.33203125" style="97" bestFit="1" customWidth="1"/>
    <col min="32" max="32" width="12.33203125" style="97" bestFit="1" customWidth="1"/>
    <col min="33" max="34" width="10.33203125" style="97" bestFit="1" customWidth="1"/>
    <col min="35" max="35" width="11.33203125" style="97" bestFit="1" customWidth="1"/>
    <col min="36" max="37" width="12.33203125" style="97" bestFit="1" customWidth="1"/>
    <col min="38" max="38" width="10.109375" style="97" customWidth="1"/>
    <col min="39" max="39" width="10.33203125" style="97" bestFit="1" customWidth="1"/>
    <col min="40" max="40" width="10.109375" style="97" customWidth="1"/>
    <col min="41" max="41" width="11.33203125" style="97" bestFit="1" customWidth="1"/>
    <col min="42" max="42" width="12.33203125" style="97" bestFit="1" customWidth="1"/>
    <col min="43" max="43" width="10.109375" style="97" customWidth="1"/>
    <col min="44" max="45" width="12.33203125" style="97" bestFit="1" customWidth="1"/>
    <col min="46" max="47" width="11.33203125" style="97" bestFit="1" customWidth="1"/>
    <col min="48" max="48" width="10.109375" style="97" customWidth="1"/>
    <col min="49" max="49" width="12.33203125" style="97" bestFit="1" customWidth="1"/>
    <col min="50" max="52" width="11.33203125" style="97" bestFit="1" customWidth="1"/>
    <col min="53" max="55" width="12.6640625" style="97" customWidth="1"/>
    <col min="56" max="57" width="8.6640625" style="97"/>
    <col min="58" max="58" width="21.6640625" style="97" customWidth="1"/>
    <col min="59" max="16384" width="8.6640625" style="97"/>
  </cols>
  <sheetData>
    <row r="1" spans="1:59" ht="118.5" customHeight="1" x14ac:dyDescent="0.3">
      <c r="A1" s="105" t="s">
        <v>154</v>
      </c>
      <c r="B1" s="105" t="s">
        <v>155</v>
      </c>
      <c r="C1" s="105" t="s">
        <v>156</v>
      </c>
      <c r="D1" s="105" t="s">
        <v>157</v>
      </c>
      <c r="E1" s="105" t="s">
        <v>158</v>
      </c>
      <c r="F1" s="105" t="s">
        <v>159</v>
      </c>
      <c r="G1" s="105" t="s">
        <v>160</v>
      </c>
      <c r="H1" s="105" t="s">
        <v>161</v>
      </c>
      <c r="I1" s="105" t="s">
        <v>162</v>
      </c>
      <c r="J1" s="105" t="s">
        <v>163</v>
      </c>
      <c r="K1" s="105" t="s">
        <v>164</v>
      </c>
      <c r="L1" s="105" t="s">
        <v>165</v>
      </c>
      <c r="M1" s="105" t="s">
        <v>166</v>
      </c>
      <c r="N1" s="105" t="s">
        <v>167</v>
      </c>
      <c r="O1" s="105" t="s">
        <v>168</v>
      </c>
      <c r="P1" s="105" t="s">
        <v>169</v>
      </c>
      <c r="Q1" s="105" t="s">
        <v>170</v>
      </c>
      <c r="R1" s="105" t="s">
        <v>171</v>
      </c>
      <c r="S1" s="105" t="s">
        <v>172</v>
      </c>
      <c r="T1" s="105" t="s">
        <v>173</v>
      </c>
      <c r="U1" s="105" t="s">
        <v>174</v>
      </c>
      <c r="V1" s="105" t="s">
        <v>175</v>
      </c>
      <c r="W1" s="105" t="s">
        <v>176</v>
      </c>
      <c r="X1" s="105" t="s">
        <v>177</v>
      </c>
      <c r="Y1" s="105"/>
      <c r="Z1" s="105" t="s">
        <v>178</v>
      </c>
      <c r="AA1" s="105" t="s">
        <v>179</v>
      </c>
      <c r="AB1" s="105" t="s">
        <v>180</v>
      </c>
      <c r="AC1" s="105" t="s">
        <v>181</v>
      </c>
      <c r="AD1" s="105" t="s">
        <v>182</v>
      </c>
      <c r="AE1" s="105" t="s">
        <v>183</v>
      </c>
      <c r="AF1" s="105" t="s">
        <v>184</v>
      </c>
      <c r="AG1" s="106" t="s">
        <v>185</v>
      </c>
      <c r="AH1" s="106" t="s">
        <v>186</v>
      </c>
      <c r="AI1" s="105" t="s">
        <v>187</v>
      </c>
      <c r="AJ1" s="105" t="s">
        <v>188</v>
      </c>
      <c r="AK1" s="105" t="s">
        <v>189</v>
      </c>
      <c r="AL1" s="105" t="s">
        <v>191</v>
      </c>
      <c r="AM1" s="105" t="s">
        <v>193</v>
      </c>
      <c r="AN1" s="105" t="s">
        <v>195</v>
      </c>
      <c r="AO1" s="105" t="s">
        <v>196</v>
      </c>
      <c r="AP1" s="105" t="s">
        <v>197</v>
      </c>
      <c r="AQ1" s="105" t="s">
        <v>199</v>
      </c>
      <c r="AR1" s="105" t="s">
        <v>202</v>
      </c>
      <c r="AS1" s="105" t="s">
        <v>204</v>
      </c>
      <c r="AT1" s="105" t="s">
        <v>205</v>
      </c>
      <c r="AU1" s="105" t="s">
        <v>207</v>
      </c>
      <c r="AV1" s="105" t="s">
        <v>209</v>
      </c>
      <c r="AW1" s="105" t="s">
        <v>214</v>
      </c>
      <c r="AX1" s="105" t="s">
        <v>215</v>
      </c>
      <c r="AY1" s="105" t="s">
        <v>216</v>
      </c>
      <c r="AZ1" s="105" t="s">
        <v>220</v>
      </c>
      <c r="BA1" s="105" t="s">
        <v>224</v>
      </c>
      <c r="BB1" s="105" t="s">
        <v>225</v>
      </c>
      <c r="BC1" s="105" t="s">
        <v>226</v>
      </c>
      <c r="BD1" s="105" t="s">
        <v>229</v>
      </c>
      <c r="BE1" s="105" t="s">
        <v>230</v>
      </c>
      <c r="BF1" s="105" t="s">
        <v>231</v>
      </c>
      <c r="BG1" s="105" t="s">
        <v>232</v>
      </c>
    </row>
    <row r="2" spans="1:59" ht="43.2" x14ac:dyDescent="0.3">
      <c r="A2" s="103">
        <f>DATE_DEB_CONV</f>
        <v>44927</v>
      </c>
      <c r="B2" s="103">
        <f>DATE_FIN_CONV</f>
        <v>46387</v>
      </c>
      <c r="C2" s="103">
        <f>DC_N°</f>
        <v>2023</v>
      </c>
      <c r="D2" s="103">
        <f>SYNTH_TOT_DC_DECL_2</f>
        <v>0</v>
      </c>
      <c r="E2" s="103" t="e">
        <f>IDENTIF_ADRESSE</f>
        <v>#N/A</v>
      </c>
      <c r="F2" s="103" t="e">
        <f>IDENTIF_ADRESSE_CP</f>
        <v>#N/A</v>
      </c>
      <c r="G2" s="103" t="e">
        <f>IDENTIF_ADRESSE_LOC</f>
        <v>#N/A</v>
      </c>
      <c r="H2" s="103" t="str">
        <f>IDENTIF_AGT_CIV</f>
        <v>Veuillez sélectionner</v>
      </c>
      <c r="I2" s="103">
        <f>IDENTIF_AGT_EMAIL</f>
        <v>0</v>
      </c>
      <c r="J2" s="103">
        <f>IDENTIF_AGT_NOM</f>
        <v>0</v>
      </c>
      <c r="K2" s="103">
        <f>IDENTIF_AGT_SERVICE</f>
        <v>0</v>
      </c>
      <c r="L2" s="103">
        <f>IDENTIF_AGT_TEL</f>
        <v>0</v>
      </c>
      <c r="M2" s="103" t="e">
        <f>IDENTIF_BCE</f>
        <v>#N/A</v>
      </c>
      <c r="N2" s="103">
        <f>IDENTIF_BUDG_AB_CONV</f>
        <v>0</v>
      </c>
      <c r="O2" s="103">
        <f>IDENTIF_BUDG_PROGRAMME_CONV</f>
        <v>0</v>
      </c>
      <c r="P2" s="103">
        <f>IDENTIF_COMPTE_BIC</f>
        <v>0</v>
      </c>
      <c r="Q2" s="103">
        <f>IDENTIF_COMPTE_COM</f>
        <v>0</v>
      </c>
      <c r="R2" s="103" t="e">
        <f>IDENTIF_COMPTE_N°IBAN</f>
        <v>#N/A</v>
      </c>
      <c r="S2" s="103">
        <f>IDENTIF_COMPTE_OUVERT_NOM_DE</f>
        <v>0</v>
      </c>
      <c r="T2" s="104">
        <f>IDENTIF_DEB_DC</f>
        <v>0</v>
      </c>
      <c r="U2" s="103">
        <f>'1-Identification'!F17</f>
        <v>1</v>
      </c>
      <c r="V2" s="104">
        <f>IDENTIF_FIN_DC</f>
        <v>0</v>
      </c>
      <c r="W2" s="103" t="e">
        <f>IDENTIF_LEGALE</f>
        <v>#N/A</v>
      </c>
      <c r="X2" s="103" t="e">
        <f>IDENTIF_MONTANT_SUBSIDE</f>
        <v>#N/A</v>
      </c>
      <c r="Y2" s="103"/>
      <c r="Z2" s="103" t="e">
        <f>IDENTIF_NOM_PROJET</f>
        <v>#N/A</v>
      </c>
      <c r="AA2" s="103">
        <f>IDENTIF_NOM_REQUERANT</f>
        <v>0</v>
      </c>
      <c r="AB2" s="103">
        <f>IDENTIF_TAUX_DE_FINANCEMENT</f>
        <v>1</v>
      </c>
      <c r="AC2" s="103" t="e">
        <f>IDENTIF_N_VISA</f>
        <v>#N/A</v>
      </c>
      <c r="AD2" s="106">
        <f>MONTANT_DC_C3_FONDS_ROULEMENT_JUSTIFIE</f>
        <v>0</v>
      </c>
      <c r="AE2" s="106" t="e">
        <f>MONTANT_DC_C3_SOLDE_DESENGAGE</f>
        <v>#N/A</v>
      </c>
      <c r="AF2" s="106" t="e">
        <f>MONTANT_DC_C3_TOT_LIQUIDE</f>
        <v>#N/A</v>
      </c>
      <c r="AG2" s="106">
        <f>MONTANT_TOT_PERSO_DECL</f>
        <v>0</v>
      </c>
      <c r="AH2" s="106">
        <f>MONTANT_TOT_PERSO_ACC</f>
        <v>0</v>
      </c>
      <c r="AI2" s="106" t="e">
        <f>PL_ORDO_DC1</f>
        <v>#N/A</v>
      </c>
      <c r="AJ2" s="107" t="e">
        <f>SYNT_A_REMBOURSER</f>
        <v>#N/A</v>
      </c>
      <c r="AK2" s="107" t="e">
        <f>SYNT_BUDGET_100</f>
        <v>#N/A</v>
      </c>
      <c r="AL2" s="107">
        <f>SYNTH_ACC_100</f>
        <v>0</v>
      </c>
      <c r="AM2" s="107">
        <f>SYNTH_DECL_100</f>
        <v>0</v>
      </c>
      <c r="AN2" s="107">
        <f>SYNTH_DIFF_ACC_DECL</f>
        <v>0</v>
      </c>
      <c r="AO2" s="107">
        <f>SYNTH_DIFF_ACC_DECL</f>
        <v>0</v>
      </c>
      <c r="AP2" s="107" t="e">
        <f>SYNTH_FR_liquidé</f>
        <v>#N/A</v>
      </c>
      <c r="AQ2" s="107">
        <f>SYNTH_FR_JUSTIF</f>
        <v>0</v>
      </c>
      <c r="AR2" s="107" t="e">
        <f>SYNTH_FR_SOLDE</f>
        <v>#N/A</v>
      </c>
      <c r="AS2" s="107" t="e">
        <f>SYNTH_MONTANT_LIQUIDE</f>
        <v>#N/A</v>
      </c>
      <c r="AT2" s="107" cm="1">
        <f t="array" ref="AT2">MONTANT_TOT_PERSO_ACC</f>
        <v>0</v>
      </c>
      <c r="AU2" s="107" cm="1">
        <f t="array" ref="AU2">MONTANT_TOT_PERSO_DECL</f>
        <v>0</v>
      </c>
      <c r="AV2" s="107" t="e">
        <f>SYNTH_SOLDE_SUBV</f>
        <v>#N/A</v>
      </c>
      <c r="AW2" s="107" t="e">
        <f>SYNTH_SUBSIDE</f>
        <v>#N/A</v>
      </c>
      <c r="AX2" s="107" t="e">
        <f>SYNTH_SOLDE_SUBV</f>
        <v>#N/A</v>
      </c>
      <c r="AY2" s="107">
        <f>SYNTH_TOT_DC_ACC_2</f>
        <v>0</v>
      </c>
      <c r="AZ2" s="107">
        <f>SYNTH_TOT_DC_DECL_2</f>
        <v>0</v>
      </c>
      <c r="BA2" s="107" t="e">
        <f>SYNTH_MONTANT_LIQUIDE</f>
        <v>#N/A</v>
      </c>
      <c r="BB2" s="107">
        <f>SYNTH_TOT_DC_ACC_2</f>
        <v>0</v>
      </c>
      <c r="BC2" s="107">
        <f>SYNTH_TOT_DC_DECL_2</f>
        <v>0</v>
      </c>
      <c r="BD2" s="97" t="str">
        <f>TVA</f>
        <v>Veuillez sélectionner</v>
      </c>
      <c r="BE2" s="97" t="str">
        <f>IF(VOS_REF=0,"",VOS_REF)</f>
        <v/>
      </c>
      <c r="BF2" s="79" t="str">
        <f>_xlfn.TEXTJOIN(CHAR(10),TRUE,'3-Frais de personnel'!U$6:U$23)</f>
        <v/>
      </c>
      <c r="BG2" s="99" t="str">
        <f>GT</f>
        <v xml:space="preserve">Gestionnaire  </v>
      </c>
    </row>
    <row r="60" spans="1:2" ht="43.2" x14ac:dyDescent="0.3">
      <c r="A60" s="97" t="s">
        <v>188</v>
      </c>
      <c r="B60" s="97" t="s">
        <v>233</v>
      </c>
    </row>
    <row r="61" spans="1:2" ht="43.2" x14ac:dyDescent="0.3">
      <c r="A61" s="97" t="s">
        <v>189</v>
      </c>
      <c r="B61" s="97" t="s">
        <v>234</v>
      </c>
    </row>
    <row r="62" spans="1:2" ht="43.2" x14ac:dyDescent="0.3">
      <c r="A62" s="97" t="s">
        <v>190</v>
      </c>
      <c r="B62" s="97" t="s">
        <v>235</v>
      </c>
    </row>
    <row r="63" spans="1:2" ht="43.2" x14ac:dyDescent="0.3">
      <c r="A63" s="97" t="s">
        <v>191</v>
      </c>
      <c r="B63" s="97" t="s">
        <v>236</v>
      </c>
    </row>
    <row r="64" spans="1:2" ht="43.2" x14ac:dyDescent="0.3">
      <c r="A64" s="97" t="s">
        <v>192</v>
      </c>
      <c r="B64" s="97" t="s">
        <v>237</v>
      </c>
    </row>
    <row r="65" spans="1:2" ht="43.2" x14ac:dyDescent="0.3">
      <c r="A65" s="97" t="s">
        <v>193</v>
      </c>
      <c r="B65" s="97" t="s">
        <v>238</v>
      </c>
    </row>
    <row r="66" spans="1:2" ht="43.2" x14ac:dyDescent="0.3">
      <c r="A66" s="97" t="s">
        <v>194</v>
      </c>
      <c r="B66" s="97" t="s">
        <v>239</v>
      </c>
    </row>
    <row r="67" spans="1:2" ht="43.2" x14ac:dyDescent="0.3">
      <c r="A67" s="97" t="s">
        <v>195</v>
      </c>
      <c r="B67" s="97" t="s">
        <v>240</v>
      </c>
    </row>
    <row r="68" spans="1:2" ht="43.2" x14ac:dyDescent="0.3">
      <c r="A68" s="97" t="s">
        <v>196</v>
      </c>
      <c r="B68" s="97" t="s">
        <v>241</v>
      </c>
    </row>
    <row r="69" spans="1:2" ht="43.2" x14ac:dyDescent="0.3">
      <c r="A69" s="97" t="s">
        <v>197</v>
      </c>
      <c r="B69" s="97" t="s">
        <v>242</v>
      </c>
    </row>
    <row r="70" spans="1:2" ht="43.2" x14ac:dyDescent="0.3">
      <c r="A70" s="97" t="s">
        <v>198</v>
      </c>
      <c r="B70" s="97" t="s">
        <v>243</v>
      </c>
    </row>
    <row r="71" spans="1:2" ht="43.2" x14ac:dyDescent="0.3">
      <c r="A71" s="97" t="s">
        <v>199</v>
      </c>
      <c r="B71" s="97" t="s">
        <v>244</v>
      </c>
    </row>
    <row r="72" spans="1:2" ht="43.2" x14ac:dyDescent="0.3">
      <c r="A72" s="97" t="s">
        <v>200</v>
      </c>
      <c r="B72" s="97" t="s">
        <v>245</v>
      </c>
    </row>
    <row r="73" spans="1:2" ht="43.2" x14ac:dyDescent="0.3">
      <c r="A73" s="97" t="s">
        <v>201</v>
      </c>
      <c r="B73" s="97" t="s">
        <v>246</v>
      </c>
    </row>
    <row r="74" spans="1:2" ht="43.2" x14ac:dyDescent="0.3">
      <c r="A74" s="97" t="s">
        <v>202</v>
      </c>
      <c r="B74" s="97" t="s">
        <v>247</v>
      </c>
    </row>
    <row r="75" spans="1:2" ht="57.6" x14ac:dyDescent="0.3">
      <c r="A75" s="97" t="s">
        <v>203</v>
      </c>
      <c r="B75" s="97" t="s">
        <v>248</v>
      </c>
    </row>
    <row r="76" spans="1:2" ht="57.6" x14ac:dyDescent="0.3">
      <c r="A76" s="97" t="s">
        <v>204</v>
      </c>
      <c r="B76" s="97" t="s">
        <v>249</v>
      </c>
    </row>
    <row r="77" spans="1:2" ht="43.2" x14ac:dyDescent="0.3">
      <c r="A77" s="97" t="s">
        <v>205</v>
      </c>
      <c r="B77" s="97" t="s">
        <v>250</v>
      </c>
    </row>
    <row r="78" spans="1:2" ht="43.2" x14ac:dyDescent="0.3">
      <c r="A78" s="97" t="s">
        <v>206</v>
      </c>
      <c r="B78" s="97" t="s">
        <v>251</v>
      </c>
    </row>
    <row r="79" spans="1:2" ht="43.2" x14ac:dyDescent="0.3">
      <c r="A79" s="97" t="s">
        <v>207</v>
      </c>
      <c r="B79" s="97" t="s">
        <v>252</v>
      </c>
    </row>
    <row r="80" spans="1:2" ht="43.2" x14ac:dyDescent="0.3">
      <c r="A80" s="97" t="s">
        <v>208</v>
      </c>
      <c r="B80" s="97" t="s">
        <v>253</v>
      </c>
    </row>
    <row r="81" spans="1:2" ht="43.2" x14ac:dyDescent="0.3">
      <c r="A81" s="97" t="s">
        <v>209</v>
      </c>
      <c r="B81" s="97" t="s">
        <v>254</v>
      </c>
    </row>
    <row r="82" spans="1:2" ht="43.2" x14ac:dyDescent="0.3">
      <c r="A82" s="97" t="s">
        <v>210</v>
      </c>
      <c r="B82" s="97" t="s">
        <v>255</v>
      </c>
    </row>
    <row r="83" spans="1:2" ht="43.2" x14ac:dyDescent="0.3">
      <c r="A83" s="97" t="s">
        <v>211</v>
      </c>
      <c r="B83" s="97" t="s">
        <v>256</v>
      </c>
    </row>
    <row r="84" spans="1:2" ht="43.2" x14ac:dyDescent="0.3">
      <c r="A84" s="97" t="s">
        <v>212</v>
      </c>
      <c r="B84" s="97" t="s">
        <v>257</v>
      </c>
    </row>
    <row r="85" spans="1:2" ht="43.2" x14ac:dyDescent="0.3">
      <c r="A85" s="97" t="s">
        <v>213</v>
      </c>
      <c r="B85" s="97" t="s">
        <v>258</v>
      </c>
    </row>
    <row r="86" spans="1:2" ht="43.2" x14ac:dyDescent="0.3">
      <c r="A86" s="97" t="s">
        <v>214</v>
      </c>
      <c r="B86" s="97" t="s">
        <v>259</v>
      </c>
    </row>
    <row r="87" spans="1:2" ht="43.2" x14ac:dyDescent="0.3">
      <c r="A87" s="97" t="s">
        <v>215</v>
      </c>
      <c r="B87" s="97" t="s">
        <v>260</v>
      </c>
    </row>
    <row r="88" spans="1:2" ht="43.2" x14ac:dyDescent="0.3">
      <c r="A88" s="97" t="s">
        <v>216</v>
      </c>
      <c r="B88" s="97" t="s">
        <v>261</v>
      </c>
    </row>
    <row r="89" spans="1:2" ht="43.2" x14ac:dyDescent="0.3">
      <c r="A89" s="97" t="s">
        <v>217</v>
      </c>
      <c r="B89" s="97" t="s">
        <v>262</v>
      </c>
    </row>
    <row r="90" spans="1:2" ht="43.2" x14ac:dyDescent="0.3">
      <c r="A90" s="97" t="s">
        <v>218</v>
      </c>
      <c r="B90" s="97" t="s">
        <v>263</v>
      </c>
    </row>
    <row r="91" spans="1:2" ht="43.2" x14ac:dyDescent="0.3">
      <c r="A91" s="97" t="s">
        <v>219</v>
      </c>
      <c r="B91" s="97" t="s">
        <v>264</v>
      </c>
    </row>
    <row r="92" spans="1:2" ht="43.2" x14ac:dyDescent="0.3">
      <c r="A92" s="97" t="s">
        <v>220</v>
      </c>
      <c r="B92" s="97" t="s">
        <v>265</v>
      </c>
    </row>
    <row r="93" spans="1:2" ht="43.2" x14ac:dyDescent="0.3">
      <c r="A93" s="97" t="s">
        <v>221</v>
      </c>
      <c r="B93" s="97" t="s">
        <v>266</v>
      </c>
    </row>
    <row r="94" spans="1:2" ht="43.2" x14ac:dyDescent="0.3">
      <c r="A94" s="97" t="s">
        <v>222</v>
      </c>
      <c r="B94" s="97" t="s">
        <v>267</v>
      </c>
    </row>
    <row r="95" spans="1:2" ht="43.2" x14ac:dyDescent="0.3">
      <c r="A95" s="97" t="s">
        <v>223</v>
      </c>
      <c r="B95" s="97" t="s">
        <v>268</v>
      </c>
    </row>
    <row r="96" spans="1:2" ht="43.2" x14ac:dyDescent="0.3">
      <c r="A96" s="97" t="s">
        <v>224</v>
      </c>
      <c r="B96" s="97" t="s">
        <v>269</v>
      </c>
    </row>
    <row r="97" spans="1:2" ht="43.2" x14ac:dyDescent="0.3">
      <c r="A97" s="97" t="s">
        <v>225</v>
      </c>
      <c r="B97" s="97" t="s">
        <v>270</v>
      </c>
    </row>
    <row r="98" spans="1:2" ht="43.2" x14ac:dyDescent="0.3">
      <c r="A98" s="97" t="s">
        <v>226</v>
      </c>
      <c r="B98" s="97" t="s">
        <v>271</v>
      </c>
    </row>
    <row r="99" spans="1:2" ht="43.2" x14ac:dyDescent="0.3">
      <c r="A99" s="97" t="s">
        <v>227</v>
      </c>
      <c r="B99" s="97" t="s">
        <v>272</v>
      </c>
    </row>
    <row r="100" spans="1:2" ht="43.2" x14ac:dyDescent="0.3">
      <c r="A100" s="97" t="s">
        <v>228</v>
      </c>
      <c r="B100" s="97" t="s">
        <v>273</v>
      </c>
    </row>
    <row r="101" spans="1:2" ht="72" x14ac:dyDescent="0.3">
      <c r="A101" s="97" t="s">
        <v>274</v>
      </c>
      <c r="B101" s="97" t="s">
        <v>275</v>
      </c>
    </row>
    <row r="102" spans="1:2" ht="57.6" x14ac:dyDescent="0.3">
      <c r="A102" s="97" t="s">
        <v>229</v>
      </c>
      <c r="B102" s="97" t="s">
        <v>276</v>
      </c>
    </row>
    <row r="103" spans="1:2" ht="72" x14ac:dyDescent="0.3">
      <c r="A103" s="97" t="s">
        <v>230</v>
      </c>
      <c r="B103" s="97" t="s">
        <v>277</v>
      </c>
    </row>
  </sheetData>
  <sheetProtection algorithmName="SHA-512" hashValue="AIpcpcaqz4IpqOk9iyN2fI/PrUMNBgQQKrmuMI+ZlLJAg0EBGO9+HSRNU5wteZ4OAH2rrBCiWGsCbMJdrFCUwA==" saltValue="BuqmjwxaOiQX1OSau+PDnQ==" spinCount="100000" sheet="1" objects="1" scenarios="1"/>
  <phoneticPr fontId="50" type="noConversion"/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D2CB7-0349-4375-B2B0-D5BD1898639F}">
  <sheetPr>
    <tabColor theme="0"/>
  </sheetPr>
  <dimension ref="A1:R182"/>
  <sheetViews>
    <sheetView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F85" sqref="F85"/>
    </sheetView>
  </sheetViews>
  <sheetFormatPr baseColWidth="10" defaultColWidth="11.44140625" defaultRowHeight="14.4" x14ac:dyDescent="0.3"/>
  <cols>
    <col min="1" max="2" width="30.44140625" bestFit="1" customWidth="1"/>
    <col min="3" max="3" width="22" style="87" customWidth="1"/>
    <col min="4" max="4" width="22.109375" style="89" customWidth="1"/>
    <col min="5" max="5" width="30.5546875" style="89" customWidth="1"/>
    <col min="6" max="6" width="19.6640625" style="89" customWidth="1"/>
    <col min="7" max="7" width="20" style="66" customWidth="1"/>
    <col min="8" max="8" width="17.5546875" style="66" customWidth="1"/>
    <col min="9" max="9" width="19.88671875" style="66" customWidth="1"/>
    <col min="10" max="10" width="9.5546875" style="66" customWidth="1"/>
    <col min="11" max="11" width="10" style="66" bestFit="1" customWidth="1"/>
    <col min="12" max="12" width="31.109375" bestFit="1" customWidth="1"/>
    <col min="13" max="13" width="10.33203125" bestFit="1" customWidth="1"/>
    <col min="14" max="14" width="5.44140625" customWidth="1"/>
    <col min="15" max="15" width="27.88671875" bestFit="1" customWidth="1"/>
    <col min="16" max="16" width="18.33203125" customWidth="1"/>
    <col min="17" max="17" width="55.6640625" style="88" bestFit="1" customWidth="1"/>
    <col min="18" max="18" width="14" customWidth="1"/>
  </cols>
  <sheetData>
    <row r="1" spans="1:18" x14ac:dyDescent="0.3">
      <c r="A1" t="s">
        <v>1521</v>
      </c>
      <c r="B1" t="s">
        <v>503</v>
      </c>
      <c r="C1" t="s">
        <v>278</v>
      </c>
      <c r="D1" t="s">
        <v>279</v>
      </c>
      <c r="E1" t="s">
        <v>1518</v>
      </c>
      <c r="F1" t="s">
        <v>1519</v>
      </c>
      <c r="G1" t="s">
        <v>713</v>
      </c>
      <c r="H1" t="s">
        <v>714</v>
      </c>
      <c r="I1" t="s">
        <v>715</v>
      </c>
      <c r="J1" t="s">
        <v>1528</v>
      </c>
      <c r="K1" t="s">
        <v>489</v>
      </c>
      <c r="L1" t="s">
        <v>739</v>
      </c>
      <c r="M1" t="s">
        <v>740</v>
      </c>
      <c r="N1" t="s">
        <v>280</v>
      </c>
      <c r="O1" t="s">
        <v>281</v>
      </c>
      <c r="P1" t="s">
        <v>751</v>
      </c>
      <c r="Q1" t="s">
        <v>750</v>
      </c>
      <c r="R1" s="212" t="s">
        <v>761</v>
      </c>
    </row>
    <row r="2" spans="1:18" x14ac:dyDescent="0.3">
      <c r="A2" t="s">
        <v>282</v>
      </c>
      <c r="B2" t="s">
        <v>504</v>
      </c>
      <c r="C2" t="s">
        <v>712</v>
      </c>
      <c r="D2" s="87">
        <v>171600</v>
      </c>
      <c r="E2" s="216">
        <v>137280</v>
      </c>
      <c r="F2" s="217">
        <v>34320</v>
      </c>
      <c r="G2" t="s">
        <v>942</v>
      </c>
      <c r="H2" s="87" t="s">
        <v>716</v>
      </c>
      <c r="I2" t="s">
        <v>717</v>
      </c>
      <c r="J2" t="s">
        <v>1529</v>
      </c>
      <c r="K2">
        <v>500085002</v>
      </c>
      <c r="L2" t="s">
        <v>943</v>
      </c>
      <c r="M2" t="s">
        <v>944</v>
      </c>
      <c r="N2" t="s">
        <v>945</v>
      </c>
      <c r="O2" t="s">
        <v>282</v>
      </c>
      <c r="P2" s="88" t="s">
        <v>752</v>
      </c>
      <c r="Q2" s="88" t="s">
        <v>946</v>
      </c>
      <c r="R2" s="212" t="s">
        <v>762</v>
      </c>
    </row>
    <row r="3" spans="1:18" x14ac:dyDescent="0.3">
      <c r="A3" s="212" t="s">
        <v>284</v>
      </c>
      <c r="B3" s="212" t="s">
        <v>505</v>
      </c>
      <c r="C3" t="s">
        <v>712</v>
      </c>
      <c r="D3" s="213">
        <v>160400</v>
      </c>
      <c r="E3" s="217">
        <v>128320</v>
      </c>
      <c r="F3" s="217">
        <v>32080</v>
      </c>
      <c r="G3" s="212" t="s">
        <v>947</v>
      </c>
      <c r="H3" s="87" t="s">
        <v>716</v>
      </c>
      <c r="I3" t="s">
        <v>717</v>
      </c>
      <c r="J3" s="212" t="s">
        <v>1529</v>
      </c>
      <c r="K3">
        <v>500085002</v>
      </c>
      <c r="L3" s="212" t="s">
        <v>948</v>
      </c>
      <c r="M3" s="212" t="s">
        <v>949</v>
      </c>
      <c r="N3" s="212" t="s">
        <v>950</v>
      </c>
      <c r="O3" s="212" t="s">
        <v>284</v>
      </c>
      <c r="P3" s="88" t="s">
        <v>752</v>
      </c>
      <c r="Q3" s="215" t="s">
        <v>946</v>
      </c>
      <c r="R3" s="212" t="s">
        <v>763</v>
      </c>
    </row>
    <row r="4" spans="1:18" x14ac:dyDescent="0.3">
      <c r="A4" s="212" t="s">
        <v>286</v>
      </c>
      <c r="B4" s="212" t="s">
        <v>506</v>
      </c>
      <c r="C4" t="s">
        <v>712</v>
      </c>
      <c r="D4" s="213">
        <v>160400</v>
      </c>
      <c r="E4" s="217">
        <v>128320</v>
      </c>
      <c r="F4" s="217">
        <v>32080</v>
      </c>
      <c r="G4" s="212" t="s">
        <v>951</v>
      </c>
      <c r="H4" s="87" t="s">
        <v>716</v>
      </c>
      <c r="I4" t="s">
        <v>717</v>
      </c>
      <c r="J4" s="212" t="s">
        <v>1529</v>
      </c>
      <c r="K4">
        <v>500085002</v>
      </c>
      <c r="L4" s="212" t="s">
        <v>952</v>
      </c>
      <c r="M4" s="212" t="s">
        <v>953</v>
      </c>
      <c r="N4" s="212" t="s">
        <v>954</v>
      </c>
      <c r="O4" s="212" t="s">
        <v>286</v>
      </c>
      <c r="P4" s="88" t="s">
        <v>752</v>
      </c>
      <c r="Q4" s="215" t="s">
        <v>946</v>
      </c>
      <c r="R4" s="212" t="s">
        <v>764</v>
      </c>
    </row>
    <row r="5" spans="1:18" x14ac:dyDescent="0.3">
      <c r="A5" s="212" t="s">
        <v>508</v>
      </c>
      <c r="B5" s="212" t="s">
        <v>507</v>
      </c>
      <c r="C5" t="s">
        <v>712</v>
      </c>
      <c r="D5" s="213">
        <v>194000</v>
      </c>
      <c r="E5" s="217">
        <v>155200</v>
      </c>
      <c r="F5" s="217">
        <v>38800</v>
      </c>
      <c r="G5" s="212" t="s">
        <v>955</v>
      </c>
      <c r="H5" s="87" t="s">
        <v>716</v>
      </c>
      <c r="I5" t="s">
        <v>717</v>
      </c>
      <c r="J5" s="212" t="s">
        <v>1529</v>
      </c>
      <c r="K5">
        <v>500085002</v>
      </c>
      <c r="L5" s="212" t="s">
        <v>956</v>
      </c>
      <c r="M5" s="212" t="s">
        <v>957</v>
      </c>
      <c r="N5" s="212" t="s">
        <v>958</v>
      </c>
      <c r="O5" s="212" t="s">
        <v>508</v>
      </c>
      <c r="P5" s="88" t="s">
        <v>752</v>
      </c>
      <c r="Q5" s="215" t="s">
        <v>946</v>
      </c>
      <c r="R5" s="212" t="s">
        <v>765</v>
      </c>
    </row>
    <row r="6" spans="1:18" x14ac:dyDescent="0.3">
      <c r="A6" s="212" t="s">
        <v>510</v>
      </c>
      <c r="B6" s="212" t="s">
        <v>509</v>
      </c>
      <c r="C6" t="s">
        <v>712</v>
      </c>
      <c r="D6" s="213">
        <v>194000</v>
      </c>
      <c r="E6" s="217">
        <v>155200</v>
      </c>
      <c r="F6" s="217">
        <v>38800</v>
      </c>
      <c r="G6" s="212" t="s">
        <v>959</v>
      </c>
      <c r="H6" s="87" t="s">
        <v>716</v>
      </c>
      <c r="I6" t="s">
        <v>717</v>
      </c>
      <c r="J6" s="212" t="s">
        <v>1529</v>
      </c>
      <c r="K6">
        <v>500085002</v>
      </c>
      <c r="L6" s="212" t="s">
        <v>960</v>
      </c>
      <c r="M6" s="212" t="s">
        <v>961</v>
      </c>
      <c r="N6" s="212" t="s">
        <v>962</v>
      </c>
      <c r="O6" s="212" t="s">
        <v>510</v>
      </c>
      <c r="P6" s="88" t="s">
        <v>752</v>
      </c>
      <c r="Q6" s="215" t="s">
        <v>946</v>
      </c>
      <c r="R6" s="212" t="s">
        <v>766</v>
      </c>
    </row>
    <row r="7" spans="1:18" x14ac:dyDescent="0.3">
      <c r="A7" s="212" t="s">
        <v>288</v>
      </c>
      <c r="B7" s="212" t="s">
        <v>511</v>
      </c>
      <c r="C7" t="s">
        <v>712</v>
      </c>
      <c r="D7" s="213">
        <v>160400</v>
      </c>
      <c r="E7" s="217">
        <v>128320</v>
      </c>
      <c r="F7" s="217">
        <v>32080</v>
      </c>
      <c r="G7" s="212" t="s">
        <v>963</v>
      </c>
      <c r="H7" s="87" t="s">
        <v>716</v>
      </c>
      <c r="I7" t="s">
        <v>717</v>
      </c>
      <c r="J7" s="212" t="s">
        <v>1529</v>
      </c>
      <c r="K7">
        <v>500085002</v>
      </c>
      <c r="L7" s="212" t="s">
        <v>964</v>
      </c>
      <c r="M7" s="212" t="s">
        <v>965</v>
      </c>
      <c r="N7" s="212" t="s">
        <v>966</v>
      </c>
      <c r="O7" s="212" t="s">
        <v>288</v>
      </c>
      <c r="P7" s="88" t="s">
        <v>752</v>
      </c>
      <c r="Q7" s="215" t="s">
        <v>946</v>
      </c>
      <c r="R7" s="212" t="s">
        <v>767</v>
      </c>
    </row>
    <row r="8" spans="1:18" x14ac:dyDescent="0.3">
      <c r="A8" s="212" t="s">
        <v>513</v>
      </c>
      <c r="B8" s="212" t="s">
        <v>512</v>
      </c>
      <c r="C8" t="s">
        <v>712</v>
      </c>
      <c r="D8" s="213">
        <v>194000</v>
      </c>
      <c r="E8" s="217">
        <v>155200</v>
      </c>
      <c r="F8" s="217">
        <v>38800</v>
      </c>
      <c r="G8" s="212" t="s">
        <v>967</v>
      </c>
      <c r="H8" s="87" t="s">
        <v>716</v>
      </c>
      <c r="I8" t="s">
        <v>717</v>
      </c>
      <c r="J8" s="212" t="s">
        <v>1529</v>
      </c>
      <c r="K8">
        <v>500085002</v>
      </c>
      <c r="L8" s="212" t="s">
        <v>968</v>
      </c>
      <c r="M8" s="212" t="s">
        <v>965</v>
      </c>
      <c r="N8" s="212" t="s">
        <v>969</v>
      </c>
      <c r="O8" s="212" t="s">
        <v>513</v>
      </c>
      <c r="P8" s="88" t="s">
        <v>752</v>
      </c>
      <c r="Q8" s="215" t="s">
        <v>946</v>
      </c>
      <c r="R8" s="212" t="s">
        <v>768</v>
      </c>
    </row>
    <row r="9" spans="1:18" x14ac:dyDescent="0.3">
      <c r="A9" s="212" t="s">
        <v>289</v>
      </c>
      <c r="B9" s="212" t="s">
        <v>514</v>
      </c>
      <c r="C9" t="s">
        <v>712</v>
      </c>
      <c r="D9" s="213">
        <v>160400</v>
      </c>
      <c r="E9" s="217">
        <v>128320</v>
      </c>
      <c r="F9" s="217">
        <v>32080</v>
      </c>
      <c r="G9" s="212" t="s">
        <v>970</v>
      </c>
      <c r="H9" s="87" t="s">
        <v>716</v>
      </c>
      <c r="I9" t="s">
        <v>717</v>
      </c>
      <c r="J9" s="212" t="s">
        <v>1529</v>
      </c>
      <c r="K9">
        <v>500085002</v>
      </c>
      <c r="L9" s="212" t="s">
        <v>971</v>
      </c>
      <c r="M9" s="212" t="s">
        <v>972</v>
      </c>
      <c r="N9" s="212" t="s">
        <v>973</v>
      </c>
      <c r="O9" s="212" t="s">
        <v>289</v>
      </c>
      <c r="P9" s="88" t="s">
        <v>752</v>
      </c>
      <c r="Q9" s="215" t="s">
        <v>946</v>
      </c>
      <c r="R9" s="212" t="s">
        <v>769</v>
      </c>
    </row>
    <row r="10" spans="1:18" x14ac:dyDescent="0.3">
      <c r="A10" s="212" t="s">
        <v>291</v>
      </c>
      <c r="B10" s="212" t="s">
        <v>515</v>
      </c>
      <c r="C10" t="s">
        <v>712</v>
      </c>
      <c r="D10" s="213">
        <v>171600</v>
      </c>
      <c r="E10" s="217">
        <v>137280</v>
      </c>
      <c r="F10" s="217">
        <v>34320</v>
      </c>
      <c r="G10" s="212" t="s">
        <v>974</v>
      </c>
      <c r="H10" s="87" t="s">
        <v>716</v>
      </c>
      <c r="I10" t="s">
        <v>717</v>
      </c>
      <c r="J10" s="212" t="s">
        <v>1529</v>
      </c>
      <c r="K10">
        <v>500085002</v>
      </c>
      <c r="L10" s="212" t="s">
        <v>975</v>
      </c>
      <c r="M10" s="212" t="s">
        <v>976</v>
      </c>
      <c r="N10" s="212" t="s">
        <v>977</v>
      </c>
      <c r="O10" s="212" t="s">
        <v>291</v>
      </c>
      <c r="P10" s="88" t="s">
        <v>752</v>
      </c>
      <c r="Q10" s="215" t="s">
        <v>946</v>
      </c>
      <c r="R10" s="212" t="s">
        <v>770</v>
      </c>
    </row>
    <row r="11" spans="1:18" x14ac:dyDescent="0.3">
      <c r="A11" s="212" t="s">
        <v>292</v>
      </c>
      <c r="B11" s="212" t="s">
        <v>516</v>
      </c>
      <c r="C11" t="s">
        <v>712</v>
      </c>
      <c r="D11" s="213">
        <v>160400</v>
      </c>
      <c r="E11" s="217">
        <v>128320</v>
      </c>
      <c r="F11" s="217">
        <v>32080</v>
      </c>
      <c r="G11" s="212" t="s">
        <v>978</v>
      </c>
      <c r="H11" s="87" t="s">
        <v>716</v>
      </c>
      <c r="I11" t="s">
        <v>717</v>
      </c>
      <c r="J11" s="212" t="s">
        <v>1529</v>
      </c>
      <c r="K11">
        <v>500085002</v>
      </c>
      <c r="L11" s="212" t="s">
        <v>979</v>
      </c>
      <c r="M11" s="212" t="s">
        <v>980</v>
      </c>
      <c r="N11" s="212" t="s">
        <v>981</v>
      </c>
      <c r="O11" s="212" t="s">
        <v>292</v>
      </c>
      <c r="P11" s="88" t="s">
        <v>752</v>
      </c>
      <c r="Q11" s="215" t="s">
        <v>946</v>
      </c>
      <c r="R11" s="212" t="s">
        <v>771</v>
      </c>
    </row>
    <row r="12" spans="1:18" x14ac:dyDescent="0.3">
      <c r="A12" s="212" t="s">
        <v>293</v>
      </c>
      <c r="B12" s="212" t="s">
        <v>517</v>
      </c>
      <c r="C12" t="s">
        <v>712</v>
      </c>
      <c r="D12" s="213">
        <v>160400</v>
      </c>
      <c r="E12" s="217">
        <v>128320</v>
      </c>
      <c r="F12" s="217">
        <v>32080</v>
      </c>
      <c r="G12" s="212" t="s">
        <v>982</v>
      </c>
      <c r="H12" s="87" t="s">
        <v>716</v>
      </c>
      <c r="I12" t="s">
        <v>717</v>
      </c>
      <c r="J12" s="212" t="s">
        <v>1529</v>
      </c>
      <c r="K12">
        <v>500085002</v>
      </c>
      <c r="L12" s="212" t="s">
        <v>983</v>
      </c>
      <c r="M12" s="212" t="s">
        <v>984</v>
      </c>
      <c r="N12" s="212" t="s">
        <v>985</v>
      </c>
      <c r="O12" s="212" t="s">
        <v>293</v>
      </c>
      <c r="P12" s="88" t="s">
        <v>752</v>
      </c>
      <c r="Q12" s="215" t="s">
        <v>946</v>
      </c>
      <c r="R12" s="212" t="s">
        <v>772</v>
      </c>
    </row>
    <row r="13" spans="1:18" x14ac:dyDescent="0.3">
      <c r="A13" s="212" t="s">
        <v>294</v>
      </c>
      <c r="B13" s="212" t="s">
        <v>518</v>
      </c>
      <c r="C13" t="s">
        <v>712</v>
      </c>
      <c r="D13" s="213">
        <v>160400</v>
      </c>
      <c r="E13" s="217">
        <v>128320</v>
      </c>
      <c r="F13" s="217">
        <v>32080</v>
      </c>
      <c r="G13" s="212" t="s">
        <v>986</v>
      </c>
      <c r="H13" s="87" t="s">
        <v>716</v>
      </c>
      <c r="I13" t="s">
        <v>717</v>
      </c>
      <c r="J13" s="212" t="s">
        <v>1529</v>
      </c>
      <c r="K13">
        <v>500085002</v>
      </c>
      <c r="L13" s="212" t="s">
        <v>987</v>
      </c>
      <c r="M13" s="212" t="s">
        <v>988</v>
      </c>
      <c r="N13" s="212" t="s">
        <v>989</v>
      </c>
      <c r="O13" s="212" t="s">
        <v>294</v>
      </c>
      <c r="P13" s="88" t="s">
        <v>752</v>
      </c>
      <c r="Q13" s="215" t="s">
        <v>946</v>
      </c>
      <c r="R13" s="212" t="s">
        <v>773</v>
      </c>
    </row>
    <row r="14" spans="1:18" x14ac:dyDescent="0.3">
      <c r="A14" s="212" t="s">
        <v>439</v>
      </c>
      <c r="B14" s="212" t="s">
        <v>458</v>
      </c>
      <c r="C14" t="s">
        <v>712</v>
      </c>
      <c r="D14" s="213">
        <v>194000</v>
      </c>
      <c r="E14" s="217">
        <v>155200</v>
      </c>
      <c r="F14" s="217">
        <v>38800</v>
      </c>
      <c r="G14" s="212" t="s">
        <v>990</v>
      </c>
      <c r="H14" s="87" t="s">
        <v>716</v>
      </c>
      <c r="I14" t="s">
        <v>717</v>
      </c>
      <c r="J14" s="212" t="s">
        <v>1529</v>
      </c>
      <c r="K14">
        <v>500085002</v>
      </c>
      <c r="L14" s="212" t="s">
        <v>991</v>
      </c>
      <c r="M14" s="212" t="s">
        <v>976</v>
      </c>
      <c r="N14" s="212" t="s">
        <v>992</v>
      </c>
      <c r="O14" s="212" t="s">
        <v>439</v>
      </c>
      <c r="P14" s="88" t="s">
        <v>752</v>
      </c>
      <c r="Q14" s="215" t="s">
        <v>946</v>
      </c>
      <c r="R14" s="212" t="s">
        <v>774</v>
      </c>
    </row>
    <row r="15" spans="1:18" x14ac:dyDescent="0.3">
      <c r="A15" s="212" t="s">
        <v>295</v>
      </c>
      <c r="B15" s="212" t="s">
        <v>519</v>
      </c>
      <c r="C15" t="s">
        <v>712</v>
      </c>
      <c r="D15" s="213">
        <v>160400</v>
      </c>
      <c r="E15" s="217">
        <v>128320</v>
      </c>
      <c r="F15" s="217">
        <v>32080</v>
      </c>
      <c r="G15" s="212" t="s">
        <v>993</v>
      </c>
      <c r="H15" s="87" t="s">
        <v>716</v>
      </c>
      <c r="I15" t="s">
        <v>717</v>
      </c>
      <c r="J15" s="212" t="s">
        <v>1529</v>
      </c>
      <c r="K15">
        <v>500085002</v>
      </c>
      <c r="L15" s="212" t="s">
        <v>994</v>
      </c>
      <c r="M15" s="212" t="s">
        <v>995</v>
      </c>
      <c r="N15" s="212" t="s">
        <v>996</v>
      </c>
      <c r="O15" s="212" t="s">
        <v>295</v>
      </c>
      <c r="P15" s="88" t="s">
        <v>752</v>
      </c>
      <c r="Q15" s="215" t="s">
        <v>946</v>
      </c>
      <c r="R15" s="212" t="s">
        <v>775</v>
      </c>
    </row>
    <row r="16" spans="1:18" x14ac:dyDescent="0.3">
      <c r="A16" s="212" t="s">
        <v>296</v>
      </c>
      <c r="B16" s="212" t="s">
        <v>520</v>
      </c>
      <c r="C16" t="s">
        <v>712</v>
      </c>
      <c r="D16" s="213">
        <v>171600</v>
      </c>
      <c r="E16" s="217">
        <v>137280</v>
      </c>
      <c r="F16" s="217">
        <v>34320</v>
      </c>
      <c r="G16" s="212" t="s">
        <v>997</v>
      </c>
      <c r="H16" s="87" t="s">
        <v>716</v>
      </c>
      <c r="I16" t="s">
        <v>717</v>
      </c>
      <c r="J16" s="212" t="s">
        <v>1529</v>
      </c>
      <c r="K16">
        <v>500085002</v>
      </c>
      <c r="L16" s="212" t="s">
        <v>998</v>
      </c>
      <c r="M16" s="212" t="s">
        <v>999</v>
      </c>
      <c r="N16" s="212" t="s">
        <v>1000</v>
      </c>
      <c r="O16" s="212" t="s">
        <v>296</v>
      </c>
      <c r="P16" s="88" t="s">
        <v>752</v>
      </c>
      <c r="Q16" s="215" t="s">
        <v>946</v>
      </c>
      <c r="R16" s="212" t="s">
        <v>776</v>
      </c>
    </row>
    <row r="17" spans="1:18" x14ac:dyDescent="0.3">
      <c r="A17" s="212" t="s">
        <v>522</v>
      </c>
      <c r="B17" s="212" t="s">
        <v>521</v>
      </c>
      <c r="C17" t="s">
        <v>712</v>
      </c>
      <c r="D17" s="213">
        <v>288000</v>
      </c>
      <c r="E17" s="217">
        <v>230400</v>
      </c>
      <c r="F17" s="217">
        <v>57600</v>
      </c>
      <c r="G17" s="212" t="s">
        <v>731</v>
      </c>
      <c r="H17" s="87" t="s">
        <v>718</v>
      </c>
      <c r="I17" t="s">
        <v>719</v>
      </c>
      <c r="J17" s="212" t="s">
        <v>1530</v>
      </c>
      <c r="K17">
        <v>500085005</v>
      </c>
      <c r="L17" s="212" t="s">
        <v>1001</v>
      </c>
      <c r="M17" s="212">
        <v>2</v>
      </c>
      <c r="N17" s="212">
        <v>5000</v>
      </c>
      <c r="O17" s="212" t="s">
        <v>304</v>
      </c>
      <c r="P17" s="88" t="s">
        <v>752</v>
      </c>
      <c r="Q17" s="215" t="s">
        <v>1002</v>
      </c>
      <c r="R17" s="212" t="s">
        <v>777</v>
      </c>
    </row>
    <row r="18" spans="1:18" x14ac:dyDescent="0.3">
      <c r="A18" s="212" t="s">
        <v>524</v>
      </c>
      <c r="B18" s="212" t="s">
        <v>523</v>
      </c>
      <c r="C18" t="s">
        <v>712</v>
      </c>
      <c r="D18" s="213">
        <v>194000</v>
      </c>
      <c r="E18" s="217">
        <v>155200</v>
      </c>
      <c r="F18" s="217">
        <v>38800</v>
      </c>
      <c r="G18" s="212" t="s">
        <v>1003</v>
      </c>
      <c r="H18" s="87" t="s">
        <v>716</v>
      </c>
      <c r="I18" t="s">
        <v>717</v>
      </c>
      <c r="J18" s="212" t="s">
        <v>1529</v>
      </c>
      <c r="K18">
        <v>500085002</v>
      </c>
      <c r="L18" s="212" t="s">
        <v>1004</v>
      </c>
      <c r="M18" s="212" t="s">
        <v>1005</v>
      </c>
      <c r="N18" s="212" t="s">
        <v>1006</v>
      </c>
      <c r="O18" s="212" t="s">
        <v>524</v>
      </c>
      <c r="P18" s="88" t="s">
        <v>752</v>
      </c>
      <c r="Q18" s="215" t="s">
        <v>946</v>
      </c>
      <c r="R18" s="212" t="s">
        <v>778</v>
      </c>
    </row>
    <row r="19" spans="1:18" x14ac:dyDescent="0.3">
      <c r="A19" s="212" t="s">
        <v>297</v>
      </c>
      <c r="B19" s="212" t="s">
        <v>525</v>
      </c>
      <c r="C19" t="s">
        <v>712</v>
      </c>
      <c r="D19" s="213">
        <v>194000</v>
      </c>
      <c r="E19" s="217">
        <v>155200</v>
      </c>
      <c r="F19" s="217">
        <v>38800</v>
      </c>
      <c r="G19" s="212" t="s">
        <v>1007</v>
      </c>
      <c r="H19" s="87" t="s">
        <v>716</v>
      </c>
      <c r="I19" t="s">
        <v>717</v>
      </c>
      <c r="J19" s="212" t="s">
        <v>1529</v>
      </c>
      <c r="K19">
        <v>500085002</v>
      </c>
      <c r="L19" s="212" t="s">
        <v>1008</v>
      </c>
      <c r="M19" s="212" t="s">
        <v>1009</v>
      </c>
      <c r="N19" s="212" t="s">
        <v>1010</v>
      </c>
      <c r="O19" s="212" t="s">
        <v>297</v>
      </c>
      <c r="P19" s="88" t="s">
        <v>752</v>
      </c>
      <c r="Q19" s="215" t="s">
        <v>946</v>
      </c>
      <c r="R19" s="212" t="s">
        <v>779</v>
      </c>
    </row>
    <row r="20" spans="1:18" x14ac:dyDescent="0.3">
      <c r="A20" s="212" t="s">
        <v>298</v>
      </c>
      <c r="B20" s="212" t="s">
        <v>526</v>
      </c>
      <c r="C20" t="s">
        <v>712</v>
      </c>
      <c r="D20" s="213">
        <v>171600</v>
      </c>
      <c r="E20" s="217">
        <v>137280</v>
      </c>
      <c r="F20" s="217">
        <v>34320</v>
      </c>
      <c r="G20" s="212" t="s">
        <v>1011</v>
      </c>
      <c r="H20" s="87" t="s">
        <v>716</v>
      </c>
      <c r="I20" t="s">
        <v>717</v>
      </c>
      <c r="J20" s="212" t="s">
        <v>1529</v>
      </c>
      <c r="K20">
        <v>500085002</v>
      </c>
      <c r="L20" s="212" t="s">
        <v>1012</v>
      </c>
      <c r="M20" s="212" t="s">
        <v>1013</v>
      </c>
      <c r="N20" s="212" t="s">
        <v>1014</v>
      </c>
      <c r="O20" s="212" t="s">
        <v>298</v>
      </c>
      <c r="P20" s="88" t="s">
        <v>752</v>
      </c>
      <c r="Q20" s="215" t="s">
        <v>946</v>
      </c>
      <c r="R20" s="212" t="s">
        <v>780</v>
      </c>
    </row>
    <row r="21" spans="1:18" x14ac:dyDescent="0.3">
      <c r="A21" s="212" t="s">
        <v>299</v>
      </c>
      <c r="B21" s="212" t="s">
        <v>527</v>
      </c>
      <c r="C21" t="s">
        <v>712</v>
      </c>
      <c r="D21" s="213">
        <v>171600</v>
      </c>
      <c r="E21" s="217">
        <v>137280</v>
      </c>
      <c r="F21" s="217">
        <v>34320</v>
      </c>
      <c r="G21" s="212" t="s">
        <v>1015</v>
      </c>
      <c r="H21" s="87" t="s">
        <v>716</v>
      </c>
      <c r="I21" t="s">
        <v>717</v>
      </c>
      <c r="J21" s="212" t="s">
        <v>1529</v>
      </c>
      <c r="K21">
        <v>500085002</v>
      </c>
      <c r="L21" s="212" t="s">
        <v>1016</v>
      </c>
      <c r="M21" s="212" t="s">
        <v>965</v>
      </c>
      <c r="N21" s="212" t="s">
        <v>1017</v>
      </c>
      <c r="O21" s="212" t="s">
        <v>299</v>
      </c>
      <c r="P21" s="88" t="s">
        <v>752</v>
      </c>
      <c r="Q21" s="215" t="s">
        <v>946</v>
      </c>
      <c r="R21" s="212" t="s">
        <v>781</v>
      </c>
    </row>
    <row r="22" spans="1:18" x14ac:dyDescent="0.3">
      <c r="A22" s="212" t="s">
        <v>444</v>
      </c>
      <c r="B22" s="212" t="s">
        <v>463</v>
      </c>
      <c r="C22" t="s">
        <v>712</v>
      </c>
      <c r="D22" s="213">
        <v>194000</v>
      </c>
      <c r="E22" s="217">
        <v>155200</v>
      </c>
      <c r="F22" s="217">
        <v>38800</v>
      </c>
      <c r="G22" s="212" t="s">
        <v>1018</v>
      </c>
      <c r="H22" s="87" t="s">
        <v>716</v>
      </c>
      <c r="I22" t="s">
        <v>717</v>
      </c>
      <c r="J22" s="212" t="s">
        <v>1529</v>
      </c>
      <c r="K22">
        <v>500085002</v>
      </c>
      <c r="L22" s="212" t="s">
        <v>1019</v>
      </c>
      <c r="M22" s="212" t="s">
        <v>1020</v>
      </c>
      <c r="N22" s="212" t="s">
        <v>1021</v>
      </c>
      <c r="O22" s="212" t="s">
        <v>444</v>
      </c>
      <c r="P22" s="88" t="s">
        <v>752</v>
      </c>
      <c r="Q22" s="215" t="s">
        <v>946</v>
      </c>
      <c r="R22" s="212" t="s">
        <v>782</v>
      </c>
    </row>
    <row r="23" spans="1:18" x14ac:dyDescent="0.3">
      <c r="A23" s="212" t="s">
        <v>300</v>
      </c>
      <c r="B23" s="212" t="s">
        <v>528</v>
      </c>
      <c r="C23" t="s">
        <v>712</v>
      </c>
      <c r="D23" s="213">
        <v>160400</v>
      </c>
      <c r="E23" s="217">
        <v>128320</v>
      </c>
      <c r="F23" s="217">
        <v>32080</v>
      </c>
      <c r="G23" s="212" t="s">
        <v>1022</v>
      </c>
      <c r="H23" s="87" t="s">
        <v>716</v>
      </c>
      <c r="I23" t="s">
        <v>717</v>
      </c>
      <c r="J23" s="212" t="s">
        <v>1529</v>
      </c>
      <c r="K23">
        <v>500085002</v>
      </c>
      <c r="L23" s="212" t="s">
        <v>1023</v>
      </c>
      <c r="M23" s="212" t="s">
        <v>965</v>
      </c>
      <c r="N23" s="212" t="s">
        <v>1024</v>
      </c>
      <c r="O23" s="212" t="s">
        <v>300</v>
      </c>
      <c r="P23" s="88" t="s">
        <v>752</v>
      </c>
      <c r="Q23" s="215" t="s">
        <v>946</v>
      </c>
      <c r="R23" s="212" t="s">
        <v>783</v>
      </c>
    </row>
    <row r="24" spans="1:18" x14ac:dyDescent="0.3">
      <c r="A24" s="212" t="s">
        <v>301</v>
      </c>
      <c r="B24" s="212" t="s">
        <v>529</v>
      </c>
      <c r="C24" t="s">
        <v>712</v>
      </c>
      <c r="D24" s="213">
        <v>171600</v>
      </c>
      <c r="E24" s="217">
        <v>137280</v>
      </c>
      <c r="F24" s="217">
        <v>34320</v>
      </c>
      <c r="G24" s="212" t="s">
        <v>1025</v>
      </c>
      <c r="H24" s="87" t="s">
        <v>716</v>
      </c>
      <c r="I24" t="s">
        <v>717</v>
      </c>
      <c r="J24" s="212" t="s">
        <v>1529</v>
      </c>
      <c r="K24">
        <v>500085002</v>
      </c>
      <c r="L24" s="212" t="s">
        <v>1026</v>
      </c>
      <c r="M24" s="212" t="s">
        <v>1027</v>
      </c>
      <c r="N24" s="212" t="s">
        <v>1028</v>
      </c>
      <c r="O24" s="212" t="s">
        <v>301</v>
      </c>
      <c r="P24" s="88" t="s">
        <v>752</v>
      </c>
      <c r="Q24" s="215" t="s">
        <v>946</v>
      </c>
      <c r="R24" s="212" t="s">
        <v>784</v>
      </c>
    </row>
    <row r="25" spans="1:18" x14ac:dyDescent="0.3">
      <c r="A25" s="212" t="s">
        <v>302</v>
      </c>
      <c r="B25" s="212" t="s">
        <v>530</v>
      </c>
      <c r="C25" t="s">
        <v>712</v>
      </c>
      <c r="D25" s="213">
        <v>171600</v>
      </c>
      <c r="E25" s="217">
        <v>137280</v>
      </c>
      <c r="F25" s="217">
        <v>34320</v>
      </c>
      <c r="G25" s="212" t="s">
        <v>1029</v>
      </c>
      <c r="H25" s="87" t="s">
        <v>716</v>
      </c>
      <c r="I25" t="s">
        <v>717</v>
      </c>
      <c r="J25" s="212" t="s">
        <v>1529</v>
      </c>
      <c r="K25">
        <v>500085002</v>
      </c>
      <c r="L25" s="212" t="s">
        <v>1030</v>
      </c>
      <c r="M25" s="212" t="s">
        <v>1031</v>
      </c>
      <c r="N25" s="212" t="s">
        <v>1032</v>
      </c>
      <c r="O25" s="212" t="s">
        <v>302</v>
      </c>
      <c r="P25" s="88" t="s">
        <v>752</v>
      </c>
      <c r="Q25" s="215" t="s">
        <v>946</v>
      </c>
      <c r="R25" s="212" t="s">
        <v>785</v>
      </c>
    </row>
    <row r="26" spans="1:18" x14ac:dyDescent="0.3">
      <c r="A26" s="212" t="s">
        <v>446</v>
      </c>
      <c r="B26" s="212" t="s">
        <v>465</v>
      </c>
      <c r="C26" t="s">
        <v>712</v>
      </c>
      <c r="D26" s="213">
        <v>171600</v>
      </c>
      <c r="E26" s="217">
        <v>137280</v>
      </c>
      <c r="F26" s="217">
        <v>34320</v>
      </c>
      <c r="G26" s="212" t="s">
        <v>1033</v>
      </c>
      <c r="H26" s="87" t="s">
        <v>716</v>
      </c>
      <c r="I26" t="s">
        <v>717</v>
      </c>
      <c r="J26" s="212" t="s">
        <v>1529</v>
      </c>
      <c r="K26">
        <v>500085002</v>
      </c>
      <c r="L26" s="212" t="s">
        <v>1034</v>
      </c>
      <c r="M26" s="212" t="s">
        <v>1020</v>
      </c>
      <c r="N26" s="212" t="s">
        <v>1035</v>
      </c>
      <c r="O26" s="212" t="s">
        <v>446</v>
      </c>
      <c r="P26" s="88" t="s">
        <v>752</v>
      </c>
      <c r="Q26" s="215" t="s">
        <v>946</v>
      </c>
      <c r="R26" s="212" t="s">
        <v>786</v>
      </c>
    </row>
    <row r="27" spans="1:18" x14ac:dyDescent="0.3">
      <c r="A27" s="212" t="s">
        <v>532</v>
      </c>
      <c r="B27" s="212" t="s">
        <v>531</v>
      </c>
      <c r="C27" t="s">
        <v>712</v>
      </c>
      <c r="D27" s="213">
        <v>171600</v>
      </c>
      <c r="E27" s="217">
        <v>137280</v>
      </c>
      <c r="F27" s="217">
        <v>34320</v>
      </c>
      <c r="G27" s="212" t="s">
        <v>1036</v>
      </c>
      <c r="H27" s="87" t="s">
        <v>716</v>
      </c>
      <c r="I27" t="s">
        <v>717</v>
      </c>
      <c r="J27" s="212" t="s">
        <v>1529</v>
      </c>
      <c r="K27">
        <v>500085002</v>
      </c>
      <c r="L27" s="212" t="s">
        <v>1037</v>
      </c>
      <c r="M27" s="212" t="s">
        <v>1038</v>
      </c>
      <c r="N27" s="212" t="s">
        <v>1039</v>
      </c>
      <c r="O27" s="212" t="s">
        <v>532</v>
      </c>
      <c r="P27" s="88" t="s">
        <v>752</v>
      </c>
      <c r="Q27" s="215" t="s">
        <v>946</v>
      </c>
      <c r="R27" s="212" t="s">
        <v>787</v>
      </c>
    </row>
    <row r="28" spans="1:18" x14ac:dyDescent="0.3">
      <c r="A28" s="212" t="s">
        <v>305</v>
      </c>
      <c r="B28" s="212" t="s">
        <v>533</v>
      </c>
      <c r="C28" t="s">
        <v>712</v>
      </c>
      <c r="D28" s="213">
        <v>160400</v>
      </c>
      <c r="E28" s="217">
        <v>128320</v>
      </c>
      <c r="F28" s="217">
        <v>32080</v>
      </c>
      <c r="G28" s="212" t="s">
        <v>1040</v>
      </c>
      <c r="H28" s="87" t="s">
        <v>716</v>
      </c>
      <c r="I28" t="s">
        <v>727</v>
      </c>
      <c r="J28" s="212" t="s">
        <v>1531</v>
      </c>
      <c r="K28">
        <v>500085007</v>
      </c>
      <c r="L28" s="212" t="s">
        <v>1041</v>
      </c>
      <c r="M28" s="212" t="s">
        <v>1042</v>
      </c>
      <c r="N28" s="212" t="s">
        <v>1043</v>
      </c>
      <c r="O28" s="212" t="s">
        <v>305</v>
      </c>
      <c r="P28" s="88" t="s">
        <v>752</v>
      </c>
      <c r="Q28" s="215" t="s">
        <v>1044</v>
      </c>
      <c r="R28" s="212" t="s">
        <v>788</v>
      </c>
    </row>
    <row r="29" spans="1:18" x14ac:dyDescent="0.3">
      <c r="A29" s="212" t="s">
        <v>306</v>
      </c>
      <c r="B29" s="212" t="s">
        <v>534</v>
      </c>
      <c r="C29" t="s">
        <v>712</v>
      </c>
      <c r="D29" s="213">
        <v>126800</v>
      </c>
      <c r="E29" s="217">
        <v>101440</v>
      </c>
      <c r="F29" s="217">
        <v>25360</v>
      </c>
      <c r="G29" s="212" t="s">
        <v>1045</v>
      </c>
      <c r="H29" s="87" t="s">
        <v>716</v>
      </c>
      <c r="I29" t="s">
        <v>727</v>
      </c>
      <c r="J29" s="212" t="s">
        <v>1531</v>
      </c>
      <c r="K29">
        <v>500085007</v>
      </c>
      <c r="L29" s="212" t="s">
        <v>1046</v>
      </c>
      <c r="M29" s="212" t="s">
        <v>988</v>
      </c>
      <c r="N29" s="212" t="s">
        <v>1047</v>
      </c>
      <c r="O29" s="212" t="s">
        <v>306</v>
      </c>
      <c r="P29" s="88" t="s">
        <v>752</v>
      </c>
      <c r="Q29" s="215" t="s">
        <v>1044</v>
      </c>
      <c r="R29" s="212" t="s">
        <v>789</v>
      </c>
    </row>
    <row r="30" spans="1:18" x14ac:dyDescent="0.3">
      <c r="A30" s="212" t="s">
        <v>451</v>
      </c>
      <c r="B30" s="212" t="s">
        <v>470</v>
      </c>
      <c r="C30" t="s">
        <v>712</v>
      </c>
      <c r="D30" s="213">
        <v>160400</v>
      </c>
      <c r="E30" s="217">
        <v>128320</v>
      </c>
      <c r="F30" s="217">
        <v>32080</v>
      </c>
      <c r="G30" s="212" t="s">
        <v>1048</v>
      </c>
      <c r="H30" s="87" t="s">
        <v>716</v>
      </c>
      <c r="I30" t="s">
        <v>727</v>
      </c>
      <c r="J30" s="212" t="s">
        <v>1531</v>
      </c>
      <c r="K30">
        <v>500085007</v>
      </c>
      <c r="L30" s="212" t="s">
        <v>1049</v>
      </c>
      <c r="M30" s="212" t="s">
        <v>1038</v>
      </c>
      <c r="N30" s="212" t="s">
        <v>1050</v>
      </c>
      <c r="O30" s="212" t="s">
        <v>451</v>
      </c>
      <c r="P30" s="88" t="s">
        <v>752</v>
      </c>
      <c r="Q30" s="215" t="s">
        <v>1044</v>
      </c>
      <c r="R30" s="212" t="s">
        <v>790</v>
      </c>
    </row>
    <row r="31" spans="1:18" x14ac:dyDescent="0.3">
      <c r="A31" s="212" t="s">
        <v>307</v>
      </c>
      <c r="B31" s="212" t="s">
        <v>535</v>
      </c>
      <c r="C31" t="s">
        <v>712</v>
      </c>
      <c r="D31" s="213">
        <v>160400</v>
      </c>
      <c r="E31" s="217">
        <v>128320</v>
      </c>
      <c r="F31" s="217">
        <v>32080</v>
      </c>
      <c r="G31" s="212" t="s">
        <v>1051</v>
      </c>
      <c r="H31" s="87" t="s">
        <v>716</v>
      </c>
      <c r="I31" t="s">
        <v>727</v>
      </c>
      <c r="J31" s="212" t="s">
        <v>1531</v>
      </c>
      <c r="K31">
        <v>500085007</v>
      </c>
      <c r="L31" s="212" t="s">
        <v>1052</v>
      </c>
      <c r="M31" s="212" t="s">
        <v>1053</v>
      </c>
      <c r="N31" s="212" t="s">
        <v>1054</v>
      </c>
      <c r="O31" s="212" t="s">
        <v>307</v>
      </c>
      <c r="P31" s="88" t="s">
        <v>752</v>
      </c>
      <c r="Q31" s="215" t="s">
        <v>1044</v>
      </c>
      <c r="R31" s="212" t="s">
        <v>791</v>
      </c>
    </row>
    <row r="32" spans="1:18" x14ac:dyDescent="0.3">
      <c r="A32" s="212" t="s">
        <v>308</v>
      </c>
      <c r="B32" s="212" t="s">
        <v>536</v>
      </c>
      <c r="C32" t="s">
        <v>712</v>
      </c>
      <c r="D32" s="213">
        <v>194000</v>
      </c>
      <c r="E32" s="217">
        <v>155200</v>
      </c>
      <c r="F32" s="217">
        <v>38800</v>
      </c>
      <c r="G32" s="212" t="s">
        <v>1055</v>
      </c>
      <c r="H32" s="87" t="s">
        <v>716</v>
      </c>
      <c r="I32" t="s">
        <v>727</v>
      </c>
      <c r="J32" s="212" t="s">
        <v>1531</v>
      </c>
      <c r="K32">
        <v>500085007</v>
      </c>
      <c r="L32" s="212" t="s">
        <v>1056</v>
      </c>
      <c r="M32" s="212" t="s">
        <v>1053</v>
      </c>
      <c r="N32" s="212" t="s">
        <v>1057</v>
      </c>
      <c r="O32" s="212" t="s">
        <v>308</v>
      </c>
      <c r="P32" s="88" t="s">
        <v>752</v>
      </c>
      <c r="Q32" s="215" t="s">
        <v>1044</v>
      </c>
      <c r="R32" s="212" t="s">
        <v>792</v>
      </c>
    </row>
    <row r="33" spans="1:18" x14ac:dyDescent="0.3">
      <c r="A33" s="212" t="s">
        <v>309</v>
      </c>
      <c r="B33" s="212" t="s">
        <v>537</v>
      </c>
      <c r="C33" t="s">
        <v>712</v>
      </c>
      <c r="D33" s="213">
        <v>171600</v>
      </c>
      <c r="E33" s="217">
        <v>137280</v>
      </c>
      <c r="F33" s="217">
        <v>34320</v>
      </c>
      <c r="G33" s="212" t="s">
        <v>1058</v>
      </c>
      <c r="H33" s="87" t="s">
        <v>716</v>
      </c>
      <c r="I33" t="s">
        <v>727</v>
      </c>
      <c r="J33" s="212" t="s">
        <v>1531</v>
      </c>
      <c r="K33">
        <v>500085007</v>
      </c>
      <c r="L33" s="212" t="s">
        <v>1059</v>
      </c>
      <c r="M33" s="212" t="s">
        <v>1005</v>
      </c>
      <c r="N33" s="212" t="s">
        <v>1060</v>
      </c>
      <c r="O33" s="212" t="s">
        <v>309</v>
      </c>
      <c r="P33" s="88" t="s">
        <v>752</v>
      </c>
      <c r="Q33" s="215" t="s">
        <v>1044</v>
      </c>
      <c r="R33" s="212" t="s">
        <v>793</v>
      </c>
    </row>
    <row r="34" spans="1:18" x14ac:dyDescent="0.3">
      <c r="A34" s="212" t="s">
        <v>539</v>
      </c>
      <c r="B34" s="212" t="s">
        <v>538</v>
      </c>
      <c r="C34" t="s">
        <v>712</v>
      </c>
      <c r="D34" s="213">
        <v>194000</v>
      </c>
      <c r="E34" s="217">
        <v>155200</v>
      </c>
      <c r="F34" s="217">
        <v>38800</v>
      </c>
      <c r="G34" s="212" t="s">
        <v>1061</v>
      </c>
      <c r="H34" s="87" t="s">
        <v>716</v>
      </c>
      <c r="I34" t="s">
        <v>727</v>
      </c>
      <c r="J34" s="212" t="s">
        <v>1531</v>
      </c>
      <c r="K34">
        <v>500085007</v>
      </c>
      <c r="L34" s="212" t="s">
        <v>1062</v>
      </c>
      <c r="M34" s="212" t="s">
        <v>1063</v>
      </c>
      <c r="N34" s="212" t="s">
        <v>1064</v>
      </c>
      <c r="O34" s="212" t="s">
        <v>539</v>
      </c>
      <c r="P34" s="88" t="s">
        <v>752</v>
      </c>
      <c r="Q34" s="215" t="s">
        <v>1044</v>
      </c>
      <c r="R34" s="212" t="s">
        <v>794</v>
      </c>
    </row>
    <row r="35" spans="1:18" x14ac:dyDescent="0.3">
      <c r="A35" s="212" t="s">
        <v>541</v>
      </c>
      <c r="B35" s="212" t="s">
        <v>540</v>
      </c>
      <c r="C35" t="s">
        <v>712</v>
      </c>
      <c r="D35" s="213">
        <v>194000</v>
      </c>
      <c r="E35" s="217">
        <v>155200</v>
      </c>
      <c r="F35" s="217">
        <v>38800</v>
      </c>
      <c r="G35" s="212" t="s">
        <v>1065</v>
      </c>
      <c r="H35" s="87" t="s">
        <v>716</v>
      </c>
      <c r="I35" t="s">
        <v>727</v>
      </c>
      <c r="J35" s="212" t="s">
        <v>1531</v>
      </c>
      <c r="K35">
        <v>500085007</v>
      </c>
      <c r="L35" s="212" t="s">
        <v>1066</v>
      </c>
      <c r="M35" s="212" t="s">
        <v>965</v>
      </c>
      <c r="N35" s="212" t="s">
        <v>1067</v>
      </c>
      <c r="O35" s="212" t="s">
        <v>541</v>
      </c>
      <c r="P35" s="88" t="s">
        <v>752</v>
      </c>
      <c r="Q35" s="215" t="s">
        <v>1044</v>
      </c>
      <c r="R35" s="212" t="s">
        <v>795</v>
      </c>
    </row>
    <row r="36" spans="1:18" x14ac:dyDescent="0.3">
      <c r="A36" s="212" t="s">
        <v>310</v>
      </c>
      <c r="B36" s="212" t="s">
        <v>542</v>
      </c>
      <c r="C36" t="s">
        <v>712</v>
      </c>
      <c r="D36" s="213">
        <v>160400</v>
      </c>
      <c r="E36" s="217">
        <v>128320</v>
      </c>
      <c r="F36" s="217">
        <v>32080</v>
      </c>
      <c r="G36" s="212" t="s">
        <v>1068</v>
      </c>
      <c r="H36" s="87" t="s">
        <v>716</v>
      </c>
      <c r="I36" t="s">
        <v>727</v>
      </c>
      <c r="J36" s="212" t="s">
        <v>1531</v>
      </c>
      <c r="K36">
        <v>500085007</v>
      </c>
      <c r="L36" s="212" t="s">
        <v>1069</v>
      </c>
      <c r="M36" s="212" t="s">
        <v>957</v>
      </c>
      <c r="N36" s="212" t="s">
        <v>1070</v>
      </c>
      <c r="O36" s="212" t="s">
        <v>310</v>
      </c>
      <c r="P36" s="88" t="s">
        <v>752</v>
      </c>
      <c r="Q36" s="215" t="s">
        <v>1044</v>
      </c>
      <c r="R36" s="212" t="s">
        <v>796</v>
      </c>
    </row>
    <row r="37" spans="1:18" x14ac:dyDescent="0.3">
      <c r="A37" s="212" t="s">
        <v>312</v>
      </c>
      <c r="B37" s="212" t="s">
        <v>543</v>
      </c>
      <c r="C37" t="s">
        <v>712</v>
      </c>
      <c r="D37" s="213">
        <v>171600</v>
      </c>
      <c r="E37" s="217">
        <v>137280</v>
      </c>
      <c r="F37" s="217">
        <v>34320</v>
      </c>
      <c r="G37" s="212" t="s">
        <v>1071</v>
      </c>
      <c r="H37" s="87" t="s">
        <v>716</v>
      </c>
      <c r="I37" t="s">
        <v>727</v>
      </c>
      <c r="J37" s="212" t="s">
        <v>1531</v>
      </c>
      <c r="K37">
        <v>500085007</v>
      </c>
      <c r="L37" s="212" t="s">
        <v>1072</v>
      </c>
      <c r="M37" s="212" t="s">
        <v>965</v>
      </c>
      <c r="N37" s="212" t="s">
        <v>1073</v>
      </c>
      <c r="O37" s="212" t="s">
        <v>312</v>
      </c>
      <c r="P37" s="88" t="s">
        <v>752</v>
      </c>
      <c r="Q37" s="215" t="s">
        <v>1044</v>
      </c>
      <c r="R37" s="212" t="s">
        <v>797</v>
      </c>
    </row>
    <row r="38" spans="1:18" x14ac:dyDescent="0.3">
      <c r="A38" s="212" t="s">
        <v>313</v>
      </c>
      <c r="B38" s="212" t="s">
        <v>544</v>
      </c>
      <c r="C38" t="s">
        <v>712</v>
      </c>
      <c r="D38" s="213">
        <v>160400</v>
      </c>
      <c r="E38" s="217">
        <v>128320</v>
      </c>
      <c r="F38" s="217">
        <v>32080</v>
      </c>
      <c r="G38" s="212" t="s">
        <v>1074</v>
      </c>
      <c r="H38" s="87" t="s">
        <v>716</v>
      </c>
      <c r="I38" t="s">
        <v>727</v>
      </c>
      <c r="J38" s="212" t="s">
        <v>1531</v>
      </c>
      <c r="K38">
        <v>500085007</v>
      </c>
      <c r="L38" s="212" t="s">
        <v>1075</v>
      </c>
      <c r="M38" s="212" t="s">
        <v>1053</v>
      </c>
      <c r="N38" s="212" t="s">
        <v>1076</v>
      </c>
      <c r="O38" s="212" t="s">
        <v>313</v>
      </c>
      <c r="P38" s="88" t="s">
        <v>752</v>
      </c>
      <c r="Q38" s="215" t="s">
        <v>1044</v>
      </c>
      <c r="R38" s="212" t="s">
        <v>798</v>
      </c>
    </row>
    <row r="39" spans="1:18" x14ac:dyDescent="0.3">
      <c r="A39" s="212" t="s">
        <v>546</v>
      </c>
      <c r="B39" s="212" t="s">
        <v>545</v>
      </c>
      <c r="C39" t="s">
        <v>712</v>
      </c>
      <c r="D39" s="213">
        <v>194000</v>
      </c>
      <c r="E39" s="217">
        <v>155200</v>
      </c>
      <c r="F39" s="217">
        <v>38800</v>
      </c>
      <c r="G39" s="212" t="s">
        <v>1077</v>
      </c>
      <c r="H39" s="87" t="s">
        <v>716</v>
      </c>
      <c r="I39" t="s">
        <v>727</v>
      </c>
      <c r="J39" s="212" t="s">
        <v>1531</v>
      </c>
      <c r="K39">
        <v>500085007</v>
      </c>
      <c r="L39" s="212" t="s">
        <v>1078</v>
      </c>
      <c r="M39" s="212" t="s">
        <v>976</v>
      </c>
      <c r="N39" s="212" t="s">
        <v>1079</v>
      </c>
      <c r="O39" s="212" t="s">
        <v>546</v>
      </c>
      <c r="P39" s="88" t="s">
        <v>752</v>
      </c>
      <c r="Q39" s="215" t="s">
        <v>1044</v>
      </c>
      <c r="R39" s="212" t="s">
        <v>799</v>
      </c>
    </row>
    <row r="40" spans="1:18" x14ac:dyDescent="0.3">
      <c r="A40" s="212" t="s">
        <v>548</v>
      </c>
      <c r="B40" s="212" t="s">
        <v>547</v>
      </c>
      <c r="C40" t="s">
        <v>712</v>
      </c>
      <c r="D40" s="213">
        <v>194000</v>
      </c>
      <c r="E40" s="217">
        <v>155200</v>
      </c>
      <c r="F40" s="217">
        <v>38800</v>
      </c>
      <c r="G40" s="212" t="s">
        <v>1080</v>
      </c>
      <c r="H40" s="87" t="s">
        <v>716</v>
      </c>
      <c r="I40" t="s">
        <v>727</v>
      </c>
      <c r="J40" s="212" t="s">
        <v>1531</v>
      </c>
      <c r="K40">
        <v>500085007</v>
      </c>
      <c r="L40" s="212" t="s">
        <v>1081</v>
      </c>
      <c r="M40" s="212" t="s">
        <v>965</v>
      </c>
      <c r="N40" s="212" t="s">
        <v>1082</v>
      </c>
      <c r="O40" s="212" t="s">
        <v>548</v>
      </c>
      <c r="P40" s="88" t="s">
        <v>752</v>
      </c>
      <c r="Q40" s="215" t="s">
        <v>1044</v>
      </c>
      <c r="R40" s="212" t="s">
        <v>800</v>
      </c>
    </row>
    <row r="41" spans="1:18" x14ac:dyDescent="0.3">
      <c r="A41" s="212" t="s">
        <v>315</v>
      </c>
      <c r="B41" s="212" t="s">
        <v>549</v>
      </c>
      <c r="C41" t="s">
        <v>712</v>
      </c>
      <c r="D41" s="213">
        <v>160400</v>
      </c>
      <c r="E41" s="217">
        <v>128320</v>
      </c>
      <c r="F41" s="217">
        <v>32080</v>
      </c>
      <c r="G41" s="212" t="s">
        <v>1083</v>
      </c>
      <c r="H41" s="87" t="s">
        <v>716</v>
      </c>
      <c r="I41" t="s">
        <v>727</v>
      </c>
      <c r="J41" s="212" t="s">
        <v>1531</v>
      </c>
      <c r="K41">
        <v>500085007</v>
      </c>
      <c r="L41" s="212" t="s">
        <v>1084</v>
      </c>
      <c r="M41" s="212" t="s">
        <v>1085</v>
      </c>
      <c r="N41" s="212" t="s">
        <v>1086</v>
      </c>
      <c r="O41" s="212" t="s">
        <v>315</v>
      </c>
      <c r="P41" s="88" t="s">
        <v>752</v>
      </c>
      <c r="Q41" s="215" t="s">
        <v>1044</v>
      </c>
      <c r="R41" s="212" t="s">
        <v>801</v>
      </c>
    </row>
    <row r="42" spans="1:18" x14ac:dyDescent="0.3">
      <c r="A42" s="212" t="s">
        <v>551</v>
      </c>
      <c r="B42" s="212" t="s">
        <v>550</v>
      </c>
      <c r="C42" t="s">
        <v>712</v>
      </c>
      <c r="D42" s="213">
        <v>160400</v>
      </c>
      <c r="E42" s="217">
        <v>128320</v>
      </c>
      <c r="F42" s="217">
        <v>32080</v>
      </c>
      <c r="G42" s="212" t="s">
        <v>1087</v>
      </c>
      <c r="H42" s="87" t="s">
        <v>716</v>
      </c>
      <c r="I42" t="s">
        <v>727</v>
      </c>
      <c r="J42" s="212" t="s">
        <v>1531</v>
      </c>
      <c r="K42">
        <v>500085007</v>
      </c>
      <c r="L42" s="212" t="s">
        <v>1088</v>
      </c>
      <c r="M42" s="212" t="s">
        <v>1020</v>
      </c>
      <c r="N42" s="212" t="s">
        <v>1089</v>
      </c>
      <c r="O42" s="212" t="s">
        <v>1090</v>
      </c>
      <c r="P42" s="88" t="s">
        <v>752</v>
      </c>
      <c r="Q42" s="215" t="s">
        <v>1044</v>
      </c>
      <c r="R42" s="212" t="s">
        <v>802</v>
      </c>
    </row>
    <row r="43" spans="1:18" x14ac:dyDescent="0.3">
      <c r="A43" s="212" t="s">
        <v>316</v>
      </c>
      <c r="B43" s="212" t="s">
        <v>552</v>
      </c>
      <c r="C43" t="s">
        <v>712</v>
      </c>
      <c r="D43" s="213">
        <v>160400</v>
      </c>
      <c r="E43" s="217">
        <v>128320</v>
      </c>
      <c r="F43" s="217">
        <v>32080</v>
      </c>
      <c r="G43" s="212" t="s">
        <v>1091</v>
      </c>
      <c r="H43" s="87" t="s">
        <v>716</v>
      </c>
      <c r="I43" t="s">
        <v>727</v>
      </c>
      <c r="J43" s="212" t="s">
        <v>1531</v>
      </c>
      <c r="K43">
        <v>500085007</v>
      </c>
      <c r="L43" s="212" t="s">
        <v>1092</v>
      </c>
      <c r="M43" s="212" t="s">
        <v>1093</v>
      </c>
      <c r="N43" s="212" t="s">
        <v>1094</v>
      </c>
      <c r="O43" s="212" t="s">
        <v>316</v>
      </c>
      <c r="P43" s="88" t="s">
        <v>752</v>
      </c>
      <c r="Q43" s="215" t="s">
        <v>1044</v>
      </c>
      <c r="R43" s="212" t="s">
        <v>803</v>
      </c>
    </row>
    <row r="44" spans="1:18" x14ac:dyDescent="0.3">
      <c r="A44" s="212" t="s">
        <v>317</v>
      </c>
      <c r="B44" s="212" t="s">
        <v>553</v>
      </c>
      <c r="C44" t="s">
        <v>712</v>
      </c>
      <c r="D44" s="213">
        <v>160400</v>
      </c>
      <c r="E44" s="217">
        <v>128320</v>
      </c>
      <c r="F44" s="217">
        <v>32080</v>
      </c>
      <c r="G44" s="212" t="s">
        <v>1095</v>
      </c>
      <c r="H44" s="87" t="s">
        <v>716</v>
      </c>
      <c r="I44" t="s">
        <v>727</v>
      </c>
      <c r="J44" s="212" t="s">
        <v>1531</v>
      </c>
      <c r="K44">
        <v>500085007</v>
      </c>
      <c r="L44" s="212" t="s">
        <v>1096</v>
      </c>
      <c r="M44" s="212" t="s">
        <v>1097</v>
      </c>
      <c r="N44" s="212" t="s">
        <v>1098</v>
      </c>
      <c r="O44" s="212" t="s">
        <v>317</v>
      </c>
      <c r="P44" s="88" t="s">
        <v>752</v>
      </c>
      <c r="Q44" s="215" t="s">
        <v>1044</v>
      </c>
      <c r="R44" s="212" t="s">
        <v>804</v>
      </c>
    </row>
    <row r="45" spans="1:18" x14ac:dyDescent="0.3">
      <c r="A45" s="212" t="s">
        <v>318</v>
      </c>
      <c r="B45" s="212" t="s">
        <v>554</v>
      </c>
      <c r="C45" t="s">
        <v>712</v>
      </c>
      <c r="D45" s="213">
        <v>160400</v>
      </c>
      <c r="E45" s="217">
        <v>128320</v>
      </c>
      <c r="F45" s="217">
        <v>32080</v>
      </c>
      <c r="G45" s="212" t="s">
        <v>1099</v>
      </c>
      <c r="H45" s="87" t="s">
        <v>716</v>
      </c>
      <c r="I45" t="s">
        <v>727</v>
      </c>
      <c r="J45" s="212" t="s">
        <v>1531</v>
      </c>
      <c r="K45">
        <v>500085007</v>
      </c>
      <c r="L45" s="212" t="s">
        <v>1100</v>
      </c>
      <c r="M45" s="212" t="s">
        <v>965</v>
      </c>
      <c r="N45" s="212" t="s">
        <v>1101</v>
      </c>
      <c r="O45" s="212" t="s">
        <v>318</v>
      </c>
      <c r="P45" s="88" t="s">
        <v>752</v>
      </c>
      <c r="Q45" s="215" t="s">
        <v>1044</v>
      </c>
      <c r="R45" s="212" t="s">
        <v>805</v>
      </c>
    </row>
    <row r="46" spans="1:18" x14ac:dyDescent="0.3">
      <c r="A46" s="212" t="s">
        <v>556</v>
      </c>
      <c r="B46" s="212" t="s">
        <v>555</v>
      </c>
      <c r="C46" t="s">
        <v>712</v>
      </c>
      <c r="D46" s="213">
        <v>171600</v>
      </c>
      <c r="E46" s="217">
        <v>137280</v>
      </c>
      <c r="F46" s="217">
        <v>34320</v>
      </c>
      <c r="G46" s="212" t="s">
        <v>1102</v>
      </c>
      <c r="H46" s="87" t="s">
        <v>716</v>
      </c>
      <c r="I46" t="s">
        <v>727</v>
      </c>
      <c r="J46" s="212" t="s">
        <v>1531</v>
      </c>
      <c r="K46">
        <v>500085007</v>
      </c>
      <c r="L46" s="212" t="s">
        <v>1103</v>
      </c>
      <c r="M46" s="212" t="s">
        <v>1104</v>
      </c>
      <c r="N46" s="212" t="s">
        <v>1105</v>
      </c>
      <c r="O46" s="212" t="s">
        <v>1106</v>
      </c>
      <c r="P46" s="88" t="s">
        <v>752</v>
      </c>
      <c r="Q46" s="215" t="s">
        <v>1044</v>
      </c>
      <c r="R46" s="212" t="s">
        <v>806</v>
      </c>
    </row>
    <row r="47" spans="1:18" x14ac:dyDescent="0.3">
      <c r="A47" s="212" t="s">
        <v>558</v>
      </c>
      <c r="B47" s="212" t="s">
        <v>557</v>
      </c>
      <c r="C47" t="s">
        <v>712</v>
      </c>
      <c r="D47" s="213">
        <v>194000</v>
      </c>
      <c r="E47" s="217">
        <v>155200</v>
      </c>
      <c r="F47" s="217">
        <v>38800</v>
      </c>
      <c r="G47" s="212" t="s">
        <v>1107</v>
      </c>
      <c r="H47" s="87" t="s">
        <v>716</v>
      </c>
      <c r="I47" t="s">
        <v>727</v>
      </c>
      <c r="J47" s="212" t="s">
        <v>1531</v>
      </c>
      <c r="K47">
        <v>500085007</v>
      </c>
      <c r="L47" s="212" t="s">
        <v>1108</v>
      </c>
      <c r="M47" s="212" t="s">
        <v>1085</v>
      </c>
      <c r="N47" s="212" t="s">
        <v>1109</v>
      </c>
      <c r="O47" s="212" t="s">
        <v>558</v>
      </c>
      <c r="P47" s="88" t="s">
        <v>752</v>
      </c>
      <c r="Q47" s="215" t="s">
        <v>1044</v>
      </c>
      <c r="R47" s="212" t="s">
        <v>807</v>
      </c>
    </row>
    <row r="48" spans="1:18" x14ac:dyDescent="0.3">
      <c r="A48" s="212" t="s">
        <v>320</v>
      </c>
      <c r="B48" s="212" t="s">
        <v>559</v>
      </c>
      <c r="C48" t="s">
        <v>712</v>
      </c>
      <c r="D48" s="213">
        <v>194000</v>
      </c>
      <c r="E48" s="217">
        <v>155200</v>
      </c>
      <c r="F48" s="217">
        <v>38800</v>
      </c>
      <c r="G48" s="212" t="s">
        <v>1110</v>
      </c>
      <c r="H48" s="87" t="s">
        <v>716</v>
      </c>
      <c r="I48" t="s">
        <v>727</v>
      </c>
      <c r="J48" s="212" t="s">
        <v>1531</v>
      </c>
      <c r="K48">
        <v>500085007</v>
      </c>
      <c r="L48" s="212" t="s">
        <v>1111</v>
      </c>
      <c r="M48" s="212" t="s">
        <v>1112</v>
      </c>
      <c r="N48" s="212" t="s">
        <v>1113</v>
      </c>
      <c r="O48" s="212" t="s">
        <v>320</v>
      </c>
      <c r="P48" s="88" t="s">
        <v>752</v>
      </c>
      <c r="Q48" s="215" t="s">
        <v>1044</v>
      </c>
      <c r="R48" s="212" t="s">
        <v>808</v>
      </c>
    </row>
    <row r="49" spans="1:18" x14ac:dyDescent="0.3">
      <c r="A49" s="212" t="s">
        <v>561</v>
      </c>
      <c r="B49" s="212" t="s">
        <v>560</v>
      </c>
      <c r="C49" t="s">
        <v>712</v>
      </c>
      <c r="D49" s="213">
        <v>194000</v>
      </c>
      <c r="E49" s="217">
        <v>155200</v>
      </c>
      <c r="F49" s="217">
        <v>38800</v>
      </c>
      <c r="G49" s="212" t="s">
        <v>1114</v>
      </c>
      <c r="H49" s="87" t="s">
        <v>716</v>
      </c>
      <c r="I49" t="s">
        <v>727</v>
      </c>
      <c r="J49" s="212" t="s">
        <v>1531</v>
      </c>
      <c r="K49">
        <v>500085007</v>
      </c>
      <c r="L49" s="212" t="s">
        <v>1115</v>
      </c>
      <c r="M49" s="212" t="s">
        <v>1053</v>
      </c>
      <c r="N49" s="212" t="s">
        <v>1116</v>
      </c>
      <c r="O49" s="212" t="s">
        <v>561</v>
      </c>
      <c r="P49" s="88" t="s">
        <v>752</v>
      </c>
      <c r="Q49" s="215" t="s">
        <v>1044</v>
      </c>
      <c r="R49" s="212" t="s">
        <v>809</v>
      </c>
    </row>
    <row r="50" spans="1:18" x14ac:dyDescent="0.3">
      <c r="A50" s="212" t="s">
        <v>563</v>
      </c>
      <c r="B50" s="212" t="s">
        <v>562</v>
      </c>
      <c r="C50" t="s">
        <v>712</v>
      </c>
      <c r="D50" s="213">
        <v>194000</v>
      </c>
      <c r="E50" s="217">
        <v>155200</v>
      </c>
      <c r="F50" s="217">
        <v>38800</v>
      </c>
      <c r="G50" s="212" t="s">
        <v>1117</v>
      </c>
      <c r="H50" s="87" t="s">
        <v>716</v>
      </c>
      <c r="I50" t="s">
        <v>727</v>
      </c>
      <c r="J50" s="212" t="s">
        <v>1531</v>
      </c>
      <c r="K50">
        <v>500085007</v>
      </c>
      <c r="L50" s="212" t="s">
        <v>1118</v>
      </c>
      <c r="M50" s="212" t="s">
        <v>957</v>
      </c>
      <c r="N50" s="212" t="s">
        <v>1119</v>
      </c>
      <c r="O50" s="212" t="s">
        <v>563</v>
      </c>
      <c r="P50" s="88" t="s">
        <v>752</v>
      </c>
      <c r="Q50" s="215" t="s">
        <v>1044</v>
      </c>
      <c r="R50" s="212" t="s">
        <v>810</v>
      </c>
    </row>
    <row r="51" spans="1:18" x14ac:dyDescent="0.3">
      <c r="A51" s="212" t="s">
        <v>565</v>
      </c>
      <c r="B51" s="212" t="s">
        <v>564</v>
      </c>
      <c r="C51" t="s">
        <v>712</v>
      </c>
      <c r="D51" s="213">
        <v>194000</v>
      </c>
      <c r="E51" s="217">
        <v>155200</v>
      </c>
      <c r="F51" s="217">
        <v>38800</v>
      </c>
      <c r="G51" s="212" t="s">
        <v>1120</v>
      </c>
      <c r="H51" s="87" t="s">
        <v>716</v>
      </c>
      <c r="I51" t="s">
        <v>727</v>
      </c>
      <c r="J51" s="212" t="s">
        <v>1531</v>
      </c>
      <c r="K51">
        <v>500085007</v>
      </c>
      <c r="L51" s="212" t="s">
        <v>1121</v>
      </c>
      <c r="M51" s="212" t="s">
        <v>1122</v>
      </c>
      <c r="N51" s="212" t="s">
        <v>1123</v>
      </c>
      <c r="O51" s="212" t="s">
        <v>565</v>
      </c>
      <c r="P51" s="88" t="s">
        <v>752</v>
      </c>
      <c r="Q51" s="215" t="s">
        <v>1044</v>
      </c>
      <c r="R51" s="212" t="s">
        <v>811</v>
      </c>
    </row>
    <row r="52" spans="1:18" x14ac:dyDescent="0.3">
      <c r="A52" s="212" t="s">
        <v>321</v>
      </c>
      <c r="B52" s="212" t="s">
        <v>566</v>
      </c>
      <c r="C52" t="s">
        <v>712</v>
      </c>
      <c r="D52" s="213">
        <v>160400</v>
      </c>
      <c r="E52" s="217">
        <v>128320</v>
      </c>
      <c r="F52" s="217">
        <v>32080</v>
      </c>
      <c r="G52" s="212" t="s">
        <v>1124</v>
      </c>
      <c r="H52" s="87" t="s">
        <v>716</v>
      </c>
      <c r="I52" t="s">
        <v>727</v>
      </c>
      <c r="J52" s="212" t="s">
        <v>1531</v>
      </c>
      <c r="K52">
        <v>500085007</v>
      </c>
      <c r="L52" s="212" t="s">
        <v>1125</v>
      </c>
      <c r="M52" s="212" t="s">
        <v>1126</v>
      </c>
      <c r="N52" s="212" t="s">
        <v>1127</v>
      </c>
      <c r="O52" s="212" t="s">
        <v>321</v>
      </c>
      <c r="P52" s="88" t="s">
        <v>752</v>
      </c>
      <c r="Q52" s="215" t="s">
        <v>1044</v>
      </c>
      <c r="R52" s="212" t="s">
        <v>812</v>
      </c>
    </row>
    <row r="53" spans="1:18" x14ac:dyDescent="0.3">
      <c r="A53" s="212" t="s">
        <v>322</v>
      </c>
      <c r="B53" s="212" t="s">
        <v>567</v>
      </c>
      <c r="C53" t="s">
        <v>712</v>
      </c>
      <c r="D53" s="213">
        <v>160400</v>
      </c>
      <c r="E53" s="217">
        <v>128320</v>
      </c>
      <c r="F53" s="217">
        <v>32080</v>
      </c>
      <c r="G53" s="212" t="s">
        <v>1128</v>
      </c>
      <c r="H53" s="87" t="s">
        <v>716</v>
      </c>
      <c r="I53" t="s">
        <v>728</v>
      </c>
      <c r="J53" s="212" t="s">
        <v>1532</v>
      </c>
      <c r="K53">
        <v>500085009</v>
      </c>
      <c r="L53" s="212" t="s">
        <v>1129</v>
      </c>
      <c r="M53" s="212" t="s">
        <v>1130</v>
      </c>
      <c r="N53" s="212" t="s">
        <v>1131</v>
      </c>
      <c r="O53" s="212" t="s">
        <v>322</v>
      </c>
      <c r="P53" s="88" t="s">
        <v>752</v>
      </c>
      <c r="Q53" s="215" t="s">
        <v>1132</v>
      </c>
      <c r="R53" s="212" t="s">
        <v>813</v>
      </c>
    </row>
    <row r="54" spans="1:18" x14ac:dyDescent="0.3">
      <c r="A54" s="212" t="s">
        <v>450</v>
      </c>
      <c r="B54" s="212" t="s">
        <v>469</v>
      </c>
      <c r="C54" t="s">
        <v>712</v>
      </c>
      <c r="D54" s="213">
        <v>171600</v>
      </c>
      <c r="E54" s="217">
        <v>137280</v>
      </c>
      <c r="F54" s="217">
        <v>34320</v>
      </c>
      <c r="G54" s="212" t="s">
        <v>1133</v>
      </c>
      <c r="H54" s="87" t="s">
        <v>716</v>
      </c>
      <c r="I54" t="s">
        <v>728</v>
      </c>
      <c r="J54" s="212" t="s">
        <v>1532</v>
      </c>
      <c r="K54">
        <v>500085009</v>
      </c>
      <c r="L54" s="212" t="s">
        <v>1134</v>
      </c>
      <c r="M54" s="212" t="s">
        <v>1027</v>
      </c>
      <c r="N54" s="212" t="s">
        <v>1135</v>
      </c>
      <c r="O54" s="212" t="s">
        <v>450</v>
      </c>
      <c r="P54" s="88" t="s">
        <v>752</v>
      </c>
      <c r="Q54" s="215" t="s">
        <v>1132</v>
      </c>
      <c r="R54" s="212" t="s">
        <v>814</v>
      </c>
    </row>
    <row r="55" spans="1:18" x14ac:dyDescent="0.3">
      <c r="A55" s="212" t="s">
        <v>323</v>
      </c>
      <c r="B55" s="212" t="s">
        <v>568</v>
      </c>
      <c r="C55" t="s">
        <v>712</v>
      </c>
      <c r="D55" s="213">
        <v>160400</v>
      </c>
      <c r="E55" s="217">
        <v>128320</v>
      </c>
      <c r="F55" s="217">
        <v>32080</v>
      </c>
      <c r="G55" s="212" t="s">
        <v>1136</v>
      </c>
      <c r="H55" s="87" t="s">
        <v>716</v>
      </c>
      <c r="I55" t="s">
        <v>728</v>
      </c>
      <c r="J55" s="212" t="s">
        <v>1532</v>
      </c>
      <c r="K55">
        <v>500085009</v>
      </c>
      <c r="L55" s="212" t="s">
        <v>1137</v>
      </c>
      <c r="M55" s="212" t="s">
        <v>965</v>
      </c>
      <c r="N55" s="212" t="s">
        <v>1138</v>
      </c>
      <c r="O55" s="212" t="s">
        <v>323</v>
      </c>
      <c r="P55" s="88" t="s">
        <v>752</v>
      </c>
      <c r="Q55" s="215" t="s">
        <v>1132</v>
      </c>
      <c r="R55" s="212" t="s">
        <v>815</v>
      </c>
    </row>
    <row r="56" spans="1:18" x14ac:dyDescent="0.3">
      <c r="A56" s="212" t="s">
        <v>324</v>
      </c>
      <c r="B56" s="212" t="s">
        <v>569</v>
      </c>
      <c r="C56" t="s">
        <v>712</v>
      </c>
      <c r="D56" s="213">
        <v>171600</v>
      </c>
      <c r="E56" s="217">
        <v>137280</v>
      </c>
      <c r="F56" s="217">
        <v>34320</v>
      </c>
      <c r="G56" s="212" t="s">
        <v>1139</v>
      </c>
      <c r="H56" s="87" t="s">
        <v>716</v>
      </c>
      <c r="I56" t="s">
        <v>728</v>
      </c>
      <c r="J56" s="212" t="s">
        <v>1532</v>
      </c>
      <c r="K56">
        <v>500085009</v>
      </c>
      <c r="L56" s="212" t="s">
        <v>1140</v>
      </c>
      <c r="M56" s="212" t="s">
        <v>1031</v>
      </c>
      <c r="N56" s="212" t="s">
        <v>1141</v>
      </c>
      <c r="O56" s="212" t="s">
        <v>324</v>
      </c>
      <c r="P56" s="88" t="s">
        <v>752</v>
      </c>
      <c r="Q56" s="215" t="s">
        <v>1132</v>
      </c>
      <c r="R56" s="212" t="s">
        <v>816</v>
      </c>
    </row>
    <row r="57" spans="1:18" x14ac:dyDescent="0.3">
      <c r="A57" s="212" t="s">
        <v>325</v>
      </c>
      <c r="B57" s="212" t="s">
        <v>570</v>
      </c>
      <c r="C57" t="s">
        <v>712</v>
      </c>
      <c r="D57" s="213">
        <v>160400</v>
      </c>
      <c r="E57" s="217">
        <v>128320</v>
      </c>
      <c r="F57" s="217">
        <v>32080</v>
      </c>
      <c r="G57" s="212" t="s">
        <v>1142</v>
      </c>
      <c r="H57" s="87" t="s">
        <v>716</v>
      </c>
      <c r="I57" t="s">
        <v>728</v>
      </c>
      <c r="J57" s="212" t="s">
        <v>1532</v>
      </c>
      <c r="K57">
        <v>500085009</v>
      </c>
      <c r="L57" s="212" t="s">
        <v>1143</v>
      </c>
      <c r="M57" s="212" t="s">
        <v>965</v>
      </c>
      <c r="N57" s="212" t="s">
        <v>1144</v>
      </c>
      <c r="O57" s="212" t="s">
        <v>325</v>
      </c>
      <c r="P57" s="88" t="s">
        <v>752</v>
      </c>
      <c r="Q57" s="215" t="s">
        <v>1132</v>
      </c>
      <c r="R57" s="212" t="s">
        <v>817</v>
      </c>
    </row>
    <row r="58" spans="1:18" x14ac:dyDescent="0.3">
      <c r="A58" s="212" t="s">
        <v>572</v>
      </c>
      <c r="B58" s="212" t="s">
        <v>571</v>
      </c>
      <c r="C58" t="s">
        <v>712</v>
      </c>
      <c r="D58" s="213">
        <v>194000</v>
      </c>
      <c r="E58" s="217">
        <v>155200</v>
      </c>
      <c r="F58" s="217">
        <v>38800</v>
      </c>
      <c r="G58" s="212" t="s">
        <v>1145</v>
      </c>
      <c r="H58" s="87" t="s">
        <v>716</v>
      </c>
      <c r="I58" t="s">
        <v>728</v>
      </c>
      <c r="J58" s="212" t="s">
        <v>1532</v>
      </c>
      <c r="K58">
        <v>500085009</v>
      </c>
      <c r="L58" s="212" t="s">
        <v>1146</v>
      </c>
      <c r="M58" s="212" t="s">
        <v>984</v>
      </c>
      <c r="N58" s="212" t="s">
        <v>1147</v>
      </c>
      <c r="O58" s="212" t="s">
        <v>572</v>
      </c>
      <c r="P58" s="88" t="s">
        <v>752</v>
      </c>
      <c r="Q58" s="215" t="s">
        <v>1132</v>
      </c>
      <c r="R58" s="212" t="s">
        <v>818</v>
      </c>
    </row>
    <row r="59" spans="1:18" x14ac:dyDescent="0.3">
      <c r="A59" s="212" t="s">
        <v>326</v>
      </c>
      <c r="B59" s="212" t="s">
        <v>573</v>
      </c>
      <c r="C59" t="s">
        <v>712</v>
      </c>
      <c r="D59" s="213">
        <v>160400</v>
      </c>
      <c r="E59" s="217">
        <v>128320</v>
      </c>
      <c r="F59" s="217">
        <v>32080</v>
      </c>
      <c r="G59" s="212" t="s">
        <v>1148</v>
      </c>
      <c r="H59" s="87" t="s">
        <v>716</v>
      </c>
      <c r="I59" t="s">
        <v>728</v>
      </c>
      <c r="J59" s="212" t="s">
        <v>1532</v>
      </c>
      <c r="K59">
        <v>500085009</v>
      </c>
      <c r="L59" s="212" t="s">
        <v>1149</v>
      </c>
      <c r="M59" s="212" t="s">
        <v>965</v>
      </c>
      <c r="N59" s="212" t="s">
        <v>1150</v>
      </c>
      <c r="O59" s="212" t="s">
        <v>326</v>
      </c>
      <c r="P59" s="88" t="s">
        <v>752</v>
      </c>
      <c r="Q59" s="215" t="s">
        <v>1132</v>
      </c>
      <c r="R59" s="212" t="s">
        <v>819</v>
      </c>
    </row>
    <row r="60" spans="1:18" x14ac:dyDescent="0.3">
      <c r="A60" s="212" t="s">
        <v>575</v>
      </c>
      <c r="B60" s="212" t="s">
        <v>574</v>
      </c>
      <c r="C60" t="s">
        <v>712</v>
      </c>
      <c r="D60" s="213">
        <v>160400</v>
      </c>
      <c r="E60" s="217">
        <v>128320</v>
      </c>
      <c r="F60" s="217">
        <v>32080</v>
      </c>
      <c r="G60" s="212" t="s">
        <v>1151</v>
      </c>
      <c r="H60" s="87" t="s">
        <v>716</v>
      </c>
      <c r="I60" t="s">
        <v>728</v>
      </c>
      <c r="J60" s="212" t="s">
        <v>1532</v>
      </c>
      <c r="K60">
        <v>500085009</v>
      </c>
      <c r="L60" s="212" t="s">
        <v>1152</v>
      </c>
      <c r="M60" s="212" t="s">
        <v>965</v>
      </c>
      <c r="N60" s="212" t="s">
        <v>1153</v>
      </c>
      <c r="O60" s="212" t="s">
        <v>575</v>
      </c>
      <c r="P60" s="88" t="s">
        <v>752</v>
      </c>
      <c r="Q60" s="215" t="s">
        <v>1132</v>
      </c>
      <c r="R60" s="212" t="s">
        <v>820</v>
      </c>
    </row>
    <row r="61" spans="1:18" x14ac:dyDescent="0.3">
      <c r="A61" s="212" t="s">
        <v>577</v>
      </c>
      <c r="B61" s="212" t="s">
        <v>576</v>
      </c>
      <c r="C61" t="s">
        <v>712</v>
      </c>
      <c r="D61" s="213">
        <v>144000</v>
      </c>
      <c r="E61" s="217">
        <v>115200</v>
      </c>
      <c r="F61" s="217">
        <v>28800</v>
      </c>
      <c r="G61" s="212" t="s">
        <v>311</v>
      </c>
      <c r="H61" s="87" t="s">
        <v>718</v>
      </c>
      <c r="I61" s="212" t="s">
        <v>1558</v>
      </c>
      <c r="J61" s="212" t="s">
        <v>1533</v>
      </c>
      <c r="K61">
        <v>500085010</v>
      </c>
      <c r="L61" s="212" t="s">
        <v>1154</v>
      </c>
      <c r="M61" s="212">
        <v>16</v>
      </c>
      <c r="N61" s="212">
        <v>4577</v>
      </c>
      <c r="O61" s="212" t="s">
        <v>337</v>
      </c>
      <c r="P61" s="88" t="s">
        <v>752</v>
      </c>
      <c r="Q61" s="215" t="s">
        <v>1560</v>
      </c>
      <c r="R61" s="212" t="s">
        <v>821</v>
      </c>
    </row>
    <row r="62" spans="1:18" x14ac:dyDescent="0.3">
      <c r="A62" s="212" t="s">
        <v>579</v>
      </c>
      <c r="B62" s="212" t="s">
        <v>578</v>
      </c>
      <c r="C62" t="s">
        <v>712</v>
      </c>
      <c r="D62" s="213">
        <v>194000</v>
      </c>
      <c r="E62" s="217">
        <v>155200</v>
      </c>
      <c r="F62" s="217">
        <v>38800</v>
      </c>
      <c r="G62" s="212" t="s">
        <v>1156</v>
      </c>
      <c r="H62" s="87" t="s">
        <v>716</v>
      </c>
      <c r="I62" t="s">
        <v>728</v>
      </c>
      <c r="J62" s="212" t="s">
        <v>1532</v>
      </c>
      <c r="K62">
        <v>500085009</v>
      </c>
      <c r="L62" s="212" t="s">
        <v>1157</v>
      </c>
      <c r="M62" s="212" t="s">
        <v>965</v>
      </c>
      <c r="N62" s="212" t="s">
        <v>1158</v>
      </c>
      <c r="O62" s="212" t="s">
        <v>579</v>
      </c>
      <c r="P62" s="88" t="s">
        <v>752</v>
      </c>
      <c r="Q62" s="215" t="s">
        <v>1132</v>
      </c>
      <c r="R62" s="212" t="s">
        <v>822</v>
      </c>
    </row>
    <row r="63" spans="1:18" x14ac:dyDescent="0.3">
      <c r="A63" s="212" t="s">
        <v>329</v>
      </c>
      <c r="B63" s="212" t="s">
        <v>580</v>
      </c>
      <c r="C63" t="s">
        <v>712</v>
      </c>
      <c r="D63" s="213">
        <v>160400</v>
      </c>
      <c r="E63" s="217">
        <v>128320</v>
      </c>
      <c r="F63" s="217">
        <v>32080</v>
      </c>
      <c r="G63" s="212" t="s">
        <v>1159</v>
      </c>
      <c r="H63" s="87" t="s">
        <v>716</v>
      </c>
      <c r="I63" t="s">
        <v>728</v>
      </c>
      <c r="J63" s="212" t="s">
        <v>1532</v>
      </c>
      <c r="K63">
        <v>500085009</v>
      </c>
      <c r="L63" s="212" t="s">
        <v>1160</v>
      </c>
      <c r="M63" s="212" t="s">
        <v>1053</v>
      </c>
      <c r="N63" s="212" t="s">
        <v>1161</v>
      </c>
      <c r="O63" s="212" t="s">
        <v>329</v>
      </c>
      <c r="P63" s="88" t="s">
        <v>752</v>
      </c>
      <c r="Q63" s="215" t="s">
        <v>1132</v>
      </c>
      <c r="R63" s="212" t="s">
        <v>823</v>
      </c>
    </row>
    <row r="64" spans="1:18" x14ac:dyDescent="0.3">
      <c r="A64" s="212" t="s">
        <v>330</v>
      </c>
      <c r="B64" s="212" t="s">
        <v>581</v>
      </c>
      <c r="C64" t="s">
        <v>712</v>
      </c>
      <c r="D64" s="213">
        <v>160400</v>
      </c>
      <c r="E64" s="217">
        <v>128320</v>
      </c>
      <c r="F64" s="217">
        <v>32080</v>
      </c>
      <c r="G64" s="212" t="s">
        <v>1162</v>
      </c>
      <c r="H64" s="87" t="s">
        <v>716</v>
      </c>
      <c r="I64" t="s">
        <v>728</v>
      </c>
      <c r="J64" s="212" t="s">
        <v>1532</v>
      </c>
      <c r="K64">
        <v>500085009</v>
      </c>
      <c r="L64" s="212" t="s">
        <v>1163</v>
      </c>
      <c r="M64" s="212" t="s">
        <v>1020</v>
      </c>
      <c r="N64" s="212" t="s">
        <v>1164</v>
      </c>
      <c r="O64" s="212" t="s">
        <v>330</v>
      </c>
      <c r="P64" s="88" t="s">
        <v>752</v>
      </c>
      <c r="Q64" s="215" t="s">
        <v>1132</v>
      </c>
      <c r="R64" s="212" t="s">
        <v>824</v>
      </c>
    </row>
    <row r="65" spans="1:18" x14ac:dyDescent="0.3">
      <c r="A65" s="212" t="s">
        <v>331</v>
      </c>
      <c r="B65" s="212" t="s">
        <v>582</v>
      </c>
      <c r="C65" t="s">
        <v>712</v>
      </c>
      <c r="D65" s="213">
        <v>160400</v>
      </c>
      <c r="E65" s="217">
        <v>128320</v>
      </c>
      <c r="F65" s="217">
        <v>32080</v>
      </c>
      <c r="G65" s="212" t="s">
        <v>1165</v>
      </c>
      <c r="H65" s="87" t="s">
        <v>716</v>
      </c>
      <c r="I65" t="s">
        <v>728</v>
      </c>
      <c r="J65" s="212" t="s">
        <v>1532</v>
      </c>
      <c r="K65">
        <v>500085009</v>
      </c>
      <c r="L65" s="212" t="s">
        <v>1166</v>
      </c>
      <c r="M65" s="212" t="s">
        <v>1167</v>
      </c>
      <c r="N65" s="212" t="s">
        <v>1168</v>
      </c>
      <c r="O65" s="212" t="s">
        <v>331</v>
      </c>
      <c r="P65" s="88" t="s">
        <v>752</v>
      </c>
      <c r="Q65" s="215" t="s">
        <v>1132</v>
      </c>
      <c r="R65" s="212" t="s">
        <v>825</v>
      </c>
    </row>
    <row r="66" spans="1:18" x14ac:dyDescent="0.3">
      <c r="A66" s="212" t="s">
        <v>332</v>
      </c>
      <c r="B66" s="212" t="s">
        <v>583</v>
      </c>
      <c r="C66" t="s">
        <v>712</v>
      </c>
      <c r="D66" s="213">
        <v>171600</v>
      </c>
      <c r="E66" s="217">
        <v>137280</v>
      </c>
      <c r="F66" s="217">
        <v>34320</v>
      </c>
      <c r="G66" s="212" t="s">
        <v>1169</v>
      </c>
      <c r="H66" s="87" t="s">
        <v>716</v>
      </c>
      <c r="I66" t="s">
        <v>728</v>
      </c>
      <c r="J66" s="212" t="s">
        <v>1532</v>
      </c>
      <c r="K66">
        <v>500085009</v>
      </c>
      <c r="L66" s="212" t="s">
        <v>1170</v>
      </c>
      <c r="M66" s="212" t="s">
        <v>1171</v>
      </c>
      <c r="N66" s="212" t="s">
        <v>1172</v>
      </c>
      <c r="O66" s="212" t="s">
        <v>332</v>
      </c>
      <c r="P66" s="88" t="s">
        <v>752</v>
      </c>
      <c r="Q66" s="215" t="s">
        <v>1132</v>
      </c>
      <c r="R66" s="212" t="s">
        <v>826</v>
      </c>
    </row>
    <row r="67" spans="1:18" x14ac:dyDescent="0.3">
      <c r="A67" s="212" t="s">
        <v>333</v>
      </c>
      <c r="B67" s="212" t="s">
        <v>584</v>
      </c>
      <c r="C67" t="s">
        <v>712</v>
      </c>
      <c r="D67" s="213">
        <v>171600</v>
      </c>
      <c r="E67" s="217">
        <v>137280</v>
      </c>
      <c r="F67" s="217">
        <v>34320</v>
      </c>
      <c r="G67" s="212" t="s">
        <v>1173</v>
      </c>
      <c r="H67" s="87" t="s">
        <v>716</v>
      </c>
      <c r="I67" t="s">
        <v>728</v>
      </c>
      <c r="J67" s="212" t="s">
        <v>1532</v>
      </c>
      <c r="K67">
        <v>500085009</v>
      </c>
      <c r="L67" s="212" t="s">
        <v>1174</v>
      </c>
      <c r="M67" s="212" t="s">
        <v>1175</v>
      </c>
      <c r="N67" s="212" t="s">
        <v>1176</v>
      </c>
      <c r="O67" s="212" t="s">
        <v>333</v>
      </c>
      <c r="P67" s="88" t="s">
        <v>752</v>
      </c>
      <c r="Q67" s="215" t="s">
        <v>1132</v>
      </c>
      <c r="R67" s="212" t="s">
        <v>827</v>
      </c>
    </row>
    <row r="68" spans="1:18" x14ac:dyDescent="0.3">
      <c r="A68" s="212" t="s">
        <v>334</v>
      </c>
      <c r="B68" s="212" t="s">
        <v>585</v>
      </c>
      <c r="C68" t="s">
        <v>712</v>
      </c>
      <c r="D68" s="213">
        <v>160400</v>
      </c>
      <c r="E68" s="217">
        <v>128320</v>
      </c>
      <c r="F68" s="217">
        <v>32080</v>
      </c>
      <c r="G68" s="212" t="s">
        <v>1177</v>
      </c>
      <c r="H68" s="87" t="s">
        <v>716</v>
      </c>
      <c r="I68" t="s">
        <v>728</v>
      </c>
      <c r="J68" s="212" t="s">
        <v>1532</v>
      </c>
      <c r="K68">
        <v>500085009</v>
      </c>
      <c r="L68" s="212" t="s">
        <v>1178</v>
      </c>
      <c r="M68" s="212" t="s">
        <v>1053</v>
      </c>
      <c r="N68" s="212" t="s">
        <v>1179</v>
      </c>
      <c r="O68" s="212" t="s">
        <v>334</v>
      </c>
      <c r="P68" s="88" t="s">
        <v>752</v>
      </c>
      <c r="Q68" s="215" t="s">
        <v>1132</v>
      </c>
      <c r="R68" s="212" t="s">
        <v>828</v>
      </c>
    </row>
    <row r="69" spans="1:18" x14ac:dyDescent="0.3">
      <c r="A69" s="212" t="s">
        <v>335</v>
      </c>
      <c r="B69" s="212" t="s">
        <v>586</v>
      </c>
      <c r="C69" t="s">
        <v>712</v>
      </c>
      <c r="D69" s="213">
        <v>160400</v>
      </c>
      <c r="E69" s="217">
        <v>128320</v>
      </c>
      <c r="F69" s="217">
        <v>32080</v>
      </c>
      <c r="G69" s="212" t="s">
        <v>1180</v>
      </c>
      <c r="H69" s="87" t="s">
        <v>716</v>
      </c>
      <c r="I69" t="s">
        <v>728</v>
      </c>
      <c r="J69" s="212" t="s">
        <v>1532</v>
      </c>
      <c r="K69">
        <v>500085009</v>
      </c>
      <c r="L69" s="212" t="s">
        <v>1181</v>
      </c>
      <c r="M69" s="212" t="s">
        <v>965</v>
      </c>
      <c r="N69" s="212" t="s">
        <v>1182</v>
      </c>
      <c r="O69" s="212" t="s">
        <v>335</v>
      </c>
      <c r="P69" s="88" t="s">
        <v>752</v>
      </c>
      <c r="Q69" s="215" t="s">
        <v>1132</v>
      </c>
      <c r="R69" s="212" t="s">
        <v>829</v>
      </c>
    </row>
    <row r="70" spans="1:18" x14ac:dyDescent="0.3">
      <c r="A70" s="212" t="s">
        <v>338</v>
      </c>
      <c r="B70" s="212" t="s">
        <v>587</v>
      </c>
      <c r="C70" t="s">
        <v>712</v>
      </c>
      <c r="D70" s="213">
        <v>171600</v>
      </c>
      <c r="E70" s="217">
        <v>137280</v>
      </c>
      <c r="F70" s="217">
        <v>34320</v>
      </c>
      <c r="G70" s="212" t="s">
        <v>1183</v>
      </c>
      <c r="H70" s="87" t="s">
        <v>716</v>
      </c>
      <c r="I70" t="s">
        <v>728</v>
      </c>
      <c r="J70" s="212" t="s">
        <v>1532</v>
      </c>
      <c r="K70">
        <v>500085009</v>
      </c>
      <c r="L70" s="212" t="s">
        <v>1184</v>
      </c>
      <c r="M70" s="212" t="s">
        <v>1053</v>
      </c>
      <c r="N70" s="212" t="s">
        <v>1185</v>
      </c>
      <c r="O70" s="212" t="s">
        <v>338</v>
      </c>
      <c r="P70" s="88" t="s">
        <v>752</v>
      </c>
      <c r="Q70" s="215" t="s">
        <v>1132</v>
      </c>
      <c r="R70" s="212" t="s">
        <v>830</v>
      </c>
    </row>
    <row r="71" spans="1:18" x14ac:dyDescent="0.3">
      <c r="A71" s="212" t="s">
        <v>339</v>
      </c>
      <c r="B71" s="212" t="s">
        <v>588</v>
      </c>
      <c r="C71" t="s">
        <v>712</v>
      </c>
      <c r="D71" s="213">
        <v>171600</v>
      </c>
      <c r="E71" s="217">
        <v>137280</v>
      </c>
      <c r="F71" s="217">
        <v>34320</v>
      </c>
      <c r="G71" s="212" t="s">
        <v>1186</v>
      </c>
      <c r="H71" s="87" t="s">
        <v>716</v>
      </c>
      <c r="I71" t="s">
        <v>728</v>
      </c>
      <c r="J71" s="212" t="s">
        <v>1532</v>
      </c>
      <c r="K71">
        <v>500085009</v>
      </c>
      <c r="L71" s="212" t="s">
        <v>1187</v>
      </c>
      <c r="M71" s="212" t="s">
        <v>1038</v>
      </c>
      <c r="N71" s="212" t="s">
        <v>1188</v>
      </c>
      <c r="O71" s="212" t="s">
        <v>339</v>
      </c>
      <c r="P71" s="88" t="s">
        <v>752</v>
      </c>
      <c r="Q71" s="215" t="s">
        <v>1132</v>
      </c>
      <c r="R71" s="212" t="s">
        <v>831</v>
      </c>
    </row>
    <row r="72" spans="1:18" x14ac:dyDescent="0.3">
      <c r="A72" s="212" t="s">
        <v>440</v>
      </c>
      <c r="B72" s="212" t="s">
        <v>459</v>
      </c>
      <c r="C72" t="s">
        <v>712</v>
      </c>
      <c r="D72" s="213">
        <v>160400</v>
      </c>
      <c r="E72" s="217">
        <v>128320</v>
      </c>
      <c r="F72" s="217">
        <v>32080</v>
      </c>
      <c r="G72" s="212" t="s">
        <v>1189</v>
      </c>
      <c r="H72" s="87" t="s">
        <v>716</v>
      </c>
      <c r="I72" t="s">
        <v>728</v>
      </c>
      <c r="J72" s="212" t="s">
        <v>1532</v>
      </c>
      <c r="K72">
        <v>500085009</v>
      </c>
      <c r="L72" s="212" t="s">
        <v>1190</v>
      </c>
      <c r="M72" s="212" t="s">
        <v>1191</v>
      </c>
      <c r="N72" s="212" t="s">
        <v>1192</v>
      </c>
      <c r="O72" s="212" t="s">
        <v>440</v>
      </c>
      <c r="P72" s="88" t="s">
        <v>752</v>
      </c>
      <c r="Q72" s="215" t="s">
        <v>1132</v>
      </c>
      <c r="R72" s="212" t="s">
        <v>832</v>
      </c>
    </row>
    <row r="73" spans="1:18" x14ac:dyDescent="0.3">
      <c r="A73" s="212" t="s">
        <v>340</v>
      </c>
      <c r="B73" s="212" t="s">
        <v>589</v>
      </c>
      <c r="C73" t="s">
        <v>712</v>
      </c>
      <c r="D73" s="213">
        <v>171600</v>
      </c>
      <c r="E73" s="217">
        <v>137280</v>
      </c>
      <c r="F73" s="217">
        <v>34320</v>
      </c>
      <c r="G73" s="212" t="s">
        <v>1193</v>
      </c>
      <c r="H73" s="87" t="s">
        <v>716</v>
      </c>
      <c r="I73" t="s">
        <v>728</v>
      </c>
      <c r="J73" s="212" t="s">
        <v>1532</v>
      </c>
      <c r="K73">
        <v>500085009</v>
      </c>
      <c r="L73" s="212" t="s">
        <v>1194</v>
      </c>
      <c r="M73" s="212" t="s">
        <v>961</v>
      </c>
      <c r="N73" s="212" t="s">
        <v>1195</v>
      </c>
      <c r="O73" s="212" t="s">
        <v>340</v>
      </c>
      <c r="P73" s="88" t="s">
        <v>752</v>
      </c>
      <c r="Q73" s="215" t="s">
        <v>1132</v>
      </c>
      <c r="R73" s="212" t="s">
        <v>833</v>
      </c>
    </row>
    <row r="74" spans="1:18" x14ac:dyDescent="0.3">
      <c r="A74" s="212" t="s">
        <v>341</v>
      </c>
      <c r="B74" s="212" t="s">
        <v>590</v>
      </c>
      <c r="C74" t="s">
        <v>712</v>
      </c>
      <c r="D74" s="213">
        <v>171600</v>
      </c>
      <c r="E74" s="217">
        <v>137280</v>
      </c>
      <c r="F74" s="217">
        <v>34320</v>
      </c>
      <c r="G74" s="212" t="s">
        <v>1196</v>
      </c>
      <c r="H74" s="87" t="s">
        <v>716</v>
      </c>
      <c r="I74" t="s">
        <v>728</v>
      </c>
      <c r="J74" s="212" t="s">
        <v>1532</v>
      </c>
      <c r="K74">
        <v>500085009</v>
      </c>
      <c r="L74" s="212" t="s">
        <v>1197</v>
      </c>
      <c r="M74" s="212" t="s">
        <v>1198</v>
      </c>
      <c r="N74" s="212" t="s">
        <v>1199</v>
      </c>
      <c r="O74" s="212" t="s">
        <v>341</v>
      </c>
      <c r="P74" s="88" t="s">
        <v>752</v>
      </c>
      <c r="Q74" s="215" t="s">
        <v>1132</v>
      </c>
      <c r="R74" s="212" t="s">
        <v>834</v>
      </c>
    </row>
    <row r="75" spans="1:18" x14ac:dyDescent="0.3">
      <c r="A75" s="212" t="s">
        <v>592</v>
      </c>
      <c r="B75" s="212" t="s">
        <v>591</v>
      </c>
      <c r="C75" t="s">
        <v>712</v>
      </c>
      <c r="D75" s="213">
        <v>194000</v>
      </c>
      <c r="E75" s="217">
        <v>155200</v>
      </c>
      <c r="F75" s="217">
        <v>38800</v>
      </c>
      <c r="G75" s="212" t="s">
        <v>1200</v>
      </c>
      <c r="H75" s="87" t="s">
        <v>716</v>
      </c>
      <c r="I75" t="s">
        <v>728</v>
      </c>
      <c r="J75" s="212" t="s">
        <v>1532</v>
      </c>
      <c r="K75">
        <v>500085009</v>
      </c>
      <c r="L75" s="212" t="s">
        <v>1201</v>
      </c>
      <c r="M75" s="212" t="s">
        <v>1053</v>
      </c>
      <c r="N75" s="212" t="s">
        <v>1202</v>
      </c>
      <c r="O75" s="212" t="s">
        <v>592</v>
      </c>
      <c r="P75" s="88" t="s">
        <v>752</v>
      </c>
      <c r="Q75" s="215" t="s">
        <v>1132</v>
      </c>
      <c r="R75" s="212" t="s">
        <v>835</v>
      </c>
    </row>
    <row r="76" spans="1:18" x14ac:dyDescent="0.3">
      <c r="A76" s="212" t="s">
        <v>447</v>
      </c>
      <c r="B76" s="212" t="s">
        <v>466</v>
      </c>
      <c r="C76" t="s">
        <v>712</v>
      </c>
      <c r="D76" s="213">
        <v>194000</v>
      </c>
      <c r="E76" s="217">
        <v>155200</v>
      </c>
      <c r="F76" s="217">
        <v>38800</v>
      </c>
      <c r="G76" s="212" t="s">
        <v>1203</v>
      </c>
      <c r="H76" s="87" t="s">
        <v>716</v>
      </c>
      <c r="I76" t="s">
        <v>728</v>
      </c>
      <c r="J76" s="212" t="s">
        <v>1532</v>
      </c>
      <c r="K76">
        <v>500085009</v>
      </c>
      <c r="L76" s="212" t="s">
        <v>1204</v>
      </c>
      <c r="M76" s="212" t="s">
        <v>965</v>
      </c>
      <c r="N76" s="212" t="s">
        <v>1205</v>
      </c>
      <c r="O76" s="212" t="s">
        <v>447</v>
      </c>
      <c r="P76" s="88" t="s">
        <v>752</v>
      </c>
      <c r="Q76" s="215" t="s">
        <v>1132</v>
      </c>
      <c r="R76" s="212" t="s">
        <v>836</v>
      </c>
    </row>
    <row r="77" spans="1:18" x14ac:dyDescent="0.3">
      <c r="A77" s="212" t="s">
        <v>342</v>
      </c>
      <c r="B77" s="212" t="s">
        <v>593</v>
      </c>
      <c r="C77" t="s">
        <v>712</v>
      </c>
      <c r="D77" s="213">
        <v>171600</v>
      </c>
      <c r="E77" s="217">
        <v>137280</v>
      </c>
      <c r="F77" s="217">
        <v>34320</v>
      </c>
      <c r="G77" s="212" t="s">
        <v>1206</v>
      </c>
      <c r="H77" s="87" t="s">
        <v>716</v>
      </c>
      <c r="I77" t="s">
        <v>728</v>
      </c>
      <c r="J77" s="212" t="s">
        <v>1532</v>
      </c>
      <c r="K77">
        <v>500085009</v>
      </c>
      <c r="L77" s="212" t="s">
        <v>1207</v>
      </c>
      <c r="M77" s="212" t="s">
        <v>1208</v>
      </c>
      <c r="N77" s="212" t="s">
        <v>1209</v>
      </c>
      <c r="O77" s="212" t="s">
        <v>342</v>
      </c>
      <c r="P77" s="88" t="s">
        <v>752</v>
      </c>
      <c r="Q77" s="215" t="s">
        <v>1132</v>
      </c>
      <c r="R77" s="212" t="s">
        <v>837</v>
      </c>
    </row>
    <row r="78" spans="1:18" x14ac:dyDescent="0.3">
      <c r="A78" s="212" t="s">
        <v>343</v>
      </c>
      <c r="B78" s="212" t="s">
        <v>594</v>
      </c>
      <c r="C78" t="s">
        <v>712</v>
      </c>
      <c r="D78" s="213">
        <v>171600</v>
      </c>
      <c r="E78" s="217">
        <v>137280</v>
      </c>
      <c r="F78" s="217">
        <v>34320</v>
      </c>
      <c r="G78" s="212" t="s">
        <v>1210</v>
      </c>
      <c r="H78" s="87" t="s">
        <v>716</v>
      </c>
      <c r="I78" t="s">
        <v>728</v>
      </c>
      <c r="J78" s="212" t="s">
        <v>1532</v>
      </c>
      <c r="K78">
        <v>500085009</v>
      </c>
      <c r="L78" s="212" t="s">
        <v>960</v>
      </c>
      <c r="M78" s="212" t="s">
        <v>965</v>
      </c>
      <c r="N78" s="212" t="s">
        <v>1211</v>
      </c>
      <c r="O78" s="212" t="s">
        <v>343</v>
      </c>
      <c r="P78" s="88" t="s">
        <v>752</v>
      </c>
      <c r="Q78" s="215" t="s">
        <v>1132</v>
      </c>
      <c r="R78" s="212" t="s">
        <v>838</v>
      </c>
    </row>
    <row r="79" spans="1:18" x14ac:dyDescent="0.3">
      <c r="A79" s="212" t="s">
        <v>344</v>
      </c>
      <c r="B79" s="212" t="s">
        <v>595</v>
      </c>
      <c r="C79" t="s">
        <v>712</v>
      </c>
      <c r="D79" s="213">
        <v>171600</v>
      </c>
      <c r="E79" s="217">
        <v>137280</v>
      </c>
      <c r="F79" s="217">
        <v>34320</v>
      </c>
      <c r="G79" s="212" t="s">
        <v>1212</v>
      </c>
      <c r="H79" s="87" t="s">
        <v>716</v>
      </c>
      <c r="I79" t="s">
        <v>729</v>
      </c>
      <c r="J79" s="212" t="s">
        <v>1534</v>
      </c>
      <c r="K79">
        <v>500085011</v>
      </c>
      <c r="L79" s="212" t="s">
        <v>1072</v>
      </c>
      <c r="M79" s="212" t="s">
        <v>1213</v>
      </c>
      <c r="N79" s="212" t="s">
        <v>1214</v>
      </c>
      <c r="O79" s="212" t="s">
        <v>344</v>
      </c>
      <c r="P79" s="88" t="s">
        <v>752</v>
      </c>
      <c r="Q79" s="215" t="s">
        <v>1215</v>
      </c>
      <c r="R79" s="212" t="s">
        <v>839</v>
      </c>
    </row>
    <row r="80" spans="1:18" x14ac:dyDescent="0.3">
      <c r="A80" s="212" t="s">
        <v>597</v>
      </c>
      <c r="B80" s="212" t="s">
        <v>596</v>
      </c>
      <c r="C80" t="s">
        <v>712</v>
      </c>
      <c r="D80" s="213">
        <v>194000</v>
      </c>
      <c r="E80" s="217">
        <v>155200</v>
      </c>
      <c r="F80" s="217">
        <v>38800</v>
      </c>
      <c r="G80" s="212" t="s">
        <v>1216</v>
      </c>
      <c r="H80" s="87" t="s">
        <v>716</v>
      </c>
      <c r="I80" t="s">
        <v>729</v>
      </c>
      <c r="J80" s="212" t="s">
        <v>1534</v>
      </c>
      <c r="K80">
        <v>500085011</v>
      </c>
      <c r="L80" s="212" t="s">
        <v>1217</v>
      </c>
      <c r="M80" s="212" t="s">
        <v>1104</v>
      </c>
      <c r="N80" s="212" t="s">
        <v>1218</v>
      </c>
      <c r="O80" s="212" t="s">
        <v>597</v>
      </c>
      <c r="P80" s="88" t="s">
        <v>752</v>
      </c>
      <c r="Q80" s="215" t="s">
        <v>1215</v>
      </c>
      <c r="R80" s="212" t="s">
        <v>840</v>
      </c>
    </row>
    <row r="81" spans="1:18" x14ac:dyDescent="0.3">
      <c r="A81" s="212" t="s">
        <v>599</v>
      </c>
      <c r="B81" s="212" t="s">
        <v>598</v>
      </c>
      <c r="C81" t="s">
        <v>712</v>
      </c>
      <c r="D81" s="213">
        <v>194000</v>
      </c>
      <c r="E81" s="217">
        <v>155200</v>
      </c>
      <c r="F81" s="217">
        <v>38800</v>
      </c>
      <c r="G81" s="212" t="s">
        <v>1219</v>
      </c>
      <c r="H81" s="87" t="s">
        <v>716</v>
      </c>
      <c r="I81" t="s">
        <v>729</v>
      </c>
      <c r="J81" s="212" t="s">
        <v>1534</v>
      </c>
      <c r="K81">
        <v>500085011</v>
      </c>
      <c r="L81" s="212" t="s">
        <v>1081</v>
      </c>
      <c r="M81" s="212" t="s">
        <v>965</v>
      </c>
      <c r="N81" s="212" t="s">
        <v>1220</v>
      </c>
      <c r="O81" s="212" t="s">
        <v>599</v>
      </c>
      <c r="P81" s="88" t="s">
        <v>752</v>
      </c>
      <c r="Q81" s="215" t="s">
        <v>1215</v>
      </c>
      <c r="R81" s="212" t="s">
        <v>841</v>
      </c>
    </row>
    <row r="82" spans="1:18" x14ac:dyDescent="0.3">
      <c r="A82" s="212" t="s">
        <v>345</v>
      </c>
      <c r="B82" s="212" t="s">
        <v>600</v>
      </c>
      <c r="C82" t="s">
        <v>712</v>
      </c>
      <c r="D82" s="213">
        <v>115200</v>
      </c>
      <c r="E82" s="217">
        <v>92160</v>
      </c>
      <c r="F82" s="217">
        <v>23040</v>
      </c>
      <c r="G82" s="212" t="s">
        <v>732</v>
      </c>
      <c r="H82" s="87" t="s">
        <v>720</v>
      </c>
      <c r="I82" s="212" t="s">
        <v>722</v>
      </c>
      <c r="J82" s="212" t="s">
        <v>1535</v>
      </c>
      <c r="K82">
        <v>500085013</v>
      </c>
      <c r="L82" s="212" t="s">
        <v>1221</v>
      </c>
      <c r="M82" s="212">
        <v>35</v>
      </c>
      <c r="N82" s="212">
        <v>7500</v>
      </c>
      <c r="O82" s="212" t="s">
        <v>1222</v>
      </c>
      <c r="P82" s="88" t="s">
        <v>752</v>
      </c>
      <c r="Q82" s="215" t="s">
        <v>1155</v>
      </c>
      <c r="R82" s="212" t="s">
        <v>842</v>
      </c>
    </row>
    <row r="83" spans="1:18" x14ac:dyDescent="0.3">
      <c r="A83" s="212" t="s">
        <v>602</v>
      </c>
      <c r="B83" s="212" t="s">
        <v>601</v>
      </c>
      <c r="C83" t="s">
        <v>712</v>
      </c>
      <c r="D83" s="213">
        <v>144000</v>
      </c>
      <c r="E83" s="217">
        <v>115200</v>
      </c>
      <c r="F83" s="217">
        <v>28800</v>
      </c>
      <c r="G83" s="212" t="s">
        <v>733</v>
      </c>
      <c r="H83" s="87" t="s">
        <v>720</v>
      </c>
      <c r="I83" s="212" t="s">
        <v>724</v>
      </c>
      <c r="J83" s="212" t="s">
        <v>1536</v>
      </c>
      <c r="K83">
        <v>500085015</v>
      </c>
      <c r="L83" s="212">
        <v>0</v>
      </c>
      <c r="M83" s="212">
        <v>0</v>
      </c>
      <c r="N83" s="212">
        <v>0</v>
      </c>
      <c r="O83" s="212">
        <v>0</v>
      </c>
      <c r="P83" s="88" t="s">
        <v>752</v>
      </c>
      <c r="Q83" s="215" t="s">
        <v>1226</v>
      </c>
      <c r="R83" s="212" t="s">
        <v>843</v>
      </c>
    </row>
    <row r="84" spans="1:18" x14ac:dyDescent="0.3">
      <c r="A84" s="212" t="s">
        <v>604</v>
      </c>
      <c r="B84" s="212" t="s">
        <v>603</v>
      </c>
      <c r="C84" t="s">
        <v>712</v>
      </c>
      <c r="D84" s="213">
        <v>288000</v>
      </c>
      <c r="E84" s="217">
        <v>230400</v>
      </c>
      <c r="F84" s="217">
        <v>57600</v>
      </c>
      <c r="G84" s="212" t="s">
        <v>734</v>
      </c>
      <c r="H84" s="87" t="s">
        <v>718</v>
      </c>
      <c r="I84" t="s">
        <v>719</v>
      </c>
      <c r="J84" s="212" t="s">
        <v>1530</v>
      </c>
      <c r="K84">
        <v>500085005</v>
      </c>
      <c r="L84" s="212" t="s">
        <v>1224</v>
      </c>
      <c r="M84" s="212">
        <v>10</v>
      </c>
      <c r="N84" s="212">
        <v>1400</v>
      </c>
      <c r="O84" s="212" t="s">
        <v>1225</v>
      </c>
      <c r="P84" s="88" t="s">
        <v>752</v>
      </c>
      <c r="Q84" s="215" t="s">
        <v>1002</v>
      </c>
      <c r="R84" s="212" t="s">
        <v>844</v>
      </c>
    </row>
    <row r="85" spans="1:18" x14ac:dyDescent="0.3">
      <c r="A85" s="212" t="s">
        <v>606</v>
      </c>
      <c r="B85" s="212" t="s">
        <v>605</v>
      </c>
      <c r="C85" t="s">
        <v>712</v>
      </c>
      <c r="D85" s="213">
        <v>28800</v>
      </c>
      <c r="E85" s="217">
        <v>23040</v>
      </c>
      <c r="F85" s="217">
        <v>5760</v>
      </c>
      <c r="G85" s="212" t="s">
        <v>735</v>
      </c>
      <c r="H85" s="87" t="s">
        <v>723</v>
      </c>
      <c r="I85" s="212" t="s">
        <v>722</v>
      </c>
      <c r="J85" s="212" t="s">
        <v>1535</v>
      </c>
      <c r="K85">
        <v>500085013</v>
      </c>
      <c r="L85" s="212">
        <v>0</v>
      </c>
      <c r="M85" s="212">
        <v>0</v>
      </c>
      <c r="N85" s="212">
        <v>0</v>
      </c>
      <c r="O85" s="212">
        <v>0</v>
      </c>
      <c r="P85" s="88" t="s">
        <v>752</v>
      </c>
      <c r="Q85" s="215" t="s">
        <v>1155</v>
      </c>
      <c r="R85" s="212" t="s">
        <v>1520</v>
      </c>
    </row>
    <row r="86" spans="1:18" x14ac:dyDescent="0.3">
      <c r="A86" s="212" t="s">
        <v>346</v>
      </c>
      <c r="B86" s="212" t="s">
        <v>607</v>
      </c>
      <c r="C86" t="s">
        <v>712</v>
      </c>
      <c r="D86" s="213">
        <v>171600</v>
      </c>
      <c r="E86" s="217">
        <v>137280</v>
      </c>
      <c r="F86" s="217">
        <v>34320</v>
      </c>
      <c r="G86" s="212" t="s">
        <v>1227</v>
      </c>
      <c r="H86" s="87" t="s">
        <v>716</v>
      </c>
      <c r="I86" t="s">
        <v>729</v>
      </c>
      <c r="J86" s="212" t="s">
        <v>1534</v>
      </c>
      <c r="K86">
        <v>500085011</v>
      </c>
      <c r="L86" s="212" t="s">
        <v>1228</v>
      </c>
      <c r="M86" s="212" t="s">
        <v>1053</v>
      </c>
      <c r="N86" s="212" t="s">
        <v>1229</v>
      </c>
      <c r="O86" s="212" t="s">
        <v>346</v>
      </c>
      <c r="P86" s="88" t="s">
        <v>752</v>
      </c>
      <c r="Q86" s="215" t="s">
        <v>1215</v>
      </c>
      <c r="R86" s="212" t="s">
        <v>845</v>
      </c>
    </row>
    <row r="87" spans="1:18" x14ac:dyDescent="0.3">
      <c r="A87" s="212" t="s">
        <v>347</v>
      </c>
      <c r="B87" s="212" t="s">
        <v>608</v>
      </c>
      <c r="C87" t="s">
        <v>712</v>
      </c>
      <c r="D87" s="213">
        <v>171600</v>
      </c>
      <c r="E87" s="217">
        <v>137280</v>
      </c>
      <c r="F87" s="217">
        <v>34320</v>
      </c>
      <c r="G87" s="212" t="s">
        <v>1230</v>
      </c>
      <c r="H87" s="87" t="s">
        <v>716</v>
      </c>
      <c r="I87" t="s">
        <v>729</v>
      </c>
      <c r="J87" s="212" t="s">
        <v>1534</v>
      </c>
      <c r="K87">
        <v>500085011</v>
      </c>
      <c r="L87" s="212" t="s">
        <v>1231</v>
      </c>
      <c r="M87" s="212" t="s">
        <v>1232</v>
      </c>
      <c r="N87" s="212" t="s">
        <v>1233</v>
      </c>
      <c r="O87" s="212" t="s">
        <v>347</v>
      </c>
      <c r="P87" s="88" t="s">
        <v>752</v>
      </c>
      <c r="Q87" s="215" t="s">
        <v>1215</v>
      </c>
      <c r="R87" s="212" t="s">
        <v>846</v>
      </c>
    </row>
    <row r="88" spans="1:18" x14ac:dyDescent="0.3">
      <c r="A88" s="212" t="s">
        <v>610</v>
      </c>
      <c r="B88" s="212" t="s">
        <v>609</v>
      </c>
      <c r="C88" t="s">
        <v>712</v>
      </c>
      <c r="D88" s="213">
        <v>194000</v>
      </c>
      <c r="E88" s="217">
        <v>155200</v>
      </c>
      <c r="F88" s="217">
        <v>38800</v>
      </c>
      <c r="G88" s="212" t="s">
        <v>1234</v>
      </c>
      <c r="H88" s="87" t="s">
        <v>716</v>
      </c>
      <c r="I88" t="s">
        <v>729</v>
      </c>
      <c r="J88" s="212" t="s">
        <v>1534</v>
      </c>
      <c r="K88">
        <v>500085011</v>
      </c>
      <c r="L88" s="212" t="s">
        <v>960</v>
      </c>
      <c r="M88" s="212" t="s">
        <v>1235</v>
      </c>
      <c r="N88" s="212" t="s">
        <v>1236</v>
      </c>
      <c r="O88" s="212" t="s">
        <v>610</v>
      </c>
      <c r="P88" s="88" t="s">
        <v>752</v>
      </c>
      <c r="Q88" s="215" t="s">
        <v>1215</v>
      </c>
      <c r="R88" s="212" t="s">
        <v>847</v>
      </c>
    </row>
    <row r="89" spans="1:18" x14ac:dyDescent="0.3">
      <c r="A89" s="212" t="s">
        <v>348</v>
      </c>
      <c r="B89" s="212" t="s">
        <v>611</v>
      </c>
      <c r="C89" t="s">
        <v>712</v>
      </c>
      <c r="D89" s="213">
        <v>160400</v>
      </c>
      <c r="E89" s="217">
        <v>128320</v>
      </c>
      <c r="F89" s="217">
        <v>32080</v>
      </c>
      <c r="G89" s="212" t="s">
        <v>1237</v>
      </c>
      <c r="H89" s="87" t="s">
        <v>716</v>
      </c>
      <c r="I89" t="s">
        <v>729</v>
      </c>
      <c r="J89" s="212" t="s">
        <v>1534</v>
      </c>
      <c r="K89">
        <v>500085011</v>
      </c>
      <c r="L89" s="212" t="s">
        <v>1238</v>
      </c>
      <c r="M89" s="212" t="s">
        <v>1085</v>
      </c>
      <c r="N89" s="212" t="s">
        <v>1239</v>
      </c>
      <c r="O89" s="212" t="s">
        <v>348</v>
      </c>
      <c r="P89" s="88" t="s">
        <v>752</v>
      </c>
      <c r="Q89" s="215" t="s">
        <v>1215</v>
      </c>
      <c r="R89" s="212" t="s">
        <v>848</v>
      </c>
    </row>
    <row r="90" spans="1:18" x14ac:dyDescent="0.3">
      <c r="A90" s="212" t="s">
        <v>349</v>
      </c>
      <c r="B90" s="212" t="s">
        <v>612</v>
      </c>
      <c r="C90" t="s">
        <v>712</v>
      </c>
      <c r="D90" s="213">
        <v>171600</v>
      </c>
      <c r="E90" s="217">
        <v>137280</v>
      </c>
      <c r="F90" s="217">
        <v>34320</v>
      </c>
      <c r="G90" s="212" t="s">
        <v>1240</v>
      </c>
      <c r="H90" s="87" t="s">
        <v>716</v>
      </c>
      <c r="I90" t="s">
        <v>729</v>
      </c>
      <c r="J90" s="212" t="s">
        <v>1534</v>
      </c>
      <c r="K90">
        <v>500085011</v>
      </c>
      <c r="L90" s="212" t="s">
        <v>1241</v>
      </c>
      <c r="M90" s="212" t="s">
        <v>1175</v>
      </c>
      <c r="N90" s="212" t="s">
        <v>1242</v>
      </c>
      <c r="O90" s="212" t="s">
        <v>349</v>
      </c>
      <c r="P90" s="88" t="s">
        <v>752</v>
      </c>
      <c r="Q90" s="215" t="s">
        <v>1215</v>
      </c>
      <c r="R90" s="212" t="s">
        <v>849</v>
      </c>
    </row>
    <row r="91" spans="1:18" x14ac:dyDescent="0.3">
      <c r="A91" s="212" t="s">
        <v>350</v>
      </c>
      <c r="B91" s="212" t="s">
        <v>613</v>
      </c>
      <c r="C91" t="s">
        <v>712</v>
      </c>
      <c r="D91" s="213">
        <v>126800</v>
      </c>
      <c r="E91" s="217">
        <v>101440</v>
      </c>
      <c r="F91" s="217">
        <v>25360</v>
      </c>
      <c r="G91" s="212" t="s">
        <v>1243</v>
      </c>
      <c r="H91" s="87" t="s">
        <v>716</v>
      </c>
      <c r="I91" t="s">
        <v>729</v>
      </c>
      <c r="J91" s="212" t="s">
        <v>1534</v>
      </c>
      <c r="K91">
        <v>500085011</v>
      </c>
      <c r="L91" s="212" t="s">
        <v>1244</v>
      </c>
      <c r="M91" s="212" t="s">
        <v>965</v>
      </c>
      <c r="N91" s="212" t="s">
        <v>1245</v>
      </c>
      <c r="O91" s="212" t="s">
        <v>350</v>
      </c>
      <c r="P91" s="88" t="s">
        <v>752</v>
      </c>
      <c r="Q91" s="215" t="s">
        <v>1215</v>
      </c>
      <c r="R91" s="212" t="s">
        <v>850</v>
      </c>
    </row>
    <row r="92" spans="1:18" x14ac:dyDescent="0.3">
      <c r="A92" s="212" t="s">
        <v>351</v>
      </c>
      <c r="B92" s="212" t="s">
        <v>614</v>
      </c>
      <c r="C92" t="s">
        <v>712</v>
      </c>
      <c r="D92" s="213">
        <v>171600</v>
      </c>
      <c r="E92" s="217">
        <v>137280</v>
      </c>
      <c r="F92" s="217">
        <v>34320</v>
      </c>
      <c r="G92" s="212" t="s">
        <v>1246</v>
      </c>
      <c r="H92" s="87" t="s">
        <v>716</v>
      </c>
      <c r="I92" t="s">
        <v>729</v>
      </c>
      <c r="J92" s="212" t="s">
        <v>1534</v>
      </c>
      <c r="K92">
        <v>500085011</v>
      </c>
      <c r="L92" s="212" t="s">
        <v>1247</v>
      </c>
      <c r="M92" s="212" t="s">
        <v>965</v>
      </c>
      <c r="N92" s="212" t="s">
        <v>1248</v>
      </c>
      <c r="O92" s="212" t="s">
        <v>351</v>
      </c>
      <c r="P92" s="88" t="s">
        <v>752</v>
      </c>
      <c r="Q92" s="215" t="s">
        <v>1215</v>
      </c>
      <c r="R92" s="212" t="s">
        <v>851</v>
      </c>
    </row>
    <row r="93" spans="1:18" x14ac:dyDescent="0.3">
      <c r="A93" s="212" t="s">
        <v>352</v>
      </c>
      <c r="B93" s="212" t="s">
        <v>615</v>
      </c>
      <c r="C93" t="s">
        <v>712</v>
      </c>
      <c r="D93" s="213">
        <v>160400</v>
      </c>
      <c r="E93" s="217">
        <v>128320</v>
      </c>
      <c r="F93" s="217">
        <v>32080</v>
      </c>
      <c r="G93" s="212" t="s">
        <v>1249</v>
      </c>
      <c r="H93" s="87" t="s">
        <v>716</v>
      </c>
      <c r="I93" t="s">
        <v>729</v>
      </c>
      <c r="J93" s="212" t="s">
        <v>1534</v>
      </c>
      <c r="K93">
        <v>500085011</v>
      </c>
      <c r="L93" s="212" t="s">
        <v>960</v>
      </c>
      <c r="M93" s="212" t="s">
        <v>1250</v>
      </c>
      <c r="N93" s="212" t="s">
        <v>1251</v>
      </c>
      <c r="O93" s="212" t="s">
        <v>352</v>
      </c>
      <c r="P93" s="88" t="s">
        <v>752</v>
      </c>
      <c r="Q93" s="215" t="s">
        <v>1215</v>
      </c>
      <c r="R93" s="212" t="s">
        <v>852</v>
      </c>
    </row>
    <row r="94" spans="1:18" x14ac:dyDescent="0.3">
      <c r="A94" s="212" t="s">
        <v>442</v>
      </c>
      <c r="B94" s="212" t="s">
        <v>461</v>
      </c>
      <c r="C94" t="s">
        <v>712</v>
      </c>
      <c r="D94" s="213">
        <v>171600</v>
      </c>
      <c r="E94" s="217">
        <v>137280</v>
      </c>
      <c r="F94" s="217">
        <v>34320</v>
      </c>
      <c r="G94" s="212" t="s">
        <v>1252</v>
      </c>
      <c r="H94" s="87" t="s">
        <v>716</v>
      </c>
      <c r="I94" t="s">
        <v>729</v>
      </c>
      <c r="J94" s="212" t="s">
        <v>1534</v>
      </c>
      <c r="K94">
        <v>500085011</v>
      </c>
      <c r="L94" s="212" t="s">
        <v>1253</v>
      </c>
      <c r="M94" s="212" t="s">
        <v>1053</v>
      </c>
      <c r="N94" s="212" t="s">
        <v>1254</v>
      </c>
      <c r="O94" s="212" t="s">
        <v>442</v>
      </c>
      <c r="P94" s="88" t="s">
        <v>752</v>
      </c>
      <c r="Q94" s="215" t="s">
        <v>1215</v>
      </c>
      <c r="R94" s="212" t="s">
        <v>853</v>
      </c>
    </row>
    <row r="95" spans="1:18" x14ac:dyDescent="0.3">
      <c r="A95" s="212" t="s">
        <v>353</v>
      </c>
      <c r="B95" s="212" t="s">
        <v>616</v>
      </c>
      <c r="C95" t="s">
        <v>712</v>
      </c>
      <c r="D95" s="213">
        <v>171600</v>
      </c>
      <c r="E95" s="217">
        <v>137280</v>
      </c>
      <c r="F95" s="217">
        <v>34320</v>
      </c>
      <c r="G95" s="212" t="s">
        <v>1255</v>
      </c>
      <c r="H95" s="87" t="s">
        <v>716</v>
      </c>
      <c r="I95" t="s">
        <v>729</v>
      </c>
      <c r="J95" s="212" t="s">
        <v>1534</v>
      </c>
      <c r="K95">
        <v>500085011</v>
      </c>
      <c r="L95" s="212" t="s">
        <v>1256</v>
      </c>
      <c r="M95" s="212" t="s">
        <v>965</v>
      </c>
      <c r="N95" s="212" t="s">
        <v>1257</v>
      </c>
      <c r="O95" s="212" t="s">
        <v>353</v>
      </c>
      <c r="P95" s="88" t="s">
        <v>752</v>
      </c>
      <c r="Q95" s="215" t="s">
        <v>1215</v>
      </c>
      <c r="R95" s="212" t="s">
        <v>854</v>
      </c>
    </row>
    <row r="96" spans="1:18" x14ac:dyDescent="0.3">
      <c r="A96" s="212" t="s">
        <v>354</v>
      </c>
      <c r="B96" s="212" t="s">
        <v>617</v>
      </c>
      <c r="C96" t="s">
        <v>712</v>
      </c>
      <c r="D96" s="213">
        <v>160400</v>
      </c>
      <c r="E96" s="217">
        <v>128320</v>
      </c>
      <c r="F96" s="217">
        <v>32080</v>
      </c>
      <c r="G96" s="212" t="s">
        <v>1258</v>
      </c>
      <c r="H96" s="87" t="s">
        <v>716</v>
      </c>
      <c r="I96" t="s">
        <v>729</v>
      </c>
      <c r="J96" s="212" t="s">
        <v>1534</v>
      </c>
      <c r="K96">
        <v>500085011</v>
      </c>
      <c r="L96" s="212" t="s">
        <v>1259</v>
      </c>
      <c r="M96" s="212" t="s">
        <v>1260</v>
      </c>
      <c r="N96" s="212" t="s">
        <v>1261</v>
      </c>
      <c r="O96" s="212" t="s">
        <v>354</v>
      </c>
      <c r="P96" s="88" t="s">
        <v>752</v>
      </c>
      <c r="Q96" s="215" t="s">
        <v>1215</v>
      </c>
      <c r="R96" s="212" t="s">
        <v>855</v>
      </c>
    </row>
    <row r="97" spans="1:18" x14ac:dyDescent="0.3">
      <c r="A97" s="212" t="s">
        <v>619</v>
      </c>
      <c r="B97" s="212" t="s">
        <v>618</v>
      </c>
      <c r="C97" t="s">
        <v>712</v>
      </c>
      <c r="D97" s="213">
        <v>194000</v>
      </c>
      <c r="E97" s="217">
        <v>155200</v>
      </c>
      <c r="F97" s="217">
        <v>38800</v>
      </c>
      <c r="G97" s="212" t="s">
        <v>1262</v>
      </c>
      <c r="H97" s="87" t="s">
        <v>716</v>
      </c>
      <c r="I97" t="s">
        <v>729</v>
      </c>
      <c r="J97" s="212" t="s">
        <v>1534</v>
      </c>
      <c r="K97">
        <v>500085011</v>
      </c>
      <c r="L97" s="212" t="s">
        <v>1263</v>
      </c>
      <c r="M97" s="212" t="s">
        <v>965</v>
      </c>
      <c r="N97" s="212" t="s">
        <v>1264</v>
      </c>
      <c r="O97" s="212" t="s">
        <v>619</v>
      </c>
      <c r="P97" s="88" t="s">
        <v>752</v>
      </c>
      <c r="Q97" s="215" t="s">
        <v>1215</v>
      </c>
      <c r="R97" s="212" t="s">
        <v>856</v>
      </c>
    </row>
    <row r="98" spans="1:18" x14ac:dyDescent="0.3">
      <c r="A98" s="212" t="s">
        <v>355</v>
      </c>
      <c r="B98" s="212" t="s">
        <v>620</v>
      </c>
      <c r="C98" t="s">
        <v>712</v>
      </c>
      <c r="D98" s="213">
        <v>171600</v>
      </c>
      <c r="E98" s="217">
        <v>137280</v>
      </c>
      <c r="F98" s="217">
        <v>34320</v>
      </c>
      <c r="G98" s="212" t="s">
        <v>1265</v>
      </c>
      <c r="H98" s="87" t="s">
        <v>716</v>
      </c>
      <c r="I98" t="s">
        <v>729</v>
      </c>
      <c r="J98" s="212" t="s">
        <v>1534</v>
      </c>
      <c r="K98">
        <v>500085011</v>
      </c>
      <c r="L98" s="212" t="s">
        <v>1266</v>
      </c>
      <c r="M98" s="212" t="s">
        <v>1038</v>
      </c>
      <c r="N98" s="212" t="s">
        <v>1267</v>
      </c>
      <c r="O98" s="212" t="s">
        <v>355</v>
      </c>
      <c r="P98" s="88" t="s">
        <v>752</v>
      </c>
      <c r="Q98" s="215" t="s">
        <v>1215</v>
      </c>
      <c r="R98" s="212" t="s">
        <v>857</v>
      </c>
    </row>
    <row r="99" spans="1:18" x14ac:dyDescent="0.3">
      <c r="A99" s="212" t="s">
        <v>356</v>
      </c>
      <c r="B99" s="212" t="s">
        <v>621</v>
      </c>
      <c r="C99" t="s">
        <v>712</v>
      </c>
      <c r="D99" s="213">
        <v>160400</v>
      </c>
      <c r="E99" s="217">
        <v>128320</v>
      </c>
      <c r="F99" s="217">
        <v>32080</v>
      </c>
      <c r="G99" s="212" t="s">
        <v>1268</v>
      </c>
      <c r="H99" s="87" t="s">
        <v>716</v>
      </c>
      <c r="I99" t="s">
        <v>729</v>
      </c>
      <c r="J99" s="212" t="s">
        <v>1534</v>
      </c>
      <c r="K99">
        <v>500085011</v>
      </c>
      <c r="L99" s="212" t="s">
        <v>1269</v>
      </c>
      <c r="M99" s="212" t="s">
        <v>1027</v>
      </c>
      <c r="N99" s="212" t="s">
        <v>1270</v>
      </c>
      <c r="O99" s="212" t="s">
        <v>356</v>
      </c>
      <c r="P99" s="88" t="s">
        <v>752</v>
      </c>
      <c r="Q99" s="215" t="s">
        <v>1215</v>
      </c>
      <c r="R99" s="212" t="s">
        <v>858</v>
      </c>
    </row>
    <row r="100" spans="1:18" x14ac:dyDescent="0.3">
      <c r="A100" s="212" t="s">
        <v>357</v>
      </c>
      <c r="B100" s="212" t="s">
        <v>622</v>
      </c>
      <c r="C100" t="s">
        <v>712</v>
      </c>
      <c r="D100" s="213">
        <v>126800</v>
      </c>
      <c r="E100" s="217">
        <v>101440</v>
      </c>
      <c r="F100" s="217">
        <v>25360</v>
      </c>
      <c r="G100" s="212" t="s">
        <v>1271</v>
      </c>
      <c r="H100" s="87" t="s">
        <v>716</v>
      </c>
      <c r="I100" t="s">
        <v>729</v>
      </c>
      <c r="J100" s="212" t="s">
        <v>1534</v>
      </c>
      <c r="K100">
        <v>500085011</v>
      </c>
      <c r="L100" s="212" t="s">
        <v>1247</v>
      </c>
      <c r="M100" s="212" t="s">
        <v>1053</v>
      </c>
      <c r="N100" s="212" t="s">
        <v>1272</v>
      </c>
      <c r="O100" s="212" t="s">
        <v>357</v>
      </c>
      <c r="P100" s="88" t="s">
        <v>752</v>
      </c>
      <c r="Q100" s="215" t="s">
        <v>1215</v>
      </c>
      <c r="R100" s="212" t="s">
        <v>859</v>
      </c>
    </row>
    <row r="101" spans="1:18" x14ac:dyDescent="0.3">
      <c r="A101" s="212" t="s">
        <v>358</v>
      </c>
      <c r="B101" s="212" t="s">
        <v>623</v>
      </c>
      <c r="C101" t="s">
        <v>712</v>
      </c>
      <c r="D101" s="213">
        <v>171600</v>
      </c>
      <c r="E101" s="217">
        <v>137280</v>
      </c>
      <c r="F101" s="217">
        <v>34320</v>
      </c>
      <c r="G101" s="212" t="s">
        <v>1273</v>
      </c>
      <c r="H101" s="87" t="s">
        <v>716</v>
      </c>
      <c r="I101" t="s">
        <v>729</v>
      </c>
      <c r="J101" s="212" t="s">
        <v>1534</v>
      </c>
      <c r="K101">
        <v>500085011</v>
      </c>
      <c r="L101" s="212" t="s">
        <v>1274</v>
      </c>
      <c r="M101" s="212" t="s">
        <v>1104</v>
      </c>
      <c r="N101" s="212" t="s">
        <v>1275</v>
      </c>
      <c r="O101" s="212" t="s">
        <v>358</v>
      </c>
      <c r="P101" s="88" t="s">
        <v>752</v>
      </c>
      <c r="Q101" s="215" t="s">
        <v>1215</v>
      </c>
      <c r="R101" s="212" t="s">
        <v>860</v>
      </c>
    </row>
    <row r="102" spans="1:18" x14ac:dyDescent="0.3">
      <c r="A102" s="212" t="s">
        <v>625</v>
      </c>
      <c r="B102" s="212" t="s">
        <v>624</v>
      </c>
      <c r="C102" t="s">
        <v>712</v>
      </c>
      <c r="D102" s="213">
        <v>160400</v>
      </c>
      <c r="E102" s="217">
        <v>128320</v>
      </c>
      <c r="F102" s="217">
        <v>32080</v>
      </c>
      <c r="G102" s="212" t="s">
        <v>1276</v>
      </c>
      <c r="H102" s="87" t="s">
        <v>716</v>
      </c>
      <c r="I102" t="s">
        <v>729</v>
      </c>
      <c r="J102" s="212" t="s">
        <v>1534</v>
      </c>
      <c r="K102">
        <v>500085011</v>
      </c>
      <c r="L102" s="212" t="s">
        <v>1277</v>
      </c>
      <c r="M102" s="212" t="s">
        <v>965</v>
      </c>
      <c r="N102" s="212" t="s">
        <v>1278</v>
      </c>
      <c r="O102" s="212" t="s">
        <v>1279</v>
      </c>
      <c r="P102" s="88" t="s">
        <v>752</v>
      </c>
      <c r="Q102" s="215" t="s">
        <v>1215</v>
      </c>
      <c r="R102" s="212" t="s">
        <v>861</v>
      </c>
    </row>
    <row r="103" spans="1:18" x14ac:dyDescent="0.3">
      <c r="A103" s="212" t="s">
        <v>373</v>
      </c>
      <c r="B103" s="212" t="s">
        <v>626</v>
      </c>
      <c r="C103" t="s">
        <v>712</v>
      </c>
      <c r="D103" s="213">
        <v>194000</v>
      </c>
      <c r="E103" s="217">
        <v>155200</v>
      </c>
      <c r="F103" s="217">
        <v>38800</v>
      </c>
      <c r="G103" s="212" t="s">
        <v>1280</v>
      </c>
      <c r="H103" s="87" t="s">
        <v>716</v>
      </c>
      <c r="I103" t="s">
        <v>729</v>
      </c>
      <c r="J103" s="212" t="s">
        <v>1534</v>
      </c>
      <c r="K103">
        <v>500085011</v>
      </c>
      <c r="L103" s="212" t="s">
        <v>1281</v>
      </c>
      <c r="M103" s="212" t="s">
        <v>984</v>
      </c>
      <c r="N103" s="212" t="s">
        <v>1282</v>
      </c>
      <c r="O103" s="212" t="s">
        <v>373</v>
      </c>
      <c r="P103" s="88" t="s">
        <v>752</v>
      </c>
      <c r="Q103" s="215" t="s">
        <v>1215</v>
      </c>
      <c r="R103" s="212" t="s">
        <v>862</v>
      </c>
    </row>
    <row r="104" spans="1:18" x14ac:dyDescent="0.3">
      <c r="A104" s="212" t="s">
        <v>628</v>
      </c>
      <c r="B104" s="212" t="s">
        <v>627</v>
      </c>
      <c r="C104" t="s">
        <v>712</v>
      </c>
      <c r="D104" s="213">
        <v>194000</v>
      </c>
      <c r="E104" s="217">
        <v>155200</v>
      </c>
      <c r="F104" s="217">
        <v>38800</v>
      </c>
      <c r="G104" s="212" t="s">
        <v>1283</v>
      </c>
      <c r="H104" s="87" t="s">
        <v>716</v>
      </c>
      <c r="I104" t="s">
        <v>729</v>
      </c>
      <c r="J104" s="212" t="s">
        <v>1534</v>
      </c>
      <c r="K104">
        <v>500085011</v>
      </c>
      <c r="L104" s="212" t="s">
        <v>1284</v>
      </c>
      <c r="M104" s="212" t="s">
        <v>1285</v>
      </c>
      <c r="N104" s="212" t="s">
        <v>1286</v>
      </c>
      <c r="O104" s="212" t="s">
        <v>628</v>
      </c>
      <c r="P104" s="88" t="s">
        <v>752</v>
      </c>
      <c r="Q104" s="215" t="s">
        <v>1215</v>
      </c>
      <c r="R104" s="212" t="s">
        <v>863</v>
      </c>
    </row>
    <row r="105" spans="1:18" x14ac:dyDescent="0.3">
      <c r="A105" s="212" t="s">
        <v>360</v>
      </c>
      <c r="B105" s="212" t="s">
        <v>629</v>
      </c>
      <c r="C105" t="s">
        <v>712</v>
      </c>
      <c r="D105" s="213">
        <v>171600</v>
      </c>
      <c r="E105" s="217">
        <v>137280</v>
      </c>
      <c r="F105" s="217">
        <v>34320</v>
      </c>
      <c r="G105" s="212" t="s">
        <v>1287</v>
      </c>
      <c r="H105" s="87" t="s">
        <v>716</v>
      </c>
      <c r="I105" t="s">
        <v>729</v>
      </c>
      <c r="J105" s="212" t="s">
        <v>1534</v>
      </c>
      <c r="K105">
        <v>500085011</v>
      </c>
      <c r="L105" s="212" t="s">
        <v>1288</v>
      </c>
      <c r="M105" s="212" t="s">
        <v>965</v>
      </c>
      <c r="N105" s="212" t="s">
        <v>1289</v>
      </c>
      <c r="O105" s="212" t="s">
        <v>360</v>
      </c>
      <c r="P105" s="88" t="s">
        <v>752</v>
      </c>
      <c r="Q105" s="215" t="s">
        <v>1215</v>
      </c>
      <c r="R105" s="212" t="s">
        <v>864</v>
      </c>
    </row>
    <row r="106" spans="1:18" x14ac:dyDescent="0.3">
      <c r="A106" s="212" t="s">
        <v>361</v>
      </c>
      <c r="B106" s="212" t="s">
        <v>630</v>
      </c>
      <c r="C106" t="s">
        <v>712</v>
      </c>
      <c r="D106" s="213">
        <v>171600</v>
      </c>
      <c r="E106" s="217">
        <v>137280</v>
      </c>
      <c r="F106" s="217">
        <v>34320</v>
      </c>
      <c r="G106" s="212" t="s">
        <v>1290</v>
      </c>
      <c r="H106" s="87" t="s">
        <v>716</v>
      </c>
      <c r="I106" t="s">
        <v>729</v>
      </c>
      <c r="J106" s="212" t="s">
        <v>1534</v>
      </c>
      <c r="K106">
        <v>500085011</v>
      </c>
      <c r="L106" s="212" t="s">
        <v>1291</v>
      </c>
      <c r="M106" s="212" t="s">
        <v>1031</v>
      </c>
      <c r="N106" s="212" t="s">
        <v>1292</v>
      </c>
      <c r="O106" s="212" t="s">
        <v>361</v>
      </c>
      <c r="P106" s="88" t="s">
        <v>752</v>
      </c>
      <c r="Q106" s="215" t="s">
        <v>1215</v>
      </c>
      <c r="R106" s="212" t="s">
        <v>865</v>
      </c>
    </row>
    <row r="107" spans="1:18" x14ac:dyDescent="0.3">
      <c r="A107" s="212" t="s">
        <v>632</v>
      </c>
      <c r="B107" s="212" t="s">
        <v>631</v>
      </c>
      <c r="C107" t="s">
        <v>712</v>
      </c>
      <c r="D107" s="213">
        <v>194000</v>
      </c>
      <c r="E107" s="217">
        <v>155200</v>
      </c>
      <c r="F107" s="217">
        <v>38800</v>
      </c>
      <c r="G107" s="212" t="s">
        <v>1293</v>
      </c>
      <c r="H107" s="87" t="s">
        <v>716</v>
      </c>
      <c r="I107" t="s">
        <v>729</v>
      </c>
      <c r="J107" s="212" t="s">
        <v>1534</v>
      </c>
      <c r="K107">
        <v>500085011</v>
      </c>
      <c r="L107" s="212" t="s">
        <v>1294</v>
      </c>
      <c r="M107" s="212" t="s">
        <v>1295</v>
      </c>
      <c r="N107" s="212" t="s">
        <v>1296</v>
      </c>
      <c r="O107" s="212" t="s">
        <v>632</v>
      </c>
      <c r="P107" s="88" t="s">
        <v>752</v>
      </c>
      <c r="Q107" s="215" t="s">
        <v>1215</v>
      </c>
      <c r="R107" s="212" t="s">
        <v>866</v>
      </c>
    </row>
    <row r="108" spans="1:18" x14ac:dyDescent="0.3">
      <c r="A108" s="212" t="s">
        <v>634</v>
      </c>
      <c r="B108" s="212" t="s">
        <v>633</v>
      </c>
      <c r="C108" t="s">
        <v>712</v>
      </c>
      <c r="D108" s="213">
        <v>194000</v>
      </c>
      <c r="E108" s="217">
        <v>155200</v>
      </c>
      <c r="F108" s="217">
        <v>38800</v>
      </c>
      <c r="G108" s="212" t="s">
        <v>1297</v>
      </c>
      <c r="H108" s="87" t="s">
        <v>716</v>
      </c>
      <c r="I108" t="s">
        <v>730</v>
      </c>
      <c r="J108" s="212" t="s">
        <v>1537</v>
      </c>
      <c r="K108">
        <v>500085001</v>
      </c>
      <c r="L108" s="212" t="s">
        <v>1298</v>
      </c>
      <c r="M108" s="212" t="s">
        <v>965</v>
      </c>
      <c r="N108" s="212" t="s">
        <v>1299</v>
      </c>
      <c r="O108" s="212" t="s">
        <v>634</v>
      </c>
      <c r="P108" s="88" t="s">
        <v>752</v>
      </c>
      <c r="Q108" s="215" t="s">
        <v>1300</v>
      </c>
      <c r="R108" s="212" t="s">
        <v>867</v>
      </c>
    </row>
    <row r="109" spans="1:18" x14ac:dyDescent="0.3">
      <c r="A109" s="212" t="s">
        <v>337</v>
      </c>
      <c r="B109" s="212" t="s">
        <v>635</v>
      </c>
      <c r="C109" t="s">
        <v>712</v>
      </c>
      <c r="D109" s="213">
        <v>194000</v>
      </c>
      <c r="E109" s="217">
        <v>155200</v>
      </c>
      <c r="F109" s="217">
        <v>38800</v>
      </c>
      <c r="G109" s="212" t="s">
        <v>1301</v>
      </c>
      <c r="H109" s="87" t="s">
        <v>716</v>
      </c>
      <c r="I109" t="s">
        <v>730</v>
      </c>
      <c r="J109" s="212" t="s">
        <v>1537</v>
      </c>
      <c r="K109">
        <v>500085001</v>
      </c>
      <c r="L109" s="212" t="s">
        <v>1302</v>
      </c>
      <c r="M109" s="212" t="s">
        <v>965</v>
      </c>
      <c r="N109" s="212" t="s">
        <v>1303</v>
      </c>
      <c r="O109" s="212" t="s">
        <v>337</v>
      </c>
      <c r="P109" s="88" t="s">
        <v>752</v>
      </c>
      <c r="Q109" s="215" t="s">
        <v>1300</v>
      </c>
      <c r="R109" s="212" t="s">
        <v>868</v>
      </c>
    </row>
    <row r="110" spans="1:18" x14ac:dyDescent="0.3">
      <c r="A110" s="212" t="s">
        <v>362</v>
      </c>
      <c r="B110" s="212" t="s">
        <v>636</v>
      </c>
      <c r="C110" t="s">
        <v>712</v>
      </c>
      <c r="D110" s="213">
        <v>171600</v>
      </c>
      <c r="E110" s="217">
        <v>137280</v>
      </c>
      <c r="F110" s="217">
        <v>34320</v>
      </c>
      <c r="G110" s="212" t="s">
        <v>1304</v>
      </c>
      <c r="H110" s="87" t="s">
        <v>716</v>
      </c>
      <c r="I110" t="s">
        <v>730</v>
      </c>
      <c r="J110" s="212" t="s">
        <v>1537</v>
      </c>
      <c r="K110">
        <v>500085001</v>
      </c>
      <c r="L110" s="212" t="s">
        <v>1305</v>
      </c>
      <c r="M110" s="212" t="s">
        <v>965</v>
      </c>
      <c r="N110" s="212" t="s">
        <v>1306</v>
      </c>
      <c r="O110" s="212" t="s">
        <v>362</v>
      </c>
      <c r="P110" s="88" t="s">
        <v>752</v>
      </c>
      <c r="Q110" s="215" t="s">
        <v>1300</v>
      </c>
      <c r="R110" s="212" t="s">
        <v>869</v>
      </c>
    </row>
    <row r="111" spans="1:18" x14ac:dyDescent="0.3">
      <c r="A111" s="212" t="s">
        <v>363</v>
      </c>
      <c r="B111" s="212" t="s">
        <v>637</v>
      </c>
      <c r="C111" t="s">
        <v>712</v>
      </c>
      <c r="D111" s="213">
        <v>126800</v>
      </c>
      <c r="E111" s="217">
        <v>101440</v>
      </c>
      <c r="F111" s="217">
        <v>25360</v>
      </c>
      <c r="G111" s="212" t="s">
        <v>1307</v>
      </c>
      <c r="H111" s="87" t="s">
        <v>716</v>
      </c>
      <c r="I111" t="s">
        <v>730</v>
      </c>
      <c r="J111" s="212" t="s">
        <v>1537</v>
      </c>
      <c r="K111">
        <v>500085001</v>
      </c>
      <c r="L111" s="212" t="s">
        <v>1088</v>
      </c>
      <c r="M111" s="212" t="s">
        <v>984</v>
      </c>
      <c r="N111" s="212" t="s">
        <v>1308</v>
      </c>
      <c r="O111" s="212" t="s">
        <v>363</v>
      </c>
      <c r="P111" s="88" t="s">
        <v>752</v>
      </c>
      <c r="Q111" s="215" t="s">
        <v>1300</v>
      </c>
      <c r="R111" s="212" t="s">
        <v>870</v>
      </c>
    </row>
    <row r="112" spans="1:18" x14ac:dyDescent="0.3">
      <c r="A112" s="212" t="s">
        <v>364</v>
      </c>
      <c r="B112" s="212" t="s">
        <v>638</v>
      </c>
      <c r="C112" t="s">
        <v>712</v>
      </c>
      <c r="D112" s="213">
        <v>171600</v>
      </c>
      <c r="E112" s="217">
        <v>137280</v>
      </c>
      <c r="F112" s="217">
        <v>34320</v>
      </c>
      <c r="G112" s="212" t="s">
        <v>1309</v>
      </c>
      <c r="H112" s="87" t="s">
        <v>716</v>
      </c>
      <c r="I112" t="s">
        <v>730</v>
      </c>
      <c r="J112" s="212" t="s">
        <v>1537</v>
      </c>
      <c r="K112">
        <v>500085001</v>
      </c>
      <c r="L112" s="212" t="s">
        <v>1310</v>
      </c>
      <c r="M112" s="212" t="s">
        <v>1311</v>
      </c>
      <c r="N112" s="212" t="s">
        <v>1312</v>
      </c>
      <c r="O112" s="212" t="s">
        <v>364</v>
      </c>
      <c r="P112" s="88" t="s">
        <v>752</v>
      </c>
      <c r="Q112" s="215" t="s">
        <v>1300</v>
      </c>
      <c r="R112" s="212" t="s">
        <v>871</v>
      </c>
    </row>
    <row r="113" spans="1:18" x14ac:dyDescent="0.3">
      <c r="A113" s="212" t="s">
        <v>365</v>
      </c>
      <c r="B113" s="212" t="s">
        <v>639</v>
      </c>
      <c r="C113" t="s">
        <v>712</v>
      </c>
      <c r="D113" s="213">
        <v>126800</v>
      </c>
      <c r="E113" s="217">
        <v>101440</v>
      </c>
      <c r="F113" s="217">
        <v>25360</v>
      </c>
      <c r="G113" s="212" t="s">
        <v>1313</v>
      </c>
      <c r="H113" s="87" t="s">
        <v>716</v>
      </c>
      <c r="I113" t="s">
        <v>730</v>
      </c>
      <c r="J113" s="212" t="s">
        <v>1537</v>
      </c>
      <c r="K113">
        <v>500085001</v>
      </c>
      <c r="L113" s="212" t="s">
        <v>1088</v>
      </c>
      <c r="M113" s="212" t="s">
        <v>965</v>
      </c>
      <c r="N113" s="212" t="s">
        <v>1314</v>
      </c>
      <c r="O113" s="212" t="s">
        <v>365</v>
      </c>
      <c r="P113" s="88" t="s">
        <v>752</v>
      </c>
      <c r="Q113" s="215" t="s">
        <v>1300</v>
      </c>
      <c r="R113" s="212" t="s">
        <v>872</v>
      </c>
    </row>
    <row r="114" spans="1:18" x14ac:dyDescent="0.3">
      <c r="A114" s="212" t="s">
        <v>304</v>
      </c>
      <c r="B114" s="212" t="s">
        <v>640</v>
      </c>
      <c r="C114" t="s">
        <v>712</v>
      </c>
      <c r="D114" s="213">
        <v>126800</v>
      </c>
      <c r="E114" s="217">
        <v>101440</v>
      </c>
      <c r="F114" s="217">
        <v>25360</v>
      </c>
      <c r="G114" s="212" t="s">
        <v>1315</v>
      </c>
      <c r="H114" s="87" t="s">
        <v>716</v>
      </c>
      <c r="I114" t="s">
        <v>730</v>
      </c>
      <c r="J114" s="212" t="s">
        <v>1537</v>
      </c>
      <c r="K114">
        <v>500085001</v>
      </c>
      <c r="L114" s="212" t="s">
        <v>1316</v>
      </c>
      <c r="M114" s="212" t="s">
        <v>965</v>
      </c>
      <c r="N114" s="212" t="s">
        <v>1317</v>
      </c>
      <c r="O114" s="212" t="s">
        <v>304</v>
      </c>
      <c r="P114" s="88" t="s">
        <v>752</v>
      </c>
      <c r="Q114" s="215" t="s">
        <v>1300</v>
      </c>
      <c r="R114" s="212" t="s">
        <v>873</v>
      </c>
    </row>
    <row r="115" spans="1:18" x14ac:dyDescent="0.3">
      <c r="A115" s="212" t="s">
        <v>642</v>
      </c>
      <c r="B115" s="212" t="s">
        <v>641</v>
      </c>
      <c r="C115" t="s">
        <v>712</v>
      </c>
      <c r="D115" s="213">
        <v>194000</v>
      </c>
      <c r="E115" s="217">
        <v>155200</v>
      </c>
      <c r="F115" s="217">
        <v>38800</v>
      </c>
      <c r="G115" s="212" t="s">
        <v>1318</v>
      </c>
      <c r="H115" s="87" t="s">
        <v>716</v>
      </c>
      <c r="I115" t="s">
        <v>730</v>
      </c>
      <c r="J115" s="212" t="s">
        <v>1537</v>
      </c>
      <c r="K115">
        <v>500085001</v>
      </c>
      <c r="L115" s="212" t="s">
        <v>1319</v>
      </c>
      <c r="M115" s="212" t="s">
        <v>965</v>
      </c>
      <c r="N115" s="212" t="s">
        <v>1320</v>
      </c>
      <c r="O115" s="212" t="s">
        <v>642</v>
      </c>
      <c r="P115" s="88" t="s">
        <v>752</v>
      </c>
      <c r="Q115" s="215" t="s">
        <v>1300</v>
      </c>
      <c r="R115" s="212" t="s">
        <v>874</v>
      </c>
    </row>
    <row r="116" spans="1:18" x14ac:dyDescent="0.3">
      <c r="A116" s="212" t="s">
        <v>366</v>
      </c>
      <c r="B116" s="212" t="s">
        <v>643</v>
      </c>
      <c r="C116" t="s">
        <v>712</v>
      </c>
      <c r="D116" s="213">
        <v>171600</v>
      </c>
      <c r="E116" s="217">
        <v>137280</v>
      </c>
      <c r="F116" s="217">
        <v>34320</v>
      </c>
      <c r="G116" s="212" t="s">
        <v>1321</v>
      </c>
      <c r="H116" s="87" t="s">
        <v>716</v>
      </c>
      <c r="I116" t="s">
        <v>730</v>
      </c>
      <c r="J116" s="212" t="s">
        <v>1537</v>
      </c>
      <c r="K116">
        <v>500085001</v>
      </c>
      <c r="L116" s="212" t="s">
        <v>960</v>
      </c>
      <c r="M116" s="212" t="s">
        <v>988</v>
      </c>
      <c r="N116" s="212" t="s">
        <v>1322</v>
      </c>
      <c r="O116" s="212" t="s">
        <v>366</v>
      </c>
      <c r="P116" s="88" t="s">
        <v>752</v>
      </c>
      <c r="Q116" s="215" t="s">
        <v>1300</v>
      </c>
      <c r="R116" s="212" t="s">
        <v>875</v>
      </c>
    </row>
    <row r="117" spans="1:18" x14ac:dyDescent="0.3">
      <c r="A117" s="212" t="s">
        <v>367</v>
      </c>
      <c r="B117" s="212" t="s">
        <v>644</v>
      </c>
      <c r="C117" t="s">
        <v>712</v>
      </c>
      <c r="D117" s="213">
        <v>171600</v>
      </c>
      <c r="E117" s="217">
        <v>137280</v>
      </c>
      <c r="F117" s="217">
        <v>34320</v>
      </c>
      <c r="G117" s="212" t="s">
        <v>1323</v>
      </c>
      <c r="H117" s="87" t="s">
        <v>716</v>
      </c>
      <c r="I117" t="s">
        <v>730</v>
      </c>
      <c r="J117" s="212" t="s">
        <v>1537</v>
      </c>
      <c r="K117">
        <v>500085001</v>
      </c>
      <c r="L117" s="212" t="s">
        <v>1324</v>
      </c>
      <c r="M117" s="212" t="s">
        <v>965</v>
      </c>
      <c r="N117" s="212" t="s">
        <v>1325</v>
      </c>
      <c r="O117" s="212" t="s">
        <v>367</v>
      </c>
      <c r="P117" s="88" t="s">
        <v>752</v>
      </c>
      <c r="Q117" s="215" t="s">
        <v>1300</v>
      </c>
      <c r="R117" s="212" t="s">
        <v>876</v>
      </c>
    </row>
    <row r="118" spans="1:18" x14ac:dyDescent="0.3">
      <c r="A118" s="212" t="s">
        <v>368</v>
      </c>
      <c r="B118" s="212" t="s">
        <v>645</v>
      </c>
      <c r="C118" t="s">
        <v>712</v>
      </c>
      <c r="D118" s="213">
        <v>171600</v>
      </c>
      <c r="E118" s="217">
        <v>137280</v>
      </c>
      <c r="F118" s="217">
        <v>34320</v>
      </c>
      <c r="G118" s="212" t="s">
        <v>1326</v>
      </c>
      <c r="H118" s="87" t="s">
        <v>716</v>
      </c>
      <c r="I118" t="s">
        <v>730</v>
      </c>
      <c r="J118" s="212" t="s">
        <v>1537</v>
      </c>
      <c r="K118">
        <v>500085001</v>
      </c>
      <c r="L118" s="212" t="s">
        <v>1327</v>
      </c>
      <c r="M118" s="212" t="s">
        <v>1042</v>
      </c>
      <c r="N118" s="212" t="s">
        <v>1328</v>
      </c>
      <c r="O118" s="212" t="s">
        <v>368</v>
      </c>
      <c r="P118" s="88" t="s">
        <v>752</v>
      </c>
      <c r="Q118" s="215" t="s">
        <v>1300</v>
      </c>
      <c r="R118" s="212" t="s">
        <v>877</v>
      </c>
    </row>
    <row r="119" spans="1:18" x14ac:dyDescent="0.3">
      <c r="A119" s="212" t="s">
        <v>452</v>
      </c>
      <c r="B119" s="212" t="s">
        <v>471</v>
      </c>
      <c r="C119" t="s">
        <v>712</v>
      </c>
      <c r="D119" s="213">
        <v>160400</v>
      </c>
      <c r="E119" s="217">
        <v>128320</v>
      </c>
      <c r="F119" s="217">
        <v>32080</v>
      </c>
      <c r="G119" s="212" t="s">
        <v>1329</v>
      </c>
      <c r="H119" s="87" t="s">
        <v>716</v>
      </c>
      <c r="I119" t="s">
        <v>730</v>
      </c>
      <c r="J119" s="212" t="s">
        <v>1537</v>
      </c>
      <c r="K119">
        <v>500085001</v>
      </c>
      <c r="L119" s="212" t="s">
        <v>1330</v>
      </c>
      <c r="M119" s="212" t="s">
        <v>1053</v>
      </c>
      <c r="N119" s="212" t="s">
        <v>1331</v>
      </c>
      <c r="O119" s="212" t="s">
        <v>452</v>
      </c>
      <c r="P119" s="88" t="s">
        <v>752</v>
      </c>
      <c r="Q119" s="215" t="s">
        <v>1300</v>
      </c>
      <c r="R119" s="212" t="s">
        <v>878</v>
      </c>
    </row>
    <row r="120" spans="1:18" x14ac:dyDescent="0.3">
      <c r="A120" s="212" t="s">
        <v>438</v>
      </c>
      <c r="B120" s="212" t="s">
        <v>457</v>
      </c>
      <c r="C120" t="s">
        <v>712</v>
      </c>
      <c r="D120" s="213">
        <v>171600</v>
      </c>
      <c r="E120" s="217">
        <v>137280</v>
      </c>
      <c r="F120" s="217">
        <v>34320</v>
      </c>
      <c r="G120" s="212" t="s">
        <v>1332</v>
      </c>
      <c r="H120" s="87" t="s">
        <v>716</v>
      </c>
      <c r="I120" t="s">
        <v>730</v>
      </c>
      <c r="J120" s="212" t="s">
        <v>1537</v>
      </c>
      <c r="K120">
        <v>500085001</v>
      </c>
      <c r="L120" s="212" t="s">
        <v>1333</v>
      </c>
      <c r="M120" s="212" t="s">
        <v>1334</v>
      </c>
      <c r="N120" s="212" t="s">
        <v>1335</v>
      </c>
      <c r="O120" s="212" t="s">
        <v>438</v>
      </c>
      <c r="P120" s="88" t="s">
        <v>752</v>
      </c>
      <c r="Q120" s="215" t="s">
        <v>1300</v>
      </c>
      <c r="R120" s="212" t="s">
        <v>879</v>
      </c>
    </row>
    <row r="121" spans="1:18" x14ac:dyDescent="0.3">
      <c r="A121" s="212" t="s">
        <v>436</v>
      </c>
      <c r="B121" s="212" t="s">
        <v>455</v>
      </c>
      <c r="C121" t="s">
        <v>712</v>
      </c>
      <c r="D121" s="213">
        <v>171600</v>
      </c>
      <c r="E121" s="217">
        <v>137280</v>
      </c>
      <c r="F121" s="217">
        <v>34320</v>
      </c>
      <c r="G121" s="212" t="s">
        <v>1336</v>
      </c>
      <c r="H121" s="87" t="s">
        <v>716</v>
      </c>
      <c r="I121" t="s">
        <v>730</v>
      </c>
      <c r="J121" s="212" t="s">
        <v>1537</v>
      </c>
      <c r="K121">
        <v>500085001</v>
      </c>
      <c r="L121" s="212" t="s">
        <v>1337</v>
      </c>
      <c r="M121" s="212" t="s">
        <v>1020</v>
      </c>
      <c r="N121" s="212" t="s">
        <v>1338</v>
      </c>
      <c r="O121" s="212" t="s">
        <v>436</v>
      </c>
      <c r="P121" s="88" t="s">
        <v>752</v>
      </c>
      <c r="Q121" s="215" t="s">
        <v>1300</v>
      </c>
      <c r="R121" s="212" t="s">
        <v>880</v>
      </c>
    </row>
    <row r="122" spans="1:18" x14ac:dyDescent="0.3">
      <c r="A122" s="212" t="s">
        <v>369</v>
      </c>
      <c r="B122" s="212" t="s">
        <v>646</v>
      </c>
      <c r="C122" t="s">
        <v>712</v>
      </c>
      <c r="D122" s="213">
        <v>171600</v>
      </c>
      <c r="E122" s="217">
        <v>137280</v>
      </c>
      <c r="F122" s="217">
        <v>34320</v>
      </c>
      <c r="G122" s="212" t="s">
        <v>1339</v>
      </c>
      <c r="H122" s="87" t="s">
        <v>716</v>
      </c>
      <c r="I122" t="s">
        <v>730</v>
      </c>
      <c r="J122" s="212" t="s">
        <v>1537</v>
      </c>
      <c r="K122">
        <v>500085001</v>
      </c>
      <c r="L122" s="212" t="s">
        <v>1340</v>
      </c>
      <c r="M122" s="212" t="s">
        <v>965</v>
      </c>
      <c r="N122" s="212" t="s">
        <v>1341</v>
      </c>
      <c r="O122" s="212" t="s">
        <v>369</v>
      </c>
      <c r="P122" s="88" t="s">
        <v>752</v>
      </c>
      <c r="Q122" s="215" t="s">
        <v>1300</v>
      </c>
      <c r="R122" s="212" t="s">
        <v>881</v>
      </c>
    </row>
    <row r="123" spans="1:18" x14ac:dyDescent="0.3">
      <c r="A123" s="212" t="s">
        <v>370</v>
      </c>
      <c r="B123" s="212" t="s">
        <v>647</v>
      </c>
      <c r="C123" t="s">
        <v>712</v>
      </c>
      <c r="D123" s="213">
        <v>160400</v>
      </c>
      <c r="E123" s="217">
        <v>128320</v>
      </c>
      <c r="F123" s="217">
        <v>32080</v>
      </c>
      <c r="G123" s="212" t="s">
        <v>1342</v>
      </c>
      <c r="H123" s="87" t="s">
        <v>716</v>
      </c>
      <c r="I123" t="s">
        <v>730</v>
      </c>
      <c r="J123" s="212" t="s">
        <v>1537</v>
      </c>
      <c r="K123">
        <v>500085001</v>
      </c>
      <c r="L123" s="212" t="s">
        <v>1343</v>
      </c>
      <c r="M123" s="212" t="s">
        <v>1063</v>
      </c>
      <c r="N123" s="212" t="s">
        <v>1344</v>
      </c>
      <c r="O123" s="212" t="s">
        <v>370</v>
      </c>
      <c r="P123" s="88" t="s">
        <v>752</v>
      </c>
      <c r="Q123" s="215" t="s">
        <v>1300</v>
      </c>
      <c r="R123" s="212" t="s">
        <v>882</v>
      </c>
    </row>
    <row r="124" spans="1:18" x14ac:dyDescent="0.3">
      <c r="A124" s="212" t="s">
        <v>649</v>
      </c>
      <c r="B124" s="212" t="s">
        <v>648</v>
      </c>
      <c r="C124" t="s">
        <v>712</v>
      </c>
      <c r="D124" s="213">
        <v>194000</v>
      </c>
      <c r="E124" s="217">
        <v>155200</v>
      </c>
      <c r="F124" s="217">
        <v>38800</v>
      </c>
      <c r="G124" s="212" t="s">
        <v>1345</v>
      </c>
      <c r="H124" s="87" t="s">
        <v>716</v>
      </c>
      <c r="I124" t="s">
        <v>730</v>
      </c>
      <c r="J124" s="212" t="s">
        <v>1537</v>
      </c>
      <c r="K124">
        <v>500085001</v>
      </c>
      <c r="L124" s="212" t="s">
        <v>1346</v>
      </c>
      <c r="M124" s="212" t="s">
        <v>1020</v>
      </c>
      <c r="N124" s="212" t="s">
        <v>1347</v>
      </c>
      <c r="O124" s="212" t="s">
        <v>649</v>
      </c>
      <c r="P124" s="88" t="s">
        <v>752</v>
      </c>
      <c r="Q124" s="215" t="s">
        <v>1300</v>
      </c>
      <c r="R124" s="212" t="s">
        <v>883</v>
      </c>
    </row>
    <row r="125" spans="1:18" x14ac:dyDescent="0.3">
      <c r="A125" s="212" t="s">
        <v>371</v>
      </c>
      <c r="B125" s="212" t="s">
        <v>650</v>
      </c>
      <c r="C125" t="s">
        <v>712</v>
      </c>
      <c r="D125" s="213">
        <v>160400</v>
      </c>
      <c r="E125" s="217">
        <v>128320</v>
      </c>
      <c r="F125" s="217">
        <v>32080</v>
      </c>
      <c r="G125" s="212" t="s">
        <v>1348</v>
      </c>
      <c r="H125" s="87" t="s">
        <v>716</v>
      </c>
      <c r="I125" t="s">
        <v>730</v>
      </c>
      <c r="J125" s="212" t="s">
        <v>1537</v>
      </c>
      <c r="K125">
        <v>500085001</v>
      </c>
      <c r="L125" s="212" t="s">
        <v>1072</v>
      </c>
      <c r="M125" s="212" t="s">
        <v>976</v>
      </c>
      <c r="N125" s="212" t="s">
        <v>1349</v>
      </c>
      <c r="O125" s="212" t="s">
        <v>371</v>
      </c>
      <c r="P125" s="88" t="s">
        <v>752</v>
      </c>
      <c r="Q125" s="215" t="s">
        <v>1300</v>
      </c>
      <c r="R125" s="212" t="s">
        <v>884</v>
      </c>
    </row>
    <row r="126" spans="1:18" x14ac:dyDescent="0.3">
      <c r="A126" s="212" t="s">
        <v>372</v>
      </c>
      <c r="B126" s="212" t="s">
        <v>651</v>
      </c>
      <c r="C126" t="s">
        <v>712</v>
      </c>
      <c r="D126" s="213">
        <v>171600</v>
      </c>
      <c r="E126" s="217">
        <v>137280</v>
      </c>
      <c r="F126" s="217">
        <v>34320</v>
      </c>
      <c r="G126" s="212" t="s">
        <v>1350</v>
      </c>
      <c r="H126" s="87" t="s">
        <v>716</v>
      </c>
      <c r="I126" t="s">
        <v>730</v>
      </c>
      <c r="J126" s="212" t="s">
        <v>1537</v>
      </c>
      <c r="K126">
        <v>500085001</v>
      </c>
      <c r="L126" s="212" t="s">
        <v>1088</v>
      </c>
      <c r="M126" s="212" t="s">
        <v>965</v>
      </c>
      <c r="N126" s="212" t="s">
        <v>1351</v>
      </c>
      <c r="O126" s="212" t="s">
        <v>372</v>
      </c>
      <c r="P126" s="88" t="s">
        <v>752</v>
      </c>
      <c r="Q126" s="215" t="s">
        <v>1300</v>
      </c>
      <c r="R126" s="212" t="s">
        <v>885</v>
      </c>
    </row>
    <row r="127" spans="1:18" x14ac:dyDescent="0.3">
      <c r="A127" s="212" t="s">
        <v>374</v>
      </c>
      <c r="B127" s="212" t="s">
        <v>652</v>
      </c>
      <c r="C127" t="s">
        <v>712</v>
      </c>
      <c r="D127" s="213">
        <v>160400</v>
      </c>
      <c r="E127" s="217">
        <v>128320</v>
      </c>
      <c r="F127" s="217">
        <v>32080</v>
      </c>
      <c r="G127" s="212" t="s">
        <v>1352</v>
      </c>
      <c r="H127" s="87" t="s">
        <v>716</v>
      </c>
      <c r="I127" t="s">
        <v>730</v>
      </c>
      <c r="J127" s="212" t="s">
        <v>1537</v>
      </c>
      <c r="K127">
        <v>500085001</v>
      </c>
      <c r="L127" s="212" t="s">
        <v>1353</v>
      </c>
      <c r="M127" s="212" t="s">
        <v>1063</v>
      </c>
      <c r="N127" s="212" t="s">
        <v>1354</v>
      </c>
      <c r="O127" s="212" t="s">
        <v>374</v>
      </c>
      <c r="P127" s="88" t="s">
        <v>752</v>
      </c>
      <c r="Q127" s="215" t="s">
        <v>1300</v>
      </c>
      <c r="R127" s="212" t="s">
        <v>886</v>
      </c>
    </row>
    <row r="128" spans="1:18" x14ac:dyDescent="0.3">
      <c r="A128" s="212" t="s">
        <v>375</v>
      </c>
      <c r="B128" s="212" t="s">
        <v>653</v>
      </c>
      <c r="C128" t="s">
        <v>712</v>
      </c>
      <c r="D128" s="213">
        <v>171600</v>
      </c>
      <c r="E128" s="217">
        <v>137280</v>
      </c>
      <c r="F128" s="217">
        <v>34320</v>
      </c>
      <c r="G128" s="212" t="s">
        <v>1355</v>
      </c>
      <c r="H128" s="87" t="s">
        <v>716</v>
      </c>
      <c r="I128" t="s">
        <v>730</v>
      </c>
      <c r="J128" s="212" t="s">
        <v>1537</v>
      </c>
      <c r="K128">
        <v>500085001</v>
      </c>
      <c r="L128" s="212" t="s">
        <v>1356</v>
      </c>
      <c r="M128" s="212" t="s">
        <v>1053</v>
      </c>
      <c r="N128" s="212" t="s">
        <v>1357</v>
      </c>
      <c r="O128" s="212" t="s">
        <v>375</v>
      </c>
      <c r="P128" s="88" t="s">
        <v>752</v>
      </c>
      <c r="Q128" s="215" t="s">
        <v>1300</v>
      </c>
      <c r="R128" s="212" t="s">
        <v>887</v>
      </c>
    </row>
    <row r="129" spans="1:18" x14ac:dyDescent="0.3">
      <c r="A129" s="212" t="s">
        <v>376</v>
      </c>
      <c r="B129" s="212" t="s">
        <v>654</v>
      </c>
      <c r="C129" t="s">
        <v>712</v>
      </c>
      <c r="D129" s="213">
        <v>171600</v>
      </c>
      <c r="E129" s="217">
        <v>137280</v>
      </c>
      <c r="F129" s="217">
        <v>34320</v>
      </c>
      <c r="G129" s="212" t="s">
        <v>1358</v>
      </c>
      <c r="H129" s="87" t="s">
        <v>716</v>
      </c>
      <c r="I129" t="s">
        <v>730</v>
      </c>
      <c r="J129" s="212" t="s">
        <v>1537</v>
      </c>
      <c r="K129">
        <v>500085001</v>
      </c>
      <c r="L129" s="212" t="s">
        <v>1359</v>
      </c>
      <c r="M129" s="212" t="s">
        <v>1260</v>
      </c>
      <c r="N129" s="212" t="s">
        <v>1360</v>
      </c>
      <c r="O129" s="212" t="s">
        <v>376</v>
      </c>
      <c r="P129" s="88" t="s">
        <v>752</v>
      </c>
      <c r="Q129" s="215" t="s">
        <v>1300</v>
      </c>
      <c r="R129" s="212" t="s">
        <v>888</v>
      </c>
    </row>
    <row r="130" spans="1:18" x14ac:dyDescent="0.3">
      <c r="A130" s="212" t="s">
        <v>656</v>
      </c>
      <c r="B130" s="212" t="s">
        <v>655</v>
      </c>
      <c r="C130" t="s">
        <v>712</v>
      </c>
      <c r="D130" s="213">
        <v>194000</v>
      </c>
      <c r="E130" s="217">
        <v>155200</v>
      </c>
      <c r="F130" s="217">
        <v>38800</v>
      </c>
      <c r="G130" s="212" t="s">
        <v>1361</v>
      </c>
      <c r="H130" s="87" t="s">
        <v>716</v>
      </c>
      <c r="I130" t="s">
        <v>730</v>
      </c>
      <c r="J130" s="212" t="s">
        <v>1537</v>
      </c>
      <c r="K130">
        <v>500085001</v>
      </c>
      <c r="L130" s="212" t="s">
        <v>1362</v>
      </c>
      <c r="M130" s="212" t="s">
        <v>965</v>
      </c>
      <c r="N130" s="212" t="s">
        <v>1363</v>
      </c>
      <c r="O130" s="212" t="s">
        <v>656</v>
      </c>
      <c r="P130" s="88" t="s">
        <v>752</v>
      </c>
      <c r="Q130" s="215" t="s">
        <v>1300</v>
      </c>
      <c r="R130" s="212" t="s">
        <v>889</v>
      </c>
    </row>
    <row r="131" spans="1:18" x14ac:dyDescent="0.3">
      <c r="A131" s="212" t="s">
        <v>658</v>
      </c>
      <c r="B131" s="212" t="s">
        <v>657</v>
      </c>
      <c r="C131" t="s">
        <v>712</v>
      </c>
      <c r="D131" s="213">
        <v>144000</v>
      </c>
      <c r="E131" s="217">
        <v>115200</v>
      </c>
      <c r="F131" s="217">
        <v>28800</v>
      </c>
      <c r="G131" s="212" t="s">
        <v>336</v>
      </c>
      <c r="H131" s="87" t="s">
        <v>720</v>
      </c>
      <c r="I131" s="212" t="s">
        <v>1559</v>
      </c>
      <c r="J131" s="212" t="s">
        <v>1538</v>
      </c>
      <c r="K131">
        <v>500085012</v>
      </c>
      <c r="L131" s="212" t="s">
        <v>1364</v>
      </c>
      <c r="M131" s="212">
        <v>1</v>
      </c>
      <c r="N131" s="212">
        <v>6730</v>
      </c>
      <c r="O131" s="212" t="s">
        <v>1365</v>
      </c>
      <c r="P131" s="88" t="s">
        <v>752</v>
      </c>
      <c r="Q131" s="215" t="s">
        <v>1561</v>
      </c>
      <c r="R131" s="212" t="s">
        <v>890</v>
      </c>
    </row>
    <row r="132" spans="1:18" x14ac:dyDescent="0.3">
      <c r="A132" s="212" t="s">
        <v>660</v>
      </c>
      <c r="B132" s="212" t="s">
        <v>659</v>
      </c>
      <c r="C132" t="s">
        <v>712</v>
      </c>
      <c r="D132" s="213">
        <v>160400</v>
      </c>
      <c r="E132" s="217">
        <v>128320</v>
      </c>
      <c r="F132" s="217">
        <v>32080</v>
      </c>
      <c r="G132" s="212" t="s">
        <v>1366</v>
      </c>
      <c r="H132" s="87" t="s">
        <v>716</v>
      </c>
      <c r="I132" t="s">
        <v>730</v>
      </c>
      <c r="J132" s="212" t="s">
        <v>1537</v>
      </c>
      <c r="K132">
        <v>500085001</v>
      </c>
      <c r="L132" s="212" t="s">
        <v>1367</v>
      </c>
      <c r="M132" s="212" t="s">
        <v>984</v>
      </c>
      <c r="N132" s="212" t="s">
        <v>1368</v>
      </c>
      <c r="O132" s="212" t="s">
        <v>660</v>
      </c>
      <c r="P132" s="88" t="s">
        <v>752</v>
      </c>
      <c r="Q132" s="215" t="s">
        <v>1300</v>
      </c>
      <c r="R132" s="212" t="s">
        <v>891</v>
      </c>
    </row>
    <row r="133" spans="1:18" x14ac:dyDescent="0.3">
      <c r="A133" s="212" t="s">
        <v>377</v>
      </c>
      <c r="B133" s="212" t="s">
        <v>661</v>
      </c>
      <c r="C133" t="s">
        <v>712</v>
      </c>
      <c r="D133" s="213">
        <v>160400</v>
      </c>
      <c r="E133" s="217">
        <v>128320</v>
      </c>
      <c r="F133" s="217">
        <v>32080</v>
      </c>
      <c r="G133" s="212" t="s">
        <v>1369</v>
      </c>
      <c r="H133" s="87" t="s">
        <v>716</v>
      </c>
      <c r="I133" t="s">
        <v>730</v>
      </c>
      <c r="J133" s="212" t="s">
        <v>1537</v>
      </c>
      <c r="K133">
        <v>500085001</v>
      </c>
      <c r="L133" s="212" t="s">
        <v>1370</v>
      </c>
      <c r="M133" s="212" t="s">
        <v>1053</v>
      </c>
      <c r="N133" s="212" t="s">
        <v>1371</v>
      </c>
      <c r="O133" s="212" t="s">
        <v>377</v>
      </c>
      <c r="P133" s="88" t="s">
        <v>752</v>
      </c>
      <c r="Q133" s="215" t="s">
        <v>1300</v>
      </c>
      <c r="R133" s="212" t="s">
        <v>892</v>
      </c>
    </row>
    <row r="134" spans="1:18" x14ac:dyDescent="0.3">
      <c r="A134" s="212" t="s">
        <v>378</v>
      </c>
      <c r="B134" s="212" t="s">
        <v>662</v>
      </c>
      <c r="C134" t="s">
        <v>712</v>
      </c>
      <c r="D134" s="213">
        <v>144000</v>
      </c>
      <c r="E134" s="217">
        <v>115200</v>
      </c>
      <c r="F134" s="217">
        <v>28800</v>
      </c>
      <c r="G134" s="212" t="s">
        <v>736</v>
      </c>
      <c r="H134" s="87" t="s">
        <v>718</v>
      </c>
      <c r="I134" s="212" t="s">
        <v>721</v>
      </c>
      <c r="J134" s="212" t="s">
        <v>1539</v>
      </c>
      <c r="K134">
        <v>500085006</v>
      </c>
      <c r="L134" s="212" t="s">
        <v>1372</v>
      </c>
      <c r="M134" s="212">
        <v>13</v>
      </c>
      <c r="N134" s="212">
        <v>7000</v>
      </c>
      <c r="O134" s="212" t="s">
        <v>363</v>
      </c>
      <c r="P134" s="88" t="s">
        <v>752</v>
      </c>
      <c r="Q134" s="215" t="s">
        <v>1223</v>
      </c>
      <c r="R134" s="212" t="s">
        <v>893</v>
      </c>
    </row>
    <row r="135" spans="1:18" x14ac:dyDescent="0.3">
      <c r="A135" s="212" t="s">
        <v>380</v>
      </c>
      <c r="B135" s="212" t="s">
        <v>663</v>
      </c>
      <c r="C135" t="s">
        <v>712</v>
      </c>
      <c r="D135" s="213">
        <v>432000</v>
      </c>
      <c r="E135" s="217">
        <v>345600</v>
      </c>
      <c r="F135" s="217">
        <v>86400</v>
      </c>
      <c r="G135" s="212" t="s">
        <v>737</v>
      </c>
      <c r="H135" s="87" t="s">
        <v>720</v>
      </c>
      <c r="I135" t="s">
        <v>721</v>
      </c>
      <c r="J135" s="212" t="s">
        <v>1539</v>
      </c>
      <c r="K135">
        <v>500085006</v>
      </c>
      <c r="L135" s="212" t="s">
        <v>1373</v>
      </c>
      <c r="M135" s="212" t="s">
        <v>1374</v>
      </c>
      <c r="N135" s="212">
        <v>4000</v>
      </c>
      <c r="O135" s="212" t="s">
        <v>357</v>
      </c>
      <c r="P135" s="88" t="s">
        <v>752</v>
      </c>
      <c r="Q135" s="215" t="s">
        <v>1223</v>
      </c>
      <c r="R135" s="212" t="s">
        <v>894</v>
      </c>
    </row>
    <row r="136" spans="1:18" x14ac:dyDescent="0.3">
      <c r="A136" s="212" t="s">
        <v>381</v>
      </c>
      <c r="B136" s="212" t="s">
        <v>664</v>
      </c>
      <c r="C136" t="s">
        <v>712</v>
      </c>
      <c r="D136" s="213">
        <v>288000</v>
      </c>
      <c r="E136" s="217">
        <v>230400</v>
      </c>
      <c r="F136" s="217">
        <v>57600</v>
      </c>
      <c r="G136" s="212" t="s">
        <v>738</v>
      </c>
      <c r="H136" s="87" t="s">
        <v>720</v>
      </c>
      <c r="I136" t="s">
        <v>721</v>
      </c>
      <c r="J136" s="212" t="s">
        <v>1539</v>
      </c>
      <c r="K136">
        <v>500085006</v>
      </c>
      <c r="L136" s="212" t="s">
        <v>1375</v>
      </c>
      <c r="M136" s="212">
        <v>1</v>
      </c>
      <c r="N136" s="212">
        <v>6700</v>
      </c>
      <c r="O136" s="212" t="s">
        <v>289</v>
      </c>
      <c r="P136" s="88" t="s">
        <v>752</v>
      </c>
      <c r="Q136" s="215" t="s">
        <v>1223</v>
      </c>
      <c r="R136" s="212" t="s">
        <v>895</v>
      </c>
    </row>
    <row r="137" spans="1:18" x14ac:dyDescent="0.3">
      <c r="A137" s="212" t="s">
        <v>666</v>
      </c>
      <c r="B137" s="212" t="s">
        <v>665</v>
      </c>
      <c r="C137" t="s">
        <v>712</v>
      </c>
      <c r="D137" s="213">
        <v>194000</v>
      </c>
      <c r="E137" s="217">
        <v>155200</v>
      </c>
      <c r="F137" s="217">
        <v>38800</v>
      </c>
      <c r="G137" s="212" t="s">
        <v>1376</v>
      </c>
      <c r="H137" s="87" t="s">
        <v>716</v>
      </c>
      <c r="I137" t="s">
        <v>725</v>
      </c>
      <c r="J137" s="212" t="s">
        <v>1540</v>
      </c>
      <c r="K137">
        <v>500085004</v>
      </c>
      <c r="L137" s="212" t="s">
        <v>1377</v>
      </c>
      <c r="M137" s="212" t="s">
        <v>1213</v>
      </c>
      <c r="N137" s="212" t="s">
        <v>1378</v>
      </c>
      <c r="O137" s="212" t="s">
        <v>666</v>
      </c>
      <c r="P137" s="88" t="s">
        <v>752</v>
      </c>
      <c r="Q137" s="215" t="s">
        <v>1379</v>
      </c>
      <c r="R137" s="212" t="s">
        <v>896</v>
      </c>
    </row>
    <row r="138" spans="1:18" x14ac:dyDescent="0.3">
      <c r="A138" s="212" t="s">
        <v>382</v>
      </c>
      <c r="B138" s="212" t="s">
        <v>667</v>
      </c>
      <c r="C138" t="s">
        <v>712</v>
      </c>
      <c r="D138" s="213">
        <v>171600</v>
      </c>
      <c r="E138" s="217">
        <v>137280</v>
      </c>
      <c r="F138" s="217">
        <v>34320</v>
      </c>
      <c r="G138" s="212" t="s">
        <v>1380</v>
      </c>
      <c r="H138" s="87" t="s">
        <v>716</v>
      </c>
      <c r="I138" t="s">
        <v>725</v>
      </c>
      <c r="J138" s="212" t="s">
        <v>1540</v>
      </c>
      <c r="K138">
        <v>500085004</v>
      </c>
      <c r="L138" s="212" t="s">
        <v>1381</v>
      </c>
      <c r="M138" s="212" t="s">
        <v>1382</v>
      </c>
      <c r="N138" s="212" t="s">
        <v>1383</v>
      </c>
      <c r="O138" s="212" t="s">
        <v>382</v>
      </c>
      <c r="P138" s="88" t="s">
        <v>752</v>
      </c>
      <c r="Q138" s="215" t="s">
        <v>1379</v>
      </c>
      <c r="R138" s="212" t="s">
        <v>897</v>
      </c>
    </row>
    <row r="139" spans="1:18" x14ac:dyDescent="0.3">
      <c r="A139" s="212" t="s">
        <v>328</v>
      </c>
      <c r="B139" s="212" t="s">
        <v>668</v>
      </c>
      <c r="C139" t="s">
        <v>712</v>
      </c>
      <c r="D139" s="213">
        <v>171600</v>
      </c>
      <c r="E139" s="217">
        <v>137280</v>
      </c>
      <c r="F139" s="217">
        <v>34320</v>
      </c>
      <c r="G139" s="212" t="s">
        <v>1384</v>
      </c>
      <c r="H139" s="87" t="s">
        <v>716</v>
      </c>
      <c r="I139" t="s">
        <v>725</v>
      </c>
      <c r="J139" s="212" t="s">
        <v>1540</v>
      </c>
      <c r="K139">
        <v>500085004</v>
      </c>
      <c r="L139" s="212" t="s">
        <v>1385</v>
      </c>
      <c r="M139" s="212" t="s">
        <v>965</v>
      </c>
      <c r="N139" s="212" t="s">
        <v>1386</v>
      </c>
      <c r="O139" s="212" t="s">
        <v>328</v>
      </c>
      <c r="P139" s="88" t="s">
        <v>752</v>
      </c>
      <c r="Q139" s="215" t="s">
        <v>1379</v>
      </c>
      <c r="R139" s="212" t="s">
        <v>898</v>
      </c>
    </row>
    <row r="140" spans="1:18" x14ac:dyDescent="0.3">
      <c r="A140" s="212" t="s">
        <v>383</v>
      </c>
      <c r="B140" s="212" t="s">
        <v>669</v>
      </c>
      <c r="C140" t="s">
        <v>712</v>
      </c>
      <c r="D140" s="213">
        <v>160400</v>
      </c>
      <c r="E140" s="217">
        <v>128320</v>
      </c>
      <c r="F140" s="217">
        <v>32080</v>
      </c>
      <c r="G140" s="212" t="s">
        <v>1387</v>
      </c>
      <c r="H140" s="87" t="s">
        <v>716</v>
      </c>
      <c r="I140" t="s">
        <v>725</v>
      </c>
      <c r="J140" s="212" t="s">
        <v>1540</v>
      </c>
      <c r="K140">
        <v>500085004</v>
      </c>
      <c r="L140" s="212" t="s">
        <v>1388</v>
      </c>
      <c r="M140" s="212" t="s">
        <v>1389</v>
      </c>
      <c r="N140" s="212" t="s">
        <v>1390</v>
      </c>
      <c r="O140" s="212" t="s">
        <v>383</v>
      </c>
      <c r="P140" s="88" t="s">
        <v>752</v>
      </c>
      <c r="Q140" s="215" t="s">
        <v>1379</v>
      </c>
      <c r="R140" s="212" t="s">
        <v>899</v>
      </c>
    </row>
    <row r="141" spans="1:18" x14ac:dyDescent="0.3">
      <c r="A141" s="212" t="s">
        <v>384</v>
      </c>
      <c r="B141" s="212" t="s">
        <v>670</v>
      </c>
      <c r="C141" t="s">
        <v>712</v>
      </c>
      <c r="D141" s="213">
        <v>160400</v>
      </c>
      <c r="E141" s="217">
        <v>128320</v>
      </c>
      <c r="F141" s="217">
        <v>32080</v>
      </c>
      <c r="G141" s="212" t="s">
        <v>1391</v>
      </c>
      <c r="H141" s="87" t="s">
        <v>716</v>
      </c>
      <c r="I141" t="s">
        <v>725</v>
      </c>
      <c r="J141" s="212" t="s">
        <v>1540</v>
      </c>
      <c r="K141">
        <v>500085004</v>
      </c>
      <c r="L141" s="212" t="s">
        <v>1392</v>
      </c>
      <c r="M141" s="212" t="s">
        <v>965</v>
      </c>
      <c r="N141" s="212" t="s">
        <v>1393</v>
      </c>
      <c r="O141" s="212" t="s">
        <v>384</v>
      </c>
      <c r="P141" s="88" t="s">
        <v>752</v>
      </c>
      <c r="Q141" s="215" t="s">
        <v>1379</v>
      </c>
      <c r="R141" s="212" t="s">
        <v>900</v>
      </c>
    </row>
    <row r="142" spans="1:18" x14ac:dyDescent="0.3">
      <c r="A142" s="212" t="s">
        <v>385</v>
      </c>
      <c r="B142" s="212" t="s">
        <v>671</v>
      </c>
      <c r="C142" t="s">
        <v>712</v>
      </c>
      <c r="D142" s="213">
        <v>171600</v>
      </c>
      <c r="E142" s="217">
        <v>137280</v>
      </c>
      <c r="F142" s="217">
        <v>34320</v>
      </c>
      <c r="G142" s="212" t="s">
        <v>1394</v>
      </c>
      <c r="H142" s="87" t="s">
        <v>716</v>
      </c>
      <c r="I142" t="s">
        <v>725</v>
      </c>
      <c r="J142" s="212" t="s">
        <v>1540</v>
      </c>
      <c r="K142">
        <v>500085004</v>
      </c>
      <c r="L142" s="212" t="s">
        <v>1395</v>
      </c>
      <c r="M142" s="212" t="s">
        <v>1396</v>
      </c>
      <c r="N142" s="212" t="s">
        <v>1397</v>
      </c>
      <c r="O142" s="212" t="s">
        <v>385</v>
      </c>
      <c r="P142" s="88" t="s">
        <v>752</v>
      </c>
      <c r="Q142" s="215" t="s">
        <v>1379</v>
      </c>
      <c r="R142" s="212" t="s">
        <v>901</v>
      </c>
    </row>
    <row r="143" spans="1:18" x14ac:dyDescent="0.3">
      <c r="A143" s="212" t="s">
        <v>386</v>
      </c>
      <c r="B143" s="212" t="s">
        <v>672</v>
      </c>
      <c r="C143" t="s">
        <v>712</v>
      </c>
      <c r="D143" s="213">
        <v>171600</v>
      </c>
      <c r="E143" s="217">
        <v>137280</v>
      </c>
      <c r="F143" s="217">
        <v>34320</v>
      </c>
      <c r="G143" s="212" t="s">
        <v>1398</v>
      </c>
      <c r="H143" s="87" t="s">
        <v>716</v>
      </c>
      <c r="I143" t="s">
        <v>725</v>
      </c>
      <c r="J143" s="212" t="s">
        <v>1540</v>
      </c>
      <c r="K143">
        <v>500085004</v>
      </c>
      <c r="L143" s="212" t="s">
        <v>1399</v>
      </c>
      <c r="M143" s="212" t="s">
        <v>965</v>
      </c>
      <c r="N143" s="212" t="s">
        <v>1400</v>
      </c>
      <c r="O143" s="212" t="s">
        <v>386</v>
      </c>
      <c r="P143" s="88" t="s">
        <v>752</v>
      </c>
      <c r="Q143" s="215" t="s">
        <v>1379</v>
      </c>
      <c r="R143" s="212" t="s">
        <v>902</v>
      </c>
    </row>
    <row r="144" spans="1:18" x14ac:dyDescent="0.3">
      <c r="A144" s="212" t="s">
        <v>674</v>
      </c>
      <c r="B144" s="212" t="s">
        <v>673</v>
      </c>
      <c r="C144" t="s">
        <v>712</v>
      </c>
      <c r="D144" s="213">
        <v>194000</v>
      </c>
      <c r="E144" s="217">
        <v>155200</v>
      </c>
      <c r="F144" s="217">
        <v>38800</v>
      </c>
      <c r="G144" s="212" t="s">
        <v>1401</v>
      </c>
      <c r="H144" s="87" t="s">
        <v>716</v>
      </c>
      <c r="I144" t="s">
        <v>725</v>
      </c>
      <c r="J144" s="212" t="s">
        <v>1540</v>
      </c>
      <c r="K144">
        <v>500085004</v>
      </c>
      <c r="L144" s="212" t="s">
        <v>1402</v>
      </c>
      <c r="M144" s="212" t="s">
        <v>1232</v>
      </c>
      <c r="N144" s="212" t="s">
        <v>1403</v>
      </c>
      <c r="O144" s="212" t="s">
        <v>674</v>
      </c>
      <c r="P144" s="88" t="s">
        <v>752</v>
      </c>
      <c r="Q144" s="215" t="s">
        <v>1379</v>
      </c>
      <c r="R144" s="212" t="s">
        <v>903</v>
      </c>
    </row>
    <row r="145" spans="1:18" x14ac:dyDescent="0.3">
      <c r="A145" s="212" t="s">
        <v>387</v>
      </c>
      <c r="B145" s="212" t="s">
        <v>675</v>
      </c>
      <c r="C145" t="s">
        <v>712</v>
      </c>
      <c r="D145" s="213">
        <v>171600</v>
      </c>
      <c r="E145" s="217">
        <v>137280</v>
      </c>
      <c r="F145" s="217">
        <v>34320</v>
      </c>
      <c r="G145" s="212" t="s">
        <v>1404</v>
      </c>
      <c r="H145" s="87" t="s">
        <v>716</v>
      </c>
      <c r="I145" t="s">
        <v>725</v>
      </c>
      <c r="J145" s="212" t="s">
        <v>1540</v>
      </c>
      <c r="K145">
        <v>500085004</v>
      </c>
      <c r="L145" s="212" t="s">
        <v>1405</v>
      </c>
      <c r="M145" s="212" t="s">
        <v>1042</v>
      </c>
      <c r="N145" s="212" t="s">
        <v>1406</v>
      </c>
      <c r="O145" s="212" t="s">
        <v>387</v>
      </c>
      <c r="P145" s="88" t="s">
        <v>752</v>
      </c>
      <c r="Q145" s="215" t="s">
        <v>1379</v>
      </c>
      <c r="R145" s="212" t="s">
        <v>904</v>
      </c>
    </row>
    <row r="146" spans="1:18" x14ac:dyDescent="0.3">
      <c r="A146" s="212" t="s">
        <v>435</v>
      </c>
      <c r="B146" s="212" t="s">
        <v>454</v>
      </c>
      <c r="C146" t="s">
        <v>712</v>
      </c>
      <c r="D146" s="213">
        <v>194000</v>
      </c>
      <c r="E146" s="217">
        <v>155200</v>
      </c>
      <c r="F146" s="217">
        <v>38800</v>
      </c>
      <c r="G146" s="212" t="s">
        <v>1407</v>
      </c>
      <c r="H146" s="87" t="s">
        <v>716</v>
      </c>
      <c r="I146" t="s">
        <v>725</v>
      </c>
      <c r="J146" s="212" t="s">
        <v>1540</v>
      </c>
      <c r="K146">
        <v>500085004</v>
      </c>
      <c r="L146" s="212" t="s">
        <v>1247</v>
      </c>
      <c r="M146" s="212" t="s">
        <v>965</v>
      </c>
      <c r="N146" s="212" t="s">
        <v>1408</v>
      </c>
      <c r="O146" s="212" t="s">
        <v>435</v>
      </c>
      <c r="P146" s="88" t="s">
        <v>752</v>
      </c>
      <c r="Q146" s="215" t="s">
        <v>1379</v>
      </c>
      <c r="R146" s="212" t="s">
        <v>905</v>
      </c>
    </row>
    <row r="147" spans="1:18" x14ac:dyDescent="0.3">
      <c r="A147" s="212" t="s">
        <v>388</v>
      </c>
      <c r="B147" s="212" t="s">
        <v>676</v>
      </c>
      <c r="C147" t="s">
        <v>712</v>
      </c>
      <c r="D147" s="213">
        <v>194000</v>
      </c>
      <c r="E147" s="217">
        <v>155200</v>
      </c>
      <c r="F147" s="217">
        <v>38800</v>
      </c>
      <c r="G147" s="212" t="s">
        <v>1409</v>
      </c>
      <c r="H147" s="87" t="s">
        <v>716</v>
      </c>
      <c r="I147" t="s">
        <v>725</v>
      </c>
      <c r="J147" s="212" t="s">
        <v>1540</v>
      </c>
      <c r="K147">
        <v>500085004</v>
      </c>
      <c r="L147" s="212" t="s">
        <v>1410</v>
      </c>
      <c r="M147" s="212" t="s">
        <v>965</v>
      </c>
      <c r="N147" s="212" t="s">
        <v>1411</v>
      </c>
      <c r="O147" s="212" t="s">
        <v>388</v>
      </c>
      <c r="P147" s="88" t="s">
        <v>752</v>
      </c>
      <c r="Q147" s="215" t="s">
        <v>1379</v>
      </c>
      <c r="R147" s="212" t="s">
        <v>906</v>
      </c>
    </row>
    <row r="148" spans="1:18" x14ac:dyDescent="0.3">
      <c r="A148" s="212" t="s">
        <v>448</v>
      </c>
      <c r="B148" s="212" t="s">
        <v>467</v>
      </c>
      <c r="C148" t="s">
        <v>712</v>
      </c>
      <c r="D148" s="213">
        <v>194000</v>
      </c>
      <c r="E148" s="217">
        <v>155200</v>
      </c>
      <c r="F148" s="217">
        <v>38800</v>
      </c>
      <c r="G148" s="212" t="s">
        <v>1412</v>
      </c>
      <c r="H148" s="87" t="s">
        <v>716</v>
      </c>
      <c r="I148" t="s">
        <v>725</v>
      </c>
      <c r="J148" s="212" t="s">
        <v>1540</v>
      </c>
      <c r="K148">
        <v>500085004</v>
      </c>
      <c r="L148" s="212" t="s">
        <v>1413</v>
      </c>
      <c r="M148" s="212" t="s">
        <v>957</v>
      </c>
      <c r="N148" s="212" t="s">
        <v>1414</v>
      </c>
      <c r="O148" s="212" t="s">
        <v>448</v>
      </c>
      <c r="P148" s="88" t="s">
        <v>752</v>
      </c>
      <c r="Q148" s="215" t="s">
        <v>1379</v>
      </c>
      <c r="R148" s="212" t="s">
        <v>907</v>
      </c>
    </row>
    <row r="149" spans="1:18" x14ac:dyDescent="0.3">
      <c r="A149" s="212" t="s">
        <v>389</v>
      </c>
      <c r="B149" s="212" t="s">
        <v>677</v>
      </c>
      <c r="C149" t="s">
        <v>712</v>
      </c>
      <c r="D149" s="213">
        <v>126800</v>
      </c>
      <c r="E149" s="217">
        <v>101440</v>
      </c>
      <c r="F149" s="217">
        <v>25360</v>
      </c>
      <c r="G149" s="212" t="s">
        <v>1415</v>
      </c>
      <c r="H149" s="87" t="s">
        <v>716</v>
      </c>
      <c r="I149" t="s">
        <v>725</v>
      </c>
      <c r="J149" s="212" t="s">
        <v>1540</v>
      </c>
      <c r="K149">
        <v>500085004</v>
      </c>
      <c r="L149" s="212" t="s">
        <v>960</v>
      </c>
      <c r="M149" s="212" t="s">
        <v>988</v>
      </c>
      <c r="N149" s="212" t="s">
        <v>1416</v>
      </c>
      <c r="O149" s="212" t="s">
        <v>389</v>
      </c>
      <c r="P149" s="88" t="s">
        <v>752</v>
      </c>
      <c r="Q149" s="215" t="s">
        <v>1379</v>
      </c>
      <c r="R149" s="212" t="s">
        <v>908</v>
      </c>
    </row>
    <row r="150" spans="1:18" x14ac:dyDescent="0.3">
      <c r="A150" s="212" t="s">
        <v>390</v>
      </c>
      <c r="B150" s="212" t="s">
        <v>678</v>
      </c>
      <c r="C150" t="s">
        <v>712</v>
      </c>
      <c r="D150" s="213">
        <v>171600</v>
      </c>
      <c r="E150" s="217">
        <v>137280</v>
      </c>
      <c r="F150" s="217">
        <v>34320</v>
      </c>
      <c r="G150" s="212" t="s">
        <v>1417</v>
      </c>
      <c r="H150" s="87" t="s">
        <v>716</v>
      </c>
      <c r="I150" t="s">
        <v>725</v>
      </c>
      <c r="J150" s="212" t="s">
        <v>1540</v>
      </c>
      <c r="K150">
        <v>500085004</v>
      </c>
      <c r="L150" s="212" t="s">
        <v>1081</v>
      </c>
      <c r="M150" s="212" t="s">
        <v>1053</v>
      </c>
      <c r="N150" s="212" t="s">
        <v>1418</v>
      </c>
      <c r="O150" s="212" t="s">
        <v>390</v>
      </c>
      <c r="P150" s="88" t="s">
        <v>752</v>
      </c>
      <c r="Q150" s="215" t="s">
        <v>1379</v>
      </c>
      <c r="R150" s="212" t="s">
        <v>909</v>
      </c>
    </row>
    <row r="151" spans="1:18" x14ac:dyDescent="0.3">
      <c r="A151" s="212" t="s">
        <v>443</v>
      </c>
      <c r="B151" s="212" t="s">
        <v>462</v>
      </c>
      <c r="C151" t="s">
        <v>712</v>
      </c>
      <c r="D151" s="213">
        <v>160400</v>
      </c>
      <c r="E151" s="217">
        <v>128320</v>
      </c>
      <c r="F151" s="217">
        <v>32080</v>
      </c>
      <c r="G151" s="212" t="s">
        <v>1419</v>
      </c>
      <c r="H151" s="87" t="s">
        <v>716</v>
      </c>
      <c r="I151" t="s">
        <v>725</v>
      </c>
      <c r="J151" s="212" t="s">
        <v>1540</v>
      </c>
      <c r="K151">
        <v>500085004</v>
      </c>
      <c r="L151" s="212" t="s">
        <v>1420</v>
      </c>
      <c r="M151" s="212" t="s">
        <v>1421</v>
      </c>
      <c r="N151" s="212" t="s">
        <v>1422</v>
      </c>
      <c r="O151" s="212" t="s">
        <v>443</v>
      </c>
      <c r="P151" s="88" t="s">
        <v>752</v>
      </c>
      <c r="Q151" s="215" t="s">
        <v>1379</v>
      </c>
      <c r="R151" s="212" t="s">
        <v>910</v>
      </c>
    </row>
    <row r="152" spans="1:18" x14ac:dyDescent="0.3">
      <c r="A152" s="212" t="s">
        <v>680</v>
      </c>
      <c r="B152" s="212" t="s">
        <v>679</v>
      </c>
      <c r="C152" t="s">
        <v>712</v>
      </c>
      <c r="D152" s="213">
        <v>194000</v>
      </c>
      <c r="E152" s="217">
        <v>155200</v>
      </c>
      <c r="F152" s="217">
        <v>38800</v>
      </c>
      <c r="G152" s="212" t="s">
        <v>1423</v>
      </c>
      <c r="H152" s="87" t="s">
        <v>716</v>
      </c>
      <c r="I152" t="s">
        <v>725</v>
      </c>
      <c r="J152" s="212" t="s">
        <v>1540</v>
      </c>
      <c r="K152">
        <v>500085004</v>
      </c>
      <c r="L152" s="212" t="s">
        <v>1424</v>
      </c>
      <c r="M152" s="212" t="s">
        <v>953</v>
      </c>
      <c r="N152" s="212" t="s">
        <v>1425</v>
      </c>
      <c r="O152" s="212" t="s">
        <v>680</v>
      </c>
      <c r="P152" s="88" t="s">
        <v>752</v>
      </c>
      <c r="Q152" s="215" t="s">
        <v>1379</v>
      </c>
      <c r="R152" s="212" t="s">
        <v>911</v>
      </c>
    </row>
    <row r="153" spans="1:18" x14ac:dyDescent="0.3">
      <c r="A153" s="212" t="s">
        <v>391</v>
      </c>
      <c r="B153" s="212" t="s">
        <v>681</v>
      </c>
      <c r="C153" t="s">
        <v>712</v>
      </c>
      <c r="D153" s="213">
        <v>171600</v>
      </c>
      <c r="E153" s="217">
        <v>137280</v>
      </c>
      <c r="F153" s="217">
        <v>34320</v>
      </c>
      <c r="G153" s="212" t="s">
        <v>1426</v>
      </c>
      <c r="H153" s="87" t="s">
        <v>716</v>
      </c>
      <c r="I153" t="s">
        <v>725</v>
      </c>
      <c r="J153" s="212" t="s">
        <v>1540</v>
      </c>
      <c r="K153">
        <v>500085004</v>
      </c>
      <c r="L153" s="212" t="s">
        <v>1427</v>
      </c>
      <c r="M153" s="212" t="s">
        <v>965</v>
      </c>
      <c r="N153" s="212" t="s">
        <v>1428</v>
      </c>
      <c r="O153" s="212" t="s">
        <v>391</v>
      </c>
      <c r="P153" s="88" t="s">
        <v>752</v>
      </c>
      <c r="Q153" s="215" t="s">
        <v>1379</v>
      </c>
      <c r="R153" s="212" t="s">
        <v>912</v>
      </c>
    </row>
    <row r="154" spans="1:18" x14ac:dyDescent="0.3">
      <c r="A154" s="212" t="s">
        <v>392</v>
      </c>
      <c r="B154" s="212" t="s">
        <v>682</v>
      </c>
      <c r="C154" t="s">
        <v>712</v>
      </c>
      <c r="D154" s="213">
        <v>160400</v>
      </c>
      <c r="E154" s="217">
        <v>128320</v>
      </c>
      <c r="F154" s="217">
        <v>32080</v>
      </c>
      <c r="G154" s="212" t="s">
        <v>1429</v>
      </c>
      <c r="H154" s="87" t="s">
        <v>716</v>
      </c>
      <c r="I154" t="s">
        <v>725</v>
      </c>
      <c r="J154" s="212" t="s">
        <v>1540</v>
      </c>
      <c r="K154">
        <v>500085004</v>
      </c>
      <c r="L154" s="212" t="s">
        <v>1430</v>
      </c>
      <c r="M154" s="212" t="s">
        <v>1013</v>
      </c>
      <c r="N154" s="212" t="s">
        <v>1431</v>
      </c>
      <c r="O154" s="212" t="s">
        <v>392</v>
      </c>
      <c r="P154" s="88" t="s">
        <v>752</v>
      </c>
      <c r="Q154" s="215" t="s">
        <v>1379</v>
      </c>
      <c r="R154" s="212" t="s">
        <v>913</v>
      </c>
    </row>
    <row r="155" spans="1:18" x14ac:dyDescent="0.3">
      <c r="A155" s="212" t="s">
        <v>393</v>
      </c>
      <c r="B155" s="212" t="s">
        <v>683</v>
      </c>
      <c r="C155" t="s">
        <v>712</v>
      </c>
      <c r="D155" s="213">
        <v>171600</v>
      </c>
      <c r="E155" s="217">
        <v>137280</v>
      </c>
      <c r="F155" s="217">
        <v>34320</v>
      </c>
      <c r="G155" s="212" t="s">
        <v>1432</v>
      </c>
      <c r="H155" s="87" t="s">
        <v>716</v>
      </c>
      <c r="I155" t="s">
        <v>725</v>
      </c>
      <c r="J155" s="212" t="s">
        <v>1540</v>
      </c>
      <c r="K155">
        <v>500085004</v>
      </c>
      <c r="L155" s="212" t="s">
        <v>1433</v>
      </c>
      <c r="M155" s="212" t="s">
        <v>1434</v>
      </c>
      <c r="N155" s="212" t="s">
        <v>1435</v>
      </c>
      <c r="O155" s="212" t="s">
        <v>393</v>
      </c>
      <c r="P155" s="88" t="s">
        <v>752</v>
      </c>
      <c r="Q155" s="215" t="s">
        <v>1379</v>
      </c>
      <c r="R155" s="212" t="s">
        <v>914</v>
      </c>
    </row>
    <row r="156" spans="1:18" x14ac:dyDescent="0.3">
      <c r="A156" s="212" t="s">
        <v>394</v>
      </c>
      <c r="B156" s="212" t="s">
        <v>684</v>
      </c>
      <c r="C156" t="s">
        <v>712</v>
      </c>
      <c r="D156" s="213">
        <v>160400</v>
      </c>
      <c r="E156" s="217">
        <v>128320</v>
      </c>
      <c r="F156" s="217">
        <v>32080</v>
      </c>
      <c r="G156" s="212" t="s">
        <v>1436</v>
      </c>
      <c r="H156" s="87" t="s">
        <v>716</v>
      </c>
      <c r="I156" t="s">
        <v>725</v>
      </c>
      <c r="J156" s="212" t="s">
        <v>1540</v>
      </c>
      <c r="K156">
        <v>500085004</v>
      </c>
      <c r="L156" s="212" t="s">
        <v>1062</v>
      </c>
      <c r="M156" s="212" t="s">
        <v>965</v>
      </c>
      <c r="N156" s="212" t="s">
        <v>1437</v>
      </c>
      <c r="O156" s="212" t="s">
        <v>394</v>
      </c>
      <c r="P156" s="88" t="s">
        <v>752</v>
      </c>
      <c r="Q156" s="215" t="s">
        <v>1379</v>
      </c>
      <c r="R156" s="212" t="s">
        <v>915</v>
      </c>
    </row>
    <row r="157" spans="1:18" x14ac:dyDescent="0.3">
      <c r="A157" s="212" t="s">
        <v>395</v>
      </c>
      <c r="B157" s="212" t="s">
        <v>685</v>
      </c>
      <c r="C157" t="s">
        <v>712</v>
      </c>
      <c r="D157" s="213">
        <v>171600</v>
      </c>
      <c r="E157" s="217">
        <v>137280</v>
      </c>
      <c r="F157" s="217">
        <v>34320</v>
      </c>
      <c r="G157" s="212" t="s">
        <v>1438</v>
      </c>
      <c r="H157" s="87" t="s">
        <v>716</v>
      </c>
      <c r="I157" t="s">
        <v>725</v>
      </c>
      <c r="J157" s="212" t="s">
        <v>1540</v>
      </c>
      <c r="K157">
        <v>500085004</v>
      </c>
      <c r="L157" s="212" t="s">
        <v>1439</v>
      </c>
      <c r="M157" s="212" t="s">
        <v>1421</v>
      </c>
      <c r="N157" s="212" t="s">
        <v>1440</v>
      </c>
      <c r="O157" s="212" t="s">
        <v>395</v>
      </c>
      <c r="P157" s="88" t="s">
        <v>752</v>
      </c>
      <c r="Q157" s="215" t="s">
        <v>1379</v>
      </c>
      <c r="R157" s="212" t="s">
        <v>916</v>
      </c>
    </row>
    <row r="158" spans="1:18" x14ac:dyDescent="0.3">
      <c r="A158" s="212" t="s">
        <v>396</v>
      </c>
      <c r="B158" s="212" t="s">
        <v>686</v>
      </c>
      <c r="C158" t="s">
        <v>712</v>
      </c>
      <c r="D158" s="213">
        <v>171600</v>
      </c>
      <c r="E158" s="217">
        <v>137280</v>
      </c>
      <c r="F158" s="217">
        <v>34320</v>
      </c>
      <c r="G158" s="212" t="s">
        <v>1441</v>
      </c>
      <c r="H158" s="87" t="s">
        <v>716</v>
      </c>
      <c r="I158" t="s">
        <v>725</v>
      </c>
      <c r="J158" s="212" t="s">
        <v>1540</v>
      </c>
      <c r="K158">
        <v>500085004</v>
      </c>
      <c r="L158" s="212" t="s">
        <v>1442</v>
      </c>
      <c r="M158" s="212" t="s">
        <v>1396</v>
      </c>
      <c r="N158" s="212" t="s">
        <v>1443</v>
      </c>
      <c r="O158" s="212" t="s">
        <v>396</v>
      </c>
      <c r="P158" s="88" t="s">
        <v>752</v>
      </c>
      <c r="Q158" s="215" t="s">
        <v>1379</v>
      </c>
      <c r="R158" s="212" t="s">
        <v>917</v>
      </c>
    </row>
    <row r="159" spans="1:18" x14ac:dyDescent="0.3">
      <c r="A159" s="212" t="s">
        <v>688</v>
      </c>
      <c r="B159" s="212" t="s">
        <v>687</v>
      </c>
      <c r="C159" t="s">
        <v>712</v>
      </c>
      <c r="D159" s="213">
        <v>194000</v>
      </c>
      <c r="E159" s="217">
        <v>155200</v>
      </c>
      <c r="F159" s="217">
        <v>38800</v>
      </c>
      <c r="G159" s="212" t="s">
        <v>1444</v>
      </c>
      <c r="H159" s="87" t="s">
        <v>716</v>
      </c>
      <c r="I159" t="s">
        <v>725</v>
      </c>
      <c r="J159" s="212" t="s">
        <v>1540</v>
      </c>
      <c r="K159">
        <v>500085004</v>
      </c>
      <c r="L159" s="212" t="s">
        <v>1445</v>
      </c>
      <c r="M159" s="212" t="s">
        <v>965</v>
      </c>
      <c r="N159" s="212" t="s">
        <v>1446</v>
      </c>
      <c r="O159" s="212" t="s">
        <v>688</v>
      </c>
      <c r="P159" s="88" t="s">
        <v>752</v>
      </c>
      <c r="Q159" s="215" t="s">
        <v>1379</v>
      </c>
      <c r="R159" s="212" t="s">
        <v>918</v>
      </c>
    </row>
    <row r="160" spans="1:18" x14ac:dyDescent="0.3">
      <c r="A160" s="212" t="s">
        <v>690</v>
      </c>
      <c r="B160" s="212" t="s">
        <v>689</v>
      </c>
      <c r="C160" t="s">
        <v>712</v>
      </c>
      <c r="D160" s="213">
        <v>194000</v>
      </c>
      <c r="E160" s="217">
        <v>155200</v>
      </c>
      <c r="F160" s="217">
        <v>38800</v>
      </c>
      <c r="G160" s="212" t="s">
        <v>1447</v>
      </c>
      <c r="H160" s="87" t="s">
        <v>716</v>
      </c>
      <c r="I160" t="s">
        <v>725</v>
      </c>
      <c r="J160" s="212" t="s">
        <v>1540</v>
      </c>
      <c r="K160">
        <v>500085004</v>
      </c>
      <c r="L160" s="212" t="s">
        <v>1448</v>
      </c>
      <c r="M160" s="212" t="s">
        <v>1053</v>
      </c>
      <c r="N160" s="212" t="s">
        <v>1449</v>
      </c>
      <c r="O160" s="212" t="s">
        <v>690</v>
      </c>
      <c r="P160" s="88" t="s">
        <v>752</v>
      </c>
      <c r="Q160" s="215" t="s">
        <v>1379</v>
      </c>
      <c r="R160" s="212" t="s">
        <v>919</v>
      </c>
    </row>
    <row r="161" spans="1:18" x14ac:dyDescent="0.3">
      <c r="A161" s="212" t="s">
        <v>441</v>
      </c>
      <c r="B161" s="212" t="s">
        <v>460</v>
      </c>
      <c r="C161" t="s">
        <v>712</v>
      </c>
      <c r="D161" s="213">
        <v>160400</v>
      </c>
      <c r="E161" s="217">
        <v>128320</v>
      </c>
      <c r="F161" s="217">
        <v>32080</v>
      </c>
      <c r="G161" s="212" t="s">
        <v>1450</v>
      </c>
      <c r="H161" s="87" t="s">
        <v>716</v>
      </c>
      <c r="I161" t="s">
        <v>725</v>
      </c>
      <c r="J161" s="212" t="s">
        <v>1540</v>
      </c>
      <c r="K161">
        <v>500085004</v>
      </c>
      <c r="L161" s="212" t="s">
        <v>1451</v>
      </c>
      <c r="M161" s="212" t="s">
        <v>1452</v>
      </c>
      <c r="N161" s="212" t="s">
        <v>1453</v>
      </c>
      <c r="O161" s="212" t="s">
        <v>441</v>
      </c>
      <c r="P161" s="88" t="s">
        <v>752</v>
      </c>
      <c r="Q161" s="215" t="s">
        <v>1379</v>
      </c>
      <c r="R161" s="212" t="s">
        <v>920</v>
      </c>
    </row>
    <row r="162" spans="1:18" x14ac:dyDescent="0.3">
      <c r="A162" s="212" t="s">
        <v>692</v>
      </c>
      <c r="B162" s="212" t="s">
        <v>691</v>
      </c>
      <c r="C162" t="s">
        <v>712</v>
      </c>
      <c r="D162" s="213">
        <v>194000</v>
      </c>
      <c r="E162" s="217">
        <v>155200</v>
      </c>
      <c r="F162" s="217">
        <v>38800</v>
      </c>
      <c r="G162" s="212" t="s">
        <v>1454</v>
      </c>
      <c r="H162" s="87" t="s">
        <v>716</v>
      </c>
      <c r="I162" t="s">
        <v>726</v>
      </c>
      <c r="J162" s="212" t="s">
        <v>1541</v>
      </c>
      <c r="K162">
        <v>500085008</v>
      </c>
      <c r="L162" s="212" t="s">
        <v>1062</v>
      </c>
      <c r="M162" s="212" t="s">
        <v>1455</v>
      </c>
      <c r="N162" s="212" t="s">
        <v>1456</v>
      </c>
      <c r="O162" s="212" t="s">
        <v>692</v>
      </c>
      <c r="P162" s="88" t="s">
        <v>752</v>
      </c>
      <c r="Q162" s="215" t="s">
        <v>1457</v>
      </c>
      <c r="R162" s="212" t="s">
        <v>921</v>
      </c>
    </row>
    <row r="163" spans="1:18" x14ac:dyDescent="0.3">
      <c r="A163" s="212" t="s">
        <v>397</v>
      </c>
      <c r="B163" s="212" t="s">
        <v>693</v>
      </c>
      <c r="C163" t="s">
        <v>712</v>
      </c>
      <c r="D163" s="213">
        <v>171600</v>
      </c>
      <c r="E163" s="217">
        <v>137280</v>
      </c>
      <c r="F163" s="217">
        <v>34320</v>
      </c>
      <c r="G163" s="212" t="s">
        <v>1458</v>
      </c>
      <c r="H163" s="87" t="s">
        <v>716</v>
      </c>
      <c r="I163" t="s">
        <v>726</v>
      </c>
      <c r="J163" s="212" t="s">
        <v>1541</v>
      </c>
      <c r="K163">
        <v>500085008</v>
      </c>
      <c r="L163" s="212" t="s">
        <v>1459</v>
      </c>
      <c r="M163" s="212" t="s">
        <v>949</v>
      </c>
      <c r="N163" s="212" t="s">
        <v>1460</v>
      </c>
      <c r="O163" s="212" t="s">
        <v>397</v>
      </c>
      <c r="P163" s="88" t="s">
        <v>752</v>
      </c>
      <c r="Q163" s="215" t="s">
        <v>1457</v>
      </c>
      <c r="R163" s="212" t="s">
        <v>922</v>
      </c>
    </row>
    <row r="164" spans="1:18" x14ac:dyDescent="0.3">
      <c r="A164" s="212" t="s">
        <v>434</v>
      </c>
      <c r="B164" s="212" t="s">
        <v>453</v>
      </c>
      <c r="C164" t="s">
        <v>712</v>
      </c>
      <c r="D164" s="213">
        <v>171600</v>
      </c>
      <c r="E164" s="217">
        <v>137280</v>
      </c>
      <c r="F164" s="217">
        <v>34320</v>
      </c>
      <c r="G164" s="212" t="s">
        <v>1461</v>
      </c>
      <c r="H164" s="87" t="s">
        <v>716</v>
      </c>
      <c r="I164" t="s">
        <v>726</v>
      </c>
      <c r="J164" s="212" t="s">
        <v>1541</v>
      </c>
      <c r="K164">
        <v>500085008</v>
      </c>
      <c r="L164" s="212" t="s">
        <v>1462</v>
      </c>
      <c r="M164" s="212" t="s">
        <v>1452</v>
      </c>
      <c r="N164" s="212" t="s">
        <v>1463</v>
      </c>
      <c r="O164" s="212" t="s">
        <v>434</v>
      </c>
      <c r="P164" s="88" t="s">
        <v>752</v>
      </c>
      <c r="Q164" s="215" t="s">
        <v>1457</v>
      </c>
      <c r="R164" s="212" t="s">
        <v>923</v>
      </c>
    </row>
    <row r="165" spans="1:18" x14ac:dyDescent="0.3">
      <c r="A165" s="212" t="s">
        <v>398</v>
      </c>
      <c r="B165" s="212" t="s">
        <v>694</v>
      </c>
      <c r="C165" t="s">
        <v>712</v>
      </c>
      <c r="D165" s="213">
        <v>194000</v>
      </c>
      <c r="E165" s="217">
        <v>155200</v>
      </c>
      <c r="F165" s="217">
        <v>38800</v>
      </c>
      <c r="G165" s="212" t="s">
        <v>1464</v>
      </c>
      <c r="H165" s="87" t="s">
        <v>716</v>
      </c>
      <c r="I165" t="s">
        <v>726</v>
      </c>
      <c r="J165" s="212" t="s">
        <v>1541</v>
      </c>
      <c r="K165">
        <v>500085008</v>
      </c>
      <c r="L165" s="212" t="s">
        <v>1465</v>
      </c>
      <c r="M165" s="212" t="s">
        <v>1421</v>
      </c>
      <c r="N165" s="212" t="s">
        <v>1466</v>
      </c>
      <c r="O165" s="212" t="s">
        <v>398</v>
      </c>
      <c r="P165" s="88" t="s">
        <v>752</v>
      </c>
      <c r="Q165" s="215" t="s">
        <v>1457</v>
      </c>
      <c r="R165" s="212" t="s">
        <v>924</v>
      </c>
    </row>
    <row r="166" spans="1:18" x14ac:dyDescent="0.3">
      <c r="A166" s="212" t="s">
        <v>399</v>
      </c>
      <c r="B166" s="212" t="s">
        <v>695</v>
      </c>
      <c r="C166" t="s">
        <v>712</v>
      </c>
      <c r="D166" s="213">
        <v>126800</v>
      </c>
      <c r="E166" s="217">
        <v>101440</v>
      </c>
      <c r="F166" s="217">
        <v>25360</v>
      </c>
      <c r="G166" s="212" t="s">
        <v>1467</v>
      </c>
      <c r="H166" s="87" t="s">
        <v>716</v>
      </c>
      <c r="I166" t="s">
        <v>726</v>
      </c>
      <c r="J166" s="212" t="s">
        <v>1541</v>
      </c>
      <c r="K166">
        <v>500085008</v>
      </c>
      <c r="L166" s="212" t="s">
        <v>1247</v>
      </c>
      <c r="M166" s="212" t="s">
        <v>1468</v>
      </c>
      <c r="N166" s="212" t="s">
        <v>1469</v>
      </c>
      <c r="O166" s="212" t="s">
        <v>399</v>
      </c>
      <c r="P166" s="88" t="s">
        <v>752</v>
      </c>
      <c r="Q166" s="215" t="s">
        <v>1457</v>
      </c>
      <c r="R166" s="212" t="s">
        <v>925</v>
      </c>
    </row>
    <row r="167" spans="1:18" x14ac:dyDescent="0.3">
      <c r="A167" s="212" t="s">
        <v>400</v>
      </c>
      <c r="B167" s="212" t="s">
        <v>696</v>
      </c>
      <c r="C167" t="s">
        <v>712</v>
      </c>
      <c r="D167" s="213">
        <v>171600</v>
      </c>
      <c r="E167" s="217">
        <v>137280</v>
      </c>
      <c r="F167" s="217">
        <v>34320</v>
      </c>
      <c r="G167" s="212" t="s">
        <v>1470</v>
      </c>
      <c r="H167" s="87" t="s">
        <v>716</v>
      </c>
      <c r="I167" t="s">
        <v>726</v>
      </c>
      <c r="J167" s="212" t="s">
        <v>1541</v>
      </c>
      <c r="K167">
        <v>500085008</v>
      </c>
      <c r="L167" s="212" t="s">
        <v>1471</v>
      </c>
      <c r="M167" s="212" t="s">
        <v>1031</v>
      </c>
      <c r="N167" s="212" t="s">
        <v>1472</v>
      </c>
      <c r="O167" s="212" t="s">
        <v>400</v>
      </c>
      <c r="P167" s="88" t="s">
        <v>752</v>
      </c>
      <c r="Q167" s="215" t="s">
        <v>1457</v>
      </c>
      <c r="R167" s="212" t="s">
        <v>926</v>
      </c>
    </row>
    <row r="168" spans="1:18" x14ac:dyDescent="0.3">
      <c r="A168" s="212" t="s">
        <v>401</v>
      </c>
      <c r="B168" s="212" t="s">
        <v>697</v>
      </c>
      <c r="C168" t="s">
        <v>712</v>
      </c>
      <c r="D168" s="213">
        <v>171600</v>
      </c>
      <c r="E168" s="217">
        <v>137280</v>
      </c>
      <c r="F168" s="217">
        <v>34320</v>
      </c>
      <c r="G168" s="212" t="s">
        <v>1473</v>
      </c>
      <c r="H168" s="87" t="s">
        <v>716</v>
      </c>
      <c r="I168" t="s">
        <v>726</v>
      </c>
      <c r="J168" s="212" t="s">
        <v>1541</v>
      </c>
      <c r="K168">
        <v>500085008</v>
      </c>
      <c r="L168" s="212" t="s">
        <v>1474</v>
      </c>
      <c r="M168" s="212" t="s">
        <v>1042</v>
      </c>
      <c r="N168" s="212" t="s">
        <v>1475</v>
      </c>
      <c r="O168" s="212" t="s">
        <v>401</v>
      </c>
      <c r="P168" s="88" t="s">
        <v>752</v>
      </c>
      <c r="Q168" s="215" t="s">
        <v>1457</v>
      </c>
      <c r="R168" s="212" t="s">
        <v>927</v>
      </c>
    </row>
    <row r="169" spans="1:18" x14ac:dyDescent="0.3">
      <c r="A169" s="212" t="s">
        <v>402</v>
      </c>
      <c r="B169" s="212" t="s">
        <v>698</v>
      </c>
      <c r="C169" t="s">
        <v>712</v>
      </c>
      <c r="D169" s="213">
        <v>160400</v>
      </c>
      <c r="E169" s="217">
        <v>128320</v>
      </c>
      <c r="F169" s="217">
        <v>32080</v>
      </c>
      <c r="G169" s="212" t="s">
        <v>1476</v>
      </c>
      <c r="H169" s="87" t="s">
        <v>716</v>
      </c>
      <c r="I169" t="s">
        <v>726</v>
      </c>
      <c r="J169" s="212" t="s">
        <v>1541</v>
      </c>
      <c r="K169">
        <v>500085008</v>
      </c>
      <c r="L169" s="212" t="s">
        <v>1477</v>
      </c>
      <c r="M169" s="212" t="s">
        <v>1478</v>
      </c>
      <c r="N169" s="212" t="s">
        <v>1479</v>
      </c>
      <c r="O169" s="212" t="s">
        <v>402</v>
      </c>
      <c r="P169" s="88" t="s">
        <v>752</v>
      </c>
      <c r="Q169" s="215" t="s">
        <v>1457</v>
      </c>
      <c r="R169" s="212" t="s">
        <v>928</v>
      </c>
    </row>
    <row r="170" spans="1:18" x14ac:dyDescent="0.3">
      <c r="A170" s="212" t="s">
        <v>449</v>
      </c>
      <c r="B170" s="212" t="s">
        <v>468</v>
      </c>
      <c r="C170" t="s">
        <v>712</v>
      </c>
      <c r="D170" s="213">
        <v>160400</v>
      </c>
      <c r="E170" s="217">
        <v>128320</v>
      </c>
      <c r="F170" s="217">
        <v>32080</v>
      </c>
      <c r="G170" s="212" t="s">
        <v>1480</v>
      </c>
      <c r="H170" s="87" t="s">
        <v>716</v>
      </c>
      <c r="I170" t="s">
        <v>726</v>
      </c>
      <c r="J170" s="212" t="s">
        <v>1541</v>
      </c>
      <c r="K170">
        <v>500085008</v>
      </c>
      <c r="L170" s="212" t="s">
        <v>1481</v>
      </c>
      <c r="M170" s="212" t="s">
        <v>965</v>
      </c>
      <c r="N170" s="212" t="s">
        <v>1482</v>
      </c>
      <c r="O170" s="212" t="s">
        <v>449</v>
      </c>
      <c r="P170" s="88" t="s">
        <v>752</v>
      </c>
      <c r="Q170" s="215" t="s">
        <v>1457</v>
      </c>
      <c r="R170" s="212" t="s">
        <v>929</v>
      </c>
    </row>
    <row r="171" spans="1:18" x14ac:dyDescent="0.3">
      <c r="A171" s="212" t="s">
        <v>700</v>
      </c>
      <c r="B171" s="212" t="s">
        <v>699</v>
      </c>
      <c r="C171" t="s">
        <v>712</v>
      </c>
      <c r="D171" s="213">
        <v>194000</v>
      </c>
      <c r="E171" s="217">
        <v>155200</v>
      </c>
      <c r="F171" s="217">
        <v>38800</v>
      </c>
      <c r="G171" s="212" t="s">
        <v>1483</v>
      </c>
      <c r="H171" s="87" t="s">
        <v>716</v>
      </c>
      <c r="I171" t="s">
        <v>726</v>
      </c>
      <c r="J171" s="212" t="s">
        <v>1541</v>
      </c>
      <c r="K171">
        <v>500085008</v>
      </c>
      <c r="L171" s="212" t="s">
        <v>1484</v>
      </c>
      <c r="M171" s="212" t="s">
        <v>1171</v>
      </c>
      <c r="N171" s="212" t="s">
        <v>1485</v>
      </c>
      <c r="O171" s="212" t="s">
        <v>700</v>
      </c>
      <c r="P171" s="88" t="s">
        <v>752</v>
      </c>
      <c r="Q171" s="215" t="s">
        <v>1457</v>
      </c>
      <c r="R171" s="212" t="s">
        <v>930</v>
      </c>
    </row>
    <row r="172" spans="1:18" x14ac:dyDescent="0.3">
      <c r="A172" s="212" t="s">
        <v>403</v>
      </c>
      <c r="B172" s="212" t="s">
        <v>701</v>
      </c>
      <c r="C172" t="s">
        <v>712</v>
      </c>
      <c r="D172" s="213">
        <v>171600</v>
      </c>
      <c r="E172" s="217">
        <v>137280</v>
      </c>
      <c r="F172" s="217">
        <v>34320</v>
      </c>
      <c r="G172" s="212" t="s">
        <v>1486</v>
      </c>
      <c r="H172" s="87" t="s">
        <v>716</v>
      </c>
      <c r="I172" t="s">
        <v>726</v>
      </c>
      <c r="J172" s="212" t="s">
        <v>1541</v>
      </c>
      <c r="K172">
        <v>500085008</v>
      </c>
      <c r="L172" s="212" t="s">
        <v>1487</v>
      </c>
      <c r="M172" s="212" t="s">
        <v>965</v>
      </c>
      <c r="N172" s="212" t="s">
        <v>1488</v>
      </c>
      <c r="O172" s="212" t="s">
        <v>403</v>
      </c>
      <c r="P172" s="88" t="s">
        <v>752</v>
      </c>
      <c r="Q172" s="215" t="s">
        <v>1457</v>
      </c>
      <c r="R172" s="212" t="s">
        <v>931</v>
      </c>
    </row>
    <row r="173" spans="1:18" x14ac:dyDescent="0.3">
      <c r="A173" s="212" t="s">
        <v>445</v>
      </c>
      <c r="B173" s="212" t="s">
        <v>464</v>
      </c>
      <c r="C173" t="s">
        <v>712</v>
      </c>
      <c r="D173" s="213">
        <v>160400</v>
      </c>
      <c r="E173" s="217">
        <v>128320</v>
      </c>
      <c r="F173" s="217">
        <v>32080</v>
      </c>
      <c r="G173" s="212" t="s">
        <v>1489</v>
      </c>
      <c r="H173" s="87" t="s">
        <v>716</v>
      </c>
      <c r="I173" t="s">
        <v>726</v>
      </c>
      <c r="J173" s="212" t="s">
        <v>1541</v>
      </c>
      <c r="K173">
        <v>500085008</v>
      </c>
      <c r="L173" s="212" t="s">
        <v>1490</v>
      </c>
      <c r="M173" s="212" t="s">
        <v>1020</v>
      </c>
      <c r="N173" s="212" t="s">
        <v>1491</v>
      </c>
      <c r="O173" s="212" t="s">
        <v>445</v>
      </c>
      <c r="P173" s="88" t="s">
        <v>752</v>
      </c>
      <c r="Q173" s="215" t="s">
        <v>1457</v>
      </c>
      <c r="R173" s="212" t="s">
        <v>932</v>
      </c>
    </row>
    <row r="174" spans="1:18" x14ac:dyDescent="0.3">
      <c r="A174" s="212" t="s">
        <v>404</v>
      </c>
      <c r="B174" s="212" t="s">
        <v>702</v>
      </c>
      <c r="C174" t="s">
        <v>712</v>
      </c>
      <c r="D174" s="213">
        <v>171600</v>
      </c>
      <c r="E174" s="217">
        <v>137280</v>
      </c>
      <c r="F174" s="217">
        <v>34320</v>
      </c>
      <c r="G174" s="212" t="s">
        <v>1492</v>
      </c>
      <c r="H174" s="87" t="s">
        <v>716</v>
      </c>
      <c r="I174" t="s">
        <v>726</v>
      </c>
      <c r="J174" s="212" t="s">
        <v>1541</v>
      </c>
      <c r="K174">
        <v>500085008</v>
      </c>
      <c r="L174" s="212" t="s">
        <v>1493</v>
      </c>
      <c r="M174" s="212" t="s">
        <v>965</v>
      </c>
      <c r="N174" s="212" t="s">
        <v>1494</v>
      </c>
      <c r="O174" s="212" t="s">
        <v>404</v>
      </c>
      <c r="P174" s="88" t="s">
        <v>752</v>
      </c>
      <c r="Q174" s="215" t="s">
        <v>1457</v>
      </c>
      <c r="R174" s="212" t="s">
        <v>933</v>
      </c>
    </row>
    <row r="175" spans="1:18" x14ac:dyDescent="0.3">
      <c r="A175" s="212" t="s">
        <v>704</v>
      </c>
      <c r="B175" s="212" t="s">
        <v>703</v>
      </c>
      <c r="C175" t="s">
        <v>712</v>
      </c>
      <c r="D175" s="213">
        <v>194000</v>
      </c>
      <c r="E175" s="217">
        <v>155200</v>
      </c>
      <c r="F175" s="217">
        <v>38800</v>
      </c>
      <c r="G175" s="212" t="s">
        <v>1495</v>
      </c>
      <c r="H175" s="87" t="s">
        <v>716</v>
      </c>
      <c r="I175" t="s">
        <v>726</v>
      </c>
      <c r="J175" s="212" t="s">
        <v>1541</v>
      </c>
      <c r="K175">
        <v>500085008</v>
      </c>
      <c r="L175" s="212" t="s">
        <v>1496</v>
      </c>
      <c r="M175" s="212" t="s">
        <v>1311</v>
      </c>
      <c r="N175" s="212" t="s">
        <v>1497</v>
      </c>
      <c r="O175" s="212" t="s">
        <v>704</v>
      </c>
      <c r="P175" s="88" t="s">
        <v>752</v>
      </c>
      <c r="Q175" s="215" t="s">
        <v>1457</v>
      </c>
      <c r="R175" s="212" t="s">
        <v>934</v>
      </c>
    </row>
    <row r="176" spans="1:18" x14ac:dyDescent="0.3">
      <c r="A176" s="212" t="s">
        <v>405</v>
      </c>
      <c r="B176" s="212" t="s">
        <v>705</v>
      </c>
      <c r="C176" t="s">
        <v>712</v>
      </c>
      <c r="D176" s="213">
        <v>160400</v>
      </c>
      <c r="E176" s="217">
        <v>128320</v>
      </c>
      <c r="F176" s="217">
        <v>32080</v>
      </c>
      <c r="G176" s="212" t="s">
        <v>1498</v>
      </c>
      <c r="H176" s="87" t="s">
        <v>716</v>
      </c>
      <c r="I176" t="s">
        <v>726</v>
      </c>
      <c r="J176" s="212" t="s">
        <v>1541</v>
      </c>
      <c r="K176">
        <v>500085008</v>
      </c>
      <c r="L176" s="212" t="s">
        <v>1284</v>
      </c>
      <c r="M176" s="212" t="s">
        <v>1053</v>
      </c>
      <c r="N176" s="212" t="s">
        <v>1499</v>
      </c>
      <c r="O176" s="212" t="s">
        <v>405</v>
      </c>
      <c r="P176" s="88" t="s">
        <v>752</v>
      </c>
      <c r="Q176" s="215" t="s">
        <v>1457</v>
      </c>
      <c r="R176" s="212" t="s">
        <v>935</v>
      </c>
    </row>
    <row r="177" spans="1:18" x14ac:dyDescent="0.3">
      <c r="A177" s="212" t="s">
        <v>406</v>
      </c>
      <c r="B177" s="212" t="s">
        <v>706</v>
      </c>
      <c r="C177" t="s">
        <v>712</v>
      </c>
      <c r="D177" s="213">
        <v>171600</v>
      </c>
      <c r="E177" s="217">
        <v>137280</v>
      </c>
      <c r="F177" s="217">
        <v>34320</v>
      </c>
      <c r="G177" s="212" t="s">
        <v>1500</v>
      </c>
      <c r="H177" s="87" t="s">
        <v>716</v>
      </c>
      <c r="I177" t="s">
        <v>726</v>
      </c>
      <c r="J177" s="212" t="s">
        <v>1541</v>
      </c>
      <c r="K177">
        <v>500085008</v>
      </c>
      <c r="L177" s="212" t="s">
        <v>1501</v>
      </c>
      <c r="M177" s="212" t="s">
        <v>1502</v>
      </c>
      <c r="N177" s="212" t="s">
        <v>1503</v>
      </c>
      <c r="O177" s="212" t="s">
        <v>406</v>
      </c>
      <c r="P177" s="88" t="s">
        <v>752</v>
      </c>
      <c r="Q177" s="215" t="s">
        <v>1457</v>
      </c>
      <c r="R177" s="212" t="s">
        <v>936</v>
      </c>
    </row>
    <row r="178" spans="1:18" x14ac:dyDescent="0.3">
      <c r="A178" s="212" t="s">
        <v>407</v>
      </c>
      <c r="B178" s="212" t="s">
        <v>707</v>
      </c>
      <c r="C178" t="s">
        <v>712</v>
      </c>
      <c r="D178" s="213">
        <v>160400</v>
      </c>
      <c r="E178" s="217">
        <v>128320</v>
      </c>
      <c r="F178" s="217">
        <v>32080</v>
      </c>
      <c r="G178" s="212" t="s">
        <v>1504</v>
      </c>
      <c r="H178" s="87" t="s">
        <v>716</v>
      </c>
      <c r="I178" t="s">
        <v>726</v>
      </c>
      <c r="J178" s="212" t="s">
        <v>1541</v>
      </c>
      <c r="K178">
        <v>500085008</v>
      </c>
      <c r="L178" s="212" t="s">
        <v>1505</v>
      </c>
      <c r="M178" s="212" t="s">
        <v>1506</v>
      </c>
      <c r="N178" s="212" t="s">
        <v>1507</v>
      </c>
      <c r="O178" s="212" t="s">
        <v>407</v>
      </c>
      <c r="P178" s="88" t="s">
        <v>752</v>
      </c>
      <c r="Q178" s="215" t="s">
        <v>1457</v>
      </c>
      <c r="R178" s="212" t="s">
        <v>937</v>
      </c>
    </row>
    <row r="179" spans="1:18" x14ac:dyDescent="0.3">
      <c r="A179" s="212" t="s">
        <v>408</v>
      </c>
      <c r="B179" s="212" t="s">
        <v>708</v>
      </c>
      <c r="C179" t="s">
        <v>712</v>
      </c>
      <c r="D179" s="213">
        <v>160400</v>
      </c>
      <c r="E179" s="217">
        <v>128320</v>
      </c>
      <c r="F179" s="217">
        <v>32080</v>
      </c>
      <c r="G179" s="212" t="s">
        <v>1508</v>
      </c>
      <c r="H179" s="87" t="s">
        <v>716</v>
      </c>
      <c r="I179" t="s">
        <v>726</v>
      </c>
      <c r="J179" s="212" t="s">
        <v>1541</v>
      </c>
      <c r="K179">
        <v>500085008</v>
      </c>
      <c r="L179" s="212" t="s">
        <v>1041</v>
      </c>
      <c r="M179" s="212" t="s">
        <v>988</v>
      </c>
      <c r="N179" s="212" t="s">
        <v>1509</v>
      </c>
      <c r="O179" s="212" t="s">
        <v>408</v>
      </c>
      <c r="P179" s="88" t="s">
        <v>752</v>
      </c>
      <c r="Q179" s="215" t="s">
        <v>1457</v>
      </c>
      <c r="R179" s="212" t="s">
        <v>938</v>
      </c>
    </row>
    <row r="180" spans="1:18" x14ac:dyDescent="0.3">
      <c r="A180" s="212" t="s">
        <v>409</v>
      </c>
      <c r="B180" s="212" t="s">
        <v>709</v>
      </c>
      <c r="C180" t="s">
        <v>712</v>
      </c>
      <c r="D180" s="213">
        <v>194000</v>
      </c>
      <c r="E180" s="217">
        <v>155200</v>
      </c>
      <c r="F180" s="217">
        <v>38800</v>
      </c>
      <c r="G180" s="212" t="s">
        <v>1510</v>
      </c>
      <c r="H180" s="87" t="s">
        <v>716</v>
      </c>
      <c r="I180" t="s">
        <v>726</v>
      </c>
      <c r="J180" s="212" t="s">
        <v>1541</v>
      </c>
      <c r="K180">
        <v>500085008</v>
      </c>
      <c r="L180" s="212" t="s">
        <v>1511</v>
      </c>
      <c r="M180" s="212" t="s">
        <v>961</v>
      </c>
      <c r="N180" s="212" t="s">
        <v>1512</v>
      </c>
      <c r="O180" s="212" t="s">
        <v>409</v>
      </c>
      <c r="P180" s="88" t="s">
        <v>752</v>
      </c>
      <c r="Q180" s="215" t="s">
        <v>1457</v>
      </c>
      <c r="R180" s="212" t="s">
        <v>939</v>
      </c>
    </row>
    <row r="181" spans="1:18" x14ac:dyDescent="0.3">
      <c r="A181" s="212" t="s">
        <v>437</v>
      </c>
      <c r="B181" s="212" t="s">
        <v>456</v>
      </c>
      <c r="C181" t="s">
        <v>712</v>
      </c>
      <c r="D181" s="213">
        <v>171600</v>
      </c>
      <c r="E181" s="217">
        <v>137280</v>
      </c>
      <c r="F181" s="217">
        <v>34320</v>
      </c>
      <c r="G181" s="212" t="s">
        <v>1513</v>
      </c>
      <c r="H181" s="87" t="s">
        <v>716</v>
      </c>
      <c r="I181" t="s">
        <v>726</v>
      </c>
      <c r="J181" s="212" t="s">
        <v>1541</v>
      </c>
      <c r="K181">
        <v>500085008</v>
      </c>
      <c r="L181" s="212" t="s">
        <v>1088</v>
      </c>
      <c r="M181" s="212" t="s">
        <v>965</v>
      </c>
      <c r="N181" s="212" t="s">
        <v>1514</v>
      </c>
      <c r="O181" s="212" t="s">
        <v>437</v>
      </c>
      <c r="P181" s="88" t="s">
        <v>752</v>
      </c>
      <c r="Q181" s="215" t="s">
        <v>1457</v>
      </c>
      <c r="R181" s="212" t="s">
        <v>940</v>
      </c>
    </row>
    <row r="182" spans="1:18" x14ac:dyDescent="0.3">
      <c r="A182" s="212" t="s">
        <v>711</v>
      </c>
      <c r="B182" s="212" t="s">
        <v>710</v>
      </c>
      <c r="C182" t="s">
        <v>712</v>
      </c>
      <c r="D182" s="213">
        <v>194000</v>
      </c>
      <c r="E182" s="217">
        <v>155200</v>
      </c>
      <c r="F182" s="217">
        <v>38800</v>
      </c>
      <c r="G182" s="212" t="s">
        <v>1515</v>
      </c>
      <c r="H182" s="87" t="s">
        <v>716</v>
      </c>
      <c r="I182" t="s">
        <v>726</v>
      </c>
      <c r="J182" s="212" t="s">
        <v>1541</v>
      </c>
      <c r="K182">
        <v>500085008</v>
      </c>
      <c r="L182" s="212" t="s">
        <v>1471</v>
      </c>
      <c r="M182" s="212" t="s">
        <v>965</v>
      </c>
      <c r="N182" s="212" t="s">
        <v>1516</v>
      </c>
      <c r="O182" s="212" t="s">
        <v>711</v>
      </c>
      <c r="P182" s="88" t="s">
        <v>752</v>
      </c>
      <c r="Q182" s="215" t="s">
        <v>1457</v>
      </c>
      <c r="R182" s="212" t="s">
        <v>941</v>
      </c>
    </row>
  </sheetData>
  <sheetProtection algorithmName="SHA-512" hashValue="/t/3AmdgizXb2hDqXz9xW2fPow8XwD7w7A61E02s0LtlF4oaBvJE6856cdNsD4dQMeuuiV8MmX+YYixfQTi2MA==" saltValue="qjDI3s7EQKCi6GmtsLF22g==" spinCount="100000" sheet="1" objects="1" scenarios="1"/>
  <phoneticPr fontId="50" type="noConversion"/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E"/>
  <dimension ref="A1:U180"/>
  <sheetViews>
    <sheetView zoomScale="80" zoomScaleNormal="80" workbookViewId="0">
      <selection activeCell="K6" sqref="K6"/>
    </sheetView>
  </sheetViews>
  <sheetFormatPr baseColWidth="10" defaultColWidth="10.6640625" defaultRowHeight="14.4" x14ac:dyDescent="0.3"/>
  <cols>
    <col min="1" max="1" width="32" bestFit="1" customWidth="1"/>
    <col min="2" max="2" width="5.109375" customWidth="1"/>
    <col min="3" max="3" width="23.6640625" bestFit="1" customWidth="1"/>
    <col min="4" max="4" width="5.33203125" customWidth="1"/>
    <col min="5" max="5" width="22.33203125" bestFit="1" customWidth="1"/>
    <col min="6" max="6" width="5.6640625" customWidth="1"/>
    <col min="7" max="7" width="22.33203125" bestFit="1" customWidth="1"/>
    <col min="8" max="8" width="5" customWidth="1"/>
    <col min="9" max="9" width="21.33203125" bestFit="1" customWidth="1"/>
    <col min="10" max="10" width="5.5546875" customWidth="1"/>
    <col min="11" max="11" width="13.44140625" customWidth="1"/>
    <col min="12" max="12" width="5.44140625" customWidth="1"/>
    <col min="13" max="13" width="44.5546875" customWidth="1"/>
    <col min="14" max="14" width="4.88671875" customWidth="1"/>
    <col min="15" max="15" width="22.33203125" bestFit="1" customWidth="1"/>
    <col min="16" max="16" width="6.109375" customWidth="1"/>
    <col min="17" max="17" width="22.33203125" bestFit="1" customWidth="1"/>
    <col min="18" max="18" width="6.109375" customWidth="1"/>
    <col min="19" max="19" width="37.88671875" customWidth="1"/>
    <col min="20" max="20" width="6.109375" customWidth="1"/>
    <col min="21" max="21" width="29" customWidth="1"/>
  </cols>
  <sheetData>
    <row r="1" spans="1:21" x14ac:dyDescent="0.3">
      <c r="A1" t="s">
        <v>475</v>
      </c>
      <c r="C1" t="s">
        <v>476</v>
      </c>
      <c r="E1" t="s">
        <v>477</v>
      </c>
      <c r="G1" t="s">
        <v>478</v>
      </c>
      <c r="I1" t="s">
        <v>479</v>
      </c>
      <c r="K1" t="s">
        <v>1545</v>
      </c>
      <c r="M1" t="s">
        <v>411</v>
      </c>
      <c r="O1" t="s">
        <v>480</v>
      </c>
      <c r="Q1" t="s">
        <v>45</v>
      </c>
      <c r="S1" t="s">
        <v>481</v>
      </c>
      <c r="U1" t="s">
        <v>474</v>
      </c>
    </row>
    <row r="2" spans="1:21" s="97" customFormat="1" x14ac:dyDescent="0.3">
      <c r="A2">
        <v>67200</v>
      </c>
      <c r="B2"/>
      <c r="C2" t="s">
        <v>379</v>
      </c>
      <c r="D2"/>
      <c r="E2" t="s">
        <v>418</v>
      </c>
      <c r="F2"/>
      <c r="G2" t="s">
        <v>419</v>
      </c>
      <c r="H2"/>
      <c r="I2" t="s">
        <v>493</v>
      </c>
      <c r="J2"/>
      <c r="K2" s="267">
        <v>2023</v>
      </c>
      <c r="L2"/>
      <c r="M2" t="s">
        <v>61</v>
      </c>
      <c r="N2"/>
      <c r="O2" t="s">
        <v>14</v>
      </c>
      <c r="P2"/>
      <c r="Q2" t="s">
        <v>14</v>
      </c>
      <c r="R2"/>
      <c r="S2" t="s">
        <v>423</v>
      </c>
      <c r="T2"/>
      <c r="U2" t="s">
        <v>742</v>
      </c>
    </row>
    <row r="3" spans="1:21" x14ac:dyDescent="0.3">
      <c r="A3">
        <v>134400</v>
      </c>
      <c r="C3" t="s">
        <v>283</v>
      </c>
      <c r="E3" t="s">
        <v>413</v>
      </c>
      <c r="G3" t="s">
        <v>414</v>
      </c>
      <c r="I3" t="s">
        <v>494</v>
      </c>
      <c r="K3" s="267">
        <v>2024</v>
      </c>
      <c r="O3" t="s">
        <v>415</v>
      </c>
      <c r="Q3" t="s">
        <v>416</v>
      </c>
      <c r="S3" t="s">
        <v>417</v>
      </c>
    </row>
    <row r="4" spans="1:21" x14ac:dyDescent="0.3">
      <c r="A4">
        <v>33600</v>
      </c>
      <c r="C4" t="s">
        <v>327</v>
      </c>
      <c r="E4" t="s">
        <v>14</v>
      </c>
      <c r="G4" t="s">
        <v>14</v>
      </c>
      <c r="I4" t="s">
        <v>420</v>
      </c>
      <c r="K4" s="267">
        <v>2025</v>
      </c>
      <c r="O4" t="s">
        <v>421</v>
      </c>
      <c r="Q4" t="s">
        <v>422</v>
      </c>
      <c r="S4" t="s">
        <v>412</v>
      </c>
    </row>
    <row r="5" spans="1:21" x14ac:dyDescent="0.3">
      <c r="A5">
        <v>22400</v>
      </c>
      <c r="C5" t="s">
        <v>303</v>
      </c>
      <c r="I5" t="s">
        <v>113</v>
      </c>
      <c r="K5" s="267">
        <v>2026</v>
      </c>
      <c r="Q5" t="s">
        <v>424</v>
      </c>
    </row>
    <row r="6" spans="1:21" ht="23.7" customHeight="1" x14ac:dyDescent="0.3">
      <c r="A6" t="s">
        <v>14</v>
      </c>
      <c r="C6" t="s">
        <v>410</v>
      </c>
      <c r="K6" s="267" t="s">
        <v>14</v>
      </c>
      <c r="Q6" t="s">
        <v>425</v>
      </c>
    </row>
    <row r="7" spans="1:21" x14ac:dyDescent="0.3">
      <c r="C7" t="s">
        <v>285</v>
      </c>
      <c r="Q7" t="s">
        <v>426</v>
      </c>
    </row>
    <row r="8" spans="1:21" x14ac:dyDescent="0.3">
      <c r="C8" t="s">
        <v>287</v>
      </c>
      <c r="Q8" t="s">
        <v>427</v>
      </c>
    </row>
    <row r="9" spans="1:21" x14ac:dyDescent="0.3">
      <c r="C9" t="s">
        <v>290</v>
      </c>
      <c r="Q9" t="s">
        <v>428</v>
      </c>
    </row>
    <row r="10" spans="1:21" x14ac:dyDescent="0.3">
      <c r="C10" t="s">
        <v>314</v>
      </c>
      <c r="Q10" t="s">
        <v>429</v>
      </c>
    </row>
    <row r="11" spans="1:21" x14ac:dyDescent="0.3">
      <c r="C11" t="s">
        <v>319</v>
      </c>
      <c r="Q11" t="s">
        <v>430</v>
      </c>
    </row>
    <row r="12" spans="1:21" x14ac:dyDescent="0.3">
      <c r="C12" t="s">
        <v>359</v>
      </c>
      <c r="Q12" t="s">
        <v>431</v>
      </c>
    </row>
    <row r="13" spans="1:21" x14ac:dyDescent="0.3">
      <c r="Q13" t="s">
        <v>432</v>
      </c>
    </row>
    <row r="14" spans="1:21" x14ac:dyDescent="0.3">
      <c r="Q14" t="s">
        <v>433</v>
      </c>
    </row>
    <row r="176" spans="3:3" x14ac:dyDescent="0.3">
      <c r="C176" t="s">
        <v>359</v>
      </c>
    </row>
    <row r="177" spans="3:3" x14ac:dyDescent="0.3">
      <c r="C177" t="s">
        <v>285</v>
      </c>
    </row>
    <row r="178" spans="3:3" x14ac:dyDescent="0.3">
      <c r="C178" t="s">
        <v>359</v>
      </c>
    </row>
    <row r="179" spans="3:3" x14ac:dyDescent="0.3">
      <c r="C179" t="s">
        <v>285</v>
      </c>
    </row>
    <row r="180" spans="3:3" x14ac:dyDescent="0.3">
      <c r="C180" t="s">
        <v>285</v>
      </c>
    </row>
  </sheetData>
  <sheetProtection sheet="1" selectLockedCells="1" selectUnlockedCells="1"/>
  <phoneticPr fontId="50" type="noConversion"/>
  <pageMargins left="0.7" right="0.7" top="0.75" bottom="0.75" header="0.3" footer="0.3"/>
  <pageSetup paperSize="9"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IDENTIF">
    <tabColor rgb="FFFFFF00"/>
  </sheetPr>
  <dimension ref="A1:AE64"/>
  <sheetViews>
    <sheetView showGridLines="0" tabSelected="1" zoomScale="90" zoomScaleNormal="90" zoomScaleSheetLayoutView="80" zoomScalePageLayoutView="75" workbookViewId="0">
      <selection activeCell="F14" sqref="F14"/>
    </sheetView>
  </sheetViews>
  <sheetFormatPr baseColWidth="10" defaultColWidth="10.6640625" defaultRowHeight="14.4" x14ac:dyDescent="0.3"/>
  <cols>
    <col min="1" max="1" width="62.88671875" style="194" customWidth="1"/>
    <col min="2" max="2" width="54.88671875" style="193" customWidth="1"/>
    <col min="3" max="3" width="23.5546875" style="193" customWidth="1"/>
    <col min="4" max="4" width="19.33203125" style="193" customWidth="1"/>
    <col min="5" max="5" width="19" style="193" customWidth="1"/>
    <col min="6" max="6" width="49" style="193" customWidth="1"/>
    <col min="7" max="7" width="3.44140625" style="179" customWidth="1"/>
    <col min="8" max="8" width="3.33203125" style="179" customWidth="1"/>
    <col min="9" max="9" width="3.5546875" style="179" customWidth="1"/>
    <col min="10" max="10" width="0.6640625" style="179" customWidth="1"/>
    <col min="11" max="11" width="3.33203125" style="179" customWidth="1"/>
    <col min="12" max="12" width="1.6640625" style="179" customWidth="1"/>
    <col min="13" max="13" width="2" style="179" customWidth="1"/>
    <col min="14" max="14" width="4.6640625" style="179" customWidth="1"/>
    <col min="15" max="16" width="1.6640625" style="179" customWidth="1"/>
    <col min="17" max="17" width="3.33203125" style="179" customWidth="1"/>
    <col min="18" max="18" width="1.6640625" style="180" customWidth="1"/>
    <col min="19" max="27" width="10.6640625" style="180"/>
    <col min="28" max="16384" width="10.6640625" style="193"/>
  </cols>
  <sheetData>
    <row r="1" spans="1:31" s="162" customFormat="1" ht="29.25" customHeight="1" x14ac:dyDescent="0.3">
      <c r="A1" s="265" t="s">
        <v>741</v>
      </c>
      <c r="B1" s="266"/>
      <c r="C1" s="266"/>
      <c r="D1" s="160"/>
      <c r="E1" s="160"/>
      <c r="F1" s="161"/>
      <c r="R1" s="163"/>
      <c r="S1" s="163"/>
      <c r="T1" s="164"/>
      <c r="U1" s="164"/>
      <c r="V1" s="164"/>
      <c r="W1" s="164"/>
      <c r="X1" s="164"/>
      <c r="Y1" s="164"/>
      <c r="Z1" s="164"/>
      <c r="AA1" s="164"/>
      <c r="AB1" s="165"/>
      <c r="AC1" s="165"/>
      <c r="AD1" s="165"/>
      <c r="AE1" s="165"/>
    </row>
    <row r="2" spans="1:31" s="166" customFormat="1" ht="29.25" customHeight="1" x14ac:dyDescent="0.3"/>
    <row r="3" spans="1:31" s="166" customFormat="1" ht="29.25" customHeight="1" x14ac:dyDescent="0.3">
      <c r="A3" s="362" t="s">
        <v>18</v>
      </c>
      <c r="B3" s="362"/>
    </row>
    <row r="4" spans="1:31" s="166" customFormat="1" ht="29.25" customHeight="1" x14ac:dyDescent="0.3">
      <c r="A4" s="263" t="s">
        <v>20</v>
      </c>
      <c r="B4" s="159"/>
      <c r="D4" s="365" t="s">
        <v>32</v>
      </c>
      <c r="E4" s="365"/>
      <c r="F4" s="365"/>
    </row>
    <row r="5" spans="1:31" s="166" customFormat="1" ht="18.75" customHeight="1" x14ac:dyDescent="0.3">
      <c r="A5" s="263" t="s">
        <v>22</v>
      </c>
      <c r="B5" s="95" t="e">
        <f>VLOOKUP(IDENTIF_NOM_REQUERANT,t_beneficiaires_p22[[Entité]:[BCE]],2,FALSE)</f>
        <v>#N/A</v>
      </c>
      <c r="D5" s="366" t="s">
        <v>34</v>
      </c>
      <c r="E5" s="367"/>
      <c r="F5" s="108" t="e">
        <f>VLOOKUP(IDENTIF_NOM_REQUERANT,t_beneficiaires_p22[[Entité]:[rue]],12,FALSE)&amp;" "&amp;VLOOKUP(IDENTIF_NOM_REQUERANT,t_beneficiaires_p22[[Entité]:[numero]],13,FALSE)</f>
        <v>#N/A</v>
      </c>
    </row>
    <row r="6" spans="1:31" s="166" customFormat="1" ht="18.75" customHeight="1" x14ac:dyDescent="0.3">
      <c r="A6" s="263" t="s">
        <v>24</v>
      </c>
      <c r="B6" s="95" t="e">
        <f>VLOOKUP(IDENTIF_NOM_REQUERANT,t_beneficiaires_p22[[Entité]:[N° de compte]],7,FALSE)</f>
        <v>#N/A</v>
      </c>
      <c r="D6" s="366" t="s">
        <v>36</v>
      </c>
      <c r="E6" s="367"/>
      <c r="F6" s="108" t="e">
        <f>VLOOKUP(IDENTIF_NOM_REQUERANT,t_beneficiaires_p22[[Entité]:[CP]],14,FALSE)</f>
        <v>#N/A</v>
      </c>
    </row>
    <row r="7" spans="1:31" s="166" customFormat="1" ht="18.75" customHeight="1" x14ac:dyDescent="0.3">
      <c r="A7" s="263" t="s">
        <v>26</v>
      </c>
      <c r="B7" s="90"/>
      <c r="D7" s="366" t="s">
        <v>37</v>
      </c>
      <c r="E7" s="367"/>
      <c r="F7" s="108" t="e">
        <f>VLOOKUP(IDENTIF_NOM_REQUERANT,t_beneficiaires_p22[[Entité]:[Localite]],15,FALSE)</f>
        <v>#N/A</v>
      </c>
    </row>
    <row r="8" spans="1:31" s="166" customFormat="1" ht="18.75" customHeight="1" x14ac:dyDescent="0.3">
      <c r="A8" s="263" t="s">
        <v>28</v>
      </c>
      <c r="B8" s="90"/>
    </row>
    <row r="9" spans="1:31" s="166" customFormat="1" ht="18.75" customHeight="1" x14ac:dyDescent="0.3">
      <c r="A9" s="263" t="s">
        <v>30</v>
      </c>
      <c r="B9" s="90"/>
    </row>
    <row r="10" spans="1:31" s="166" customFormat="1" ht="24.75" customHeight="1" x14ac:dyDescent="0.3">
      <c r="A10" s="167" t="s">
        <v>492</v>
      </c>
      <c r="B10" s="93" t="s">
        <v>14</v>
      </c>
    </row>
    <row r="11" spans="1:31" s="166" customFormat="1" ht="18.75" customHeight="1" x14ac:dyDescent="0.3">
      <c r="A11" s="168" t="s">
        <v>31</v>
      </c>
      <c r="B11" s="94"/>
    </row>
    <row r="12" spans="1:31" s="166" customFormat="1" ht="29.25" customHeight="1" x14ac:dyDescent="0.3"/>
    <row r="13" spans="1:31" s="162" customFormat="1" ht="51" customHeight="1" x14ac:dyDescent="0.3">
      <c r="A13" s="363" t="s">
        <v>743</v>
      </c>
      <c r="B13" s="364"/>
      <c r="C13" s="169"/>
      <c r="D13" s="364" t="s">
        <v>744</v>
      </c>
      <c r="E13" s="364"/>
      <c r="F13" s="364"/>
      <c r="R13" s="170"/>
      <c r="S13" s="164"/>
      <c r="T13" s="164"/>
      <c r="U13" s="164"/>
      <c r="V13" s="164"/>
      <c r="W13" s="164"/>
      <c r="X13" s="164"/>
      <c r="Y13" s="164"/>
      <c r="Z13" s="164"/>
      <c r="AA13" s="164"/>
      <c r="AB13" s="165"/>
      <c r="AC13" s="165"/>
      <c r="AD13" s="165"/>
      <c r="AE13" s="165"/>
    </row>
    <row r="14" spans="1:31" s="162" customFormat="1" x14ac:dyDescent="0.3">
      <c r="A14" s="171" t="s">
        <v>13</v>
      </c>
      <c r="B14" s="172" t="e">
        <f>VLOOKUP(IDENTIF_NOM_REQUERANT,t_beneficiaires_p22[[Entité]:[Type de candidature]],3,FALSE)</f>
        <v>#N/A</v>
      </c>
      <c r="C14" s="169"/>
      <c r="D14" s="173"/>
      <c r="E14" s="174" t="s">
        <v>1544</v>
      </c>
      <c r="F14" s="446">
        <v>2023</v>
      </c>
      <c r="R14" s="170"/>
      <c r="S14" s="164"/>
      <c r="T14" s="164"/>
      <c r="U14" s="164"/>
      <c r="V14" s="164"/>
      <c r="W14" s="164"/>
      <c r="X14" s="164"/>
      <c r="Y14" s="164"/>
      <c r="Z14" s="164"/>
      <c r="AA14" s="164"/>
      <c r="AB14" s="165"/>
      <c r="AC14" s="165"/>
      <c r="AD14" s="165"/>
      <c r="AE14" s="165"/>
    </row>
    <row r="15" spans="1:31" s="162" customFormat="1" x14ac:dyDescent="0.3">
      <c r="A15" s="175" t="s">
        <v>473</v>
      </c>
      <c r="B15" s="176">
        <v>44927</v>
      </c>
      <c r="C15" s="169"/>
      <c r="D15" s="177"/>
      <c r="E15" s="174" t="s">
        <v>15</v>
      </c>
      <c r="F15" s="91"/>
      <c r="R15" s="170"/>
      <c r="S15" s="164"/>
      <c r="T15" s="164"/>
      <c r="U15" s="164"/>
      <c r="V15" s="164"/>
      <c r="W15" s="164"/>
      <c r="X15" s="164"/>
      <c r="Y15" s="164"/>
      <c r="Z15" s="164"/>
      <c r="AA15" s="164"/>
      <c r="AB15" s="165"/>
      <c r="AC15" s="165"/>
      <c r="AD15" s="165"/>
      <c r="AE15" s="165"/>
    </row>
    <row r="16" spans="1:31" s="162" customFormat="1" x14ac:dyDescent="0.3">
      <c r="A16" s="175" t="s">
        <v>1526</v>
      </c>
      <c r="B16" s="176">
        <v>46387</v>
      </c>
      <c r="C16" s="169"/>
      <c r="D16" s="177"/>
      <c r="E16" s="264" t="s">
        <v>16</v>
      </c>
      <c r="F16" s="92"/>
      <c r="R16" s="170"/>
      <c r="S16" s="164"/>
      <c r="T16" s="164"/>
      <c r="U16" s="164"/>
      <c r="V16" s="164"/>
      <c r="W16" s="164"/>
      <c r="X16" s="164"/>
      <c r="Y16" s="164"/>
      <c r="Z16" s="164"/>
      <c r="AA16" s="164"/>
      <c r="AB16" s="165"/>
      <c r="AC16" s="165"/>
      <c r="AD16" s="165"/>
      <c r="AE16" s="165"/>
    </row>
    <row r="17" spans="1:31" s="180" customFormat="1" x14ac:dyDescent="0.3">
      <c r="A17" s="171" t="s">
        <v>17</v>
      </c>
      <c r="B17" s="315">
        <v>1</v>
      </c>
      <c r="C17" s="169"/>
      <c r="D17" s="360" t="s">
        <v>485</v>
      </c>
      <c r="E17" s="361"/>
      <c r="F17" s="178">
        <f>(YEAR(IDENTIF_FIN_DC)-YEAR(IDENTIF_DEB_DC))*12+MONTH(IDENTIF_FIN_DC)-MONTH(IDENTIF_DEB_DC)+1</f>
        <v>1</v>
      </c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</row>
    <row r="18" spans="1:31" s="166" customFormat="1" ht="13.5" customHeight="1" x14ac:dyDescent="0.3">
      <c r="A18" s="181"/>
      <c r="B18" s="181"/>
    </row>
    <row r="19" spans="1:31" s="162" customFormat="1" ht="56.7" customHeight="1" x14ac:dyDescent="0.3">
      <c r="A19" s="363" t="s">
        <v>491</v>
      </c>
      <c r="B19" s="364"/>
      <c r="C19" s="169"/>
      <c r="D19" s="365" t="s">
        <v>19</v>
      </c>
      <c r="E19" s="365"/>
      <c r="F19" s="365"/>
      <c r="R19" s="164"/>
      <c r="S19" s="164"/>
      <c r="T19" s="164"/>
      <c r="U19" s="164"/>
      <c r="V19" s="164"/>
      <c r="W19" s="164"/>
      <c r="X19" s="164"/>
      <c r="Y19" s="164"/>
      <c r="Z19" s="164"/>
      <c r="AA19" s="164"/>
      <c r="AB19" s="165"/>
      <c r="AC19" s="165"/>
      <c r="AD19" s="165"/>
      <c r="AE19" s="165"/>
    </row>
    <row r="20" spans="1:31" s="162" customFormat="1" x14ac:dyDescent="0.3">
      <c r="A20" s="182" t="s">
        <v>33</v>
      </c>
      <c r="B20" s="195" t="e">
        <f>VLOOKUP(IDENTIF_NOM_REQUERANT,t_beneficiaires_p22[[Entité]:[Tranche 2023 (80%)]],4,FALSE)</f>
        <v>#N/A</v>
      </c>
      <c r="C20" s="169"/>
      <c r="D20" s="358" t="s">
        <v>21</v>
      </c>
      <c r="E20" s="359"/>
      <c r="F20" s="96" t="s">
        <v>14</v>
      </c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5"/>
      <c r="AC20" s="165"/>
      <c r="AD20" s="165"/>
      <c r="AE20" s="165"/>
    </row>
    <row r="21" spans="1:31" s="162" customFormat="1" x14ac:dyDescent="0.3">
      <c r="A21" s="183" t="s">
        <v>490</v>
      </c>
      <c r="B21" s="195" t="e">
        <f>VLOOKUP(IDENTIF_NOM_REQUERANT,t_beneficiaires_p22[[Entité]:[Tranche 2023 (80%)]],5,FALSE)</f>
        <v>#N/A</v>
      </c>
      <c r="C21" s="169"/>
      <c r="D21" s="358" t="s">
        <v>23</v>
      </c>
      <c r="E21" s="359"/>
      <c r="F21" s="96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5"/>
      <c r="AC21" s="165"/>
      <c r="AD21" s="165"/>
      <c r="AE21" s="165"/>
    </row>
    <row r="22" spans="1:31" s="162" customFormat="1" x14ac:dyDescent="0.3">
      <c r="A22" s="183" t="s">
        <v>35</v>
      </c>
      <c r="B22" s="196" t="e">
        <f>VLOOKUP(IDENTIF_NOM_REQUERANT,t_beneficiaires_p22[[Entité]:[Ref AM]],17,FALSE)</f>
        <v>#N/A</v>
      </c>
      <c r="C22" s="169"/>
      <c r="D22" s="358" t="s">
        <v>25</v>
      </c>
      <c r="E22" s="359"/>
      <c r="F22" s="96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5"/>
      <c r="AC22" s="165"/>
      <c r="AD22" s="165"/>
      <c r="AE22" s="165"/>
    </row>
    <row r="23" spans="1:31" s="162" customFormat="1" ht="21.45" customHeight="1" x14ac:dyDescent="0.3">
      <c r="A23" s="184" t="s">
        <v>1542</v>
      </c>
      <c r="B23" s="214" t="e">
        <f>VLOOKUP(IDENTIF_NOM_REQUERANT,t_beneficiaires_p22[[Entité]:[Visa]],10,FALSE)</f>
        <v>#N/A</v>
      </c>
      <c r="C23" s="169"/>
      <c r="D23" s="358" t="s">
        <v>27</v>
      </c>
      <c r="E23" s="359"/>
      <c r="F23" s="102"/>
    </row>
    <row r="24" spans="1:31" s="162" customFormat="1" x14ac:dyDescent="0.3">
      <c r="A24" s="184" t="s">
        <v>488</v>
      </c>
      <c r="B24" s="196" t="e">
        <f>VLOOKUP(IDENTIF_NOM_REQUERANT,t_beneficiaires_p22[[Entité]:[EJ]],11,FALSE)</f>
        <v>#N/A</v>
      </c>
      <c r="C24" s="169"/>
      <c r="D24" s="358" t="s">
        <v>29</v>
      </c>
      <c r="E24" s="359"/>
      <c r="F24" s="96"/>
    </row>
    <row r="25" spans="1:31" s="162" customFormat="1" x14ac:dyDescent="0.3">
      <c r="C25" s="169"/>
      <c r="D25" s="169"/>
      <c r="E25" s="169"/>
      <c r="F25" s="169"/>
    </row>
    <row r="26" spans="1:31" s="162" customFormat="1" x14ac:dyDescent="0.3">
      <c r="C26" s="169"/>
    </row>
    <row r="27" spans="1:31" s="162" customFormat="1" x14ac:dyDescent="0.3">
      <c r="C27" s="169"/>
      <c r="D27" s="169"/>
      <c r="E27" s="169"/>
      <c r="F27" s="169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5"/>
      <c r="AC27" s="165"/>
      <c r="AD27" s="165"/>
      <c r="AE27" s="165"/>
    </row>
    <row r="28" spans="1:31" s="162" customFormat="1" ht="61.95" customHeight="1" x14ac:dyDescent="0.3">
      <c r="C28" s="169"/>
      <c r="D28" s="169"/>
      <c r="E28" s="169"/>
      <c r="F28" s="169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5"/>
      <c r="AC28" s="165"/>
      <c r="AD28" s="165"/>
      <c r="AE28" s="165"/>
    </row>
    <row r="29" spans="1:31" s="162" customFormat="1" ht="14.7" customHeight="1" x14ac:dyDescent="0.3">
      <c r="A29" s="186"/>
      <c r="B29" s="187"/>
      <c r="C29" s="169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5"/>
      <c r="AC29" s="165"/>
      <c r="AD29" s="165"/>
      <c r="AE29" s="165"/>
    </row>
    <row r="30" spans="1:31" s="162" customFormat="1" ht="44.7" customHeight="1" x14ac:dyDescent="0.3">
      <c r="C30" s="169"/>
      <c r="D30" s="180"/>
      <c r="E30" s="180"/>
      <c r="F30" s="180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9"/>
      <c r="S30" s="189"/>
      <c r="T30" s="189"/>
      <c r="U30" s="189"/>
      <c r="V30" s="189"/>
      <c r="W30" s="189"/>
      <c r="X30" s="189"/>
      <c r="Y30" s="189"/>
      <c r="Z30" s="189"/>
      <c r="AA30" s="189"/>
    </row>
    <row r="31" spans="1:31" s="180" customFormat="1" ht="20.7" customHeight="1" x14ac:dyDescent="0.3">
      <c r="C31" s="16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</row>
    <row r="32" spans="1:31" s="180" customFormat="1" ht="19.95" customHeight="1" x14ac:dyDescent="0.3">
      <c r="C32" s="16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</row>
    <row r="33" spans="1:17" s="180" customFormat="1" ht="20.7" customHeight="1" x14ac:dyDescent="0.3">
      <c r="C33" s="16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</row>
    <row r="34" spans="1:17" s="180" customFormat="1" x14ac:dyDescent="0.3"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</row>
    <row r="35" spans="1:17" s="180" customFormat="1" x14ac:dyDescent="0.3">
      <c r="A35" s="190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</row>
    <row r="36" spans="1:17" s="180" customFormat="1" x14ac:dyDescent="0.3">
      <c r="A36" s="190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</row>
    <row r="37" spans="1:17" s="180" customFormat="1" x14ac:dyDescent="0.3">
      <c r="A37" s="190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</row>
    <row r="38" spans="1:17" s="180" customFormat="1" x14ac:dyDescent="0.3">
      <c r="A38" s="190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</row>
    <row r="39" spans="1:17" s="180" customFormat="1" x14ac:dyDescent="0.3">
      <c r="A39" s="190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</row>
    <row r="40" spans="1:17" s="180" customFormat="1" x14ac:dyDescent="0.3">
      <c r="A40" s="190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</row>
    <row r="41" spans="1:17" s="180" customFormat="1" x14ac:dyDescent="0.3">
      <c r="A41" s="190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</row>
    <row r="42" spans="1:17" s="180" customFormat="1" x14ac:dyDescent="0.3">
      <c r="A42" s="190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</row>
    <row r="43" spans="1:17" s="180" customFormat="1" x14ac:dyDescent="0.3">
      <c r="A43" s="190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</row>
    <row r="44" spans="1:17" s="180" customFormat="1" x14ac:dyDescent="0.3">
      <c r="A44" s="190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</row>
    <row r="45" spans="1:17" s="180" customFormat="1" x14ac:dyDescent="0.3">
      <c r="A45" s="190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</row>
    <row r="46" spans="1:17" s="180" customFormat="1" x14ac:dyDescent="0.3">
      <c r="A46" s="190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</row>
    <row r="47" spans="1:17" s="180" customFormat="1" x14ac:dyDescent="0.3">
      <c r="A47" s="190"/>
      <c r="D47" s="192"/>
      <c r="E47" s="192"/>
      <c r="F47" s="192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</row>
    <row r="48" spans="1:17" s="180" customFormat="1" x14ac:dyDescent="0.3">
      <c r="A48" s="191"/>
      <c r="B48" s="192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</row>
    <row r="49" spans="1:17" s="180" customFormat="1" x14ac:dyDescent="0.3">
      <c r="C49" s="192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</row>
    <row r="50" spans="1:17" s="180" customFormat="1" x14ac:dyDescent="0.3"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</row>
    <row r="51" spans="1:17" s="180" customFormat="1" x14ac:dyDescent="0.3"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</row>
    <row r="52" spans="1:17" s="180" customFormat="1" x14ac:dyDescent="0.3"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</row>
    <row r="53" spans="1:17" s="180" customFormat="1" x14ac:dyDescent="0.3"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</row>
    <row r="54" spans="1:17" s="180" customFormat="1" x14ac:dyDescent="0.3">
      <c r="D54" s="193"/>
      <c r="E54" s="193"/>
      <c r="F54" s="193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</row>
    <row r="55" spans="1:17" s="180" customFormat="1" x14ac:dyDescent="0.3">
      <c r="A55" s="193"/>
      <c r="B55" s="193"/>
      <c r="D55" s="193"/>
      <c r="E55" s="193"/>
      <c r="F55" s="193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</row>
    <row r="56" spans="1:17" x14ac:dyDescent="0.3">
      <c r="A56" s="193"/>
    </row>
    <row r="57" spans="1:17" x14ac:dyDescent="0.3">
      <c r="A57" s="193"/>
    </row>
    <row r="58" spans="1:17" x14ac:dyDescent="0.3">
      <c r="A58" s="193"/>
    </row>
    <row r="59" spans="1:17" x14ac:dyDescent="0.3">
      <c r="A59" s="193"/>
    </row>
    <row r="60" spans="1:17" x14ac:dyDescent="0.3">
      <c r="A60" s="193"/>
    </row>
    <row r="61" spans="1:17" x14ac:dyDescent="0.3">
      <c r="A61" s="193"/>
    </row>
    <row r="62" spans="1:17" x14ac:dyDescent="0.3">
      <c r="A62" s="193"/>
      <c r="D62" s="192"/>
      <c r="E62" s="192"/>
      <c r="F62" s="192"/>
    </row>
    <row r="63" spans="1:17" x14ac:dyDescent="0.3">
      <c r="A63" s="191"/>
      <c r="B63" s="192"/>
    </row>
    <row r="64" spans="1:17" x14ac:dyDescent="0.3">
      <c r="C64" s="192"/>
    </row>
  </sheetData>
  <sheetProtection algorithmName="SHA-512" hashValue="pWG65w9KQ9Fm7d4JbsizR2Qbs0UE8taWH7M6hF5zn1dYvjVJmnjsC7vL9qgdg4Iaob1PQixFnMRY10NLODY7CQ==" saltValue="w5oeHZKM4Ih9cb9IajuaDQ==" spinCount="100000" sheet="1" formatCells="0" formatColumns="0" formatRows="0"/>
  <dataConsolidate/>
  <customSheetViews>
    <customSheetView guid="{C3F58662-020B-4E56-B390-38D4A953D070}" scale="80" showGridLines="0" printArea="1">
      <selection activeCell="I31" sqref="I31"/>
      <rowBreaks count="2" manualBreakCount="2">
        <brk id="27" max="8" man="1"/>
        <brk id="51" max="8" man="1"/>
      </rowBreaks>
      <pageMargins left="0" right="0" top="0" bottom="0" header="0" footer="0"/>
      <pageSetup paperSize="9" scale="73" fitToHeight="3" orientation="landscape" horizontalDpi="0" verticalDpi="0" r:id="rId1"/>
      <headerFooter>
        <oddHeader>&amp;F</oddHeader>
        <oddFooter>&amp;C&amp;A&amp;R&amp;P/&amp;N</oddFooter>
      </headerFooter>
    </customSheetView>
  </customSheetViews>
  <mergeCells count="15">
    <mergeCell ref="D24:E24"/>
    <mergeCell ref="D17:E17"/>
    <mergeCell ref="A3:B3"/>
    <mergeCell ref="A19:B19"/>
    <mergeCell ref="D19:F19"/>
    <mergeCell ref="D20:E20"/>
    <mergeCell ref="D21:E21"/>
    <mergeCell ref="D22:E22"/>
    <mergeCell ref="D23:E23"/>
    <mergeCell ref="D4:F4"/>
    <mergeCell ref="A13:B13"/>
    <mergeCell ref="D13:F13"/>
    <mergeCell ref="D5:E5"/>
    <mergeCell ref="D6:E6"/>
    <mergeCell ref="D7:E7"/>
  </mergeCells>
  <conditionalFormatting sqref="F17">
    <cfRule type="cellIs" dxfId="91" priority="1" operator="greaterThan">
      <formula>24</formula>
    </cfRule>
  </conditionalFormatting>
  <dataValidations count="6">
    <dataValidation type="list" showInputMessage="1" showErrorMessage="1" sqref="B10" xr:uid="{00000000-0002-0000-0200-000009000000}">
      <formula1>LISTE_OUI_NON</formula1>
    </dataValidation>
    <dataValidation type="date" errorStyle="warning" allowBlank="1" showInputMessage="1" showErrorMessage="1" error="La période couverte par la convention ne couvre pas la période de la DC présentée" sqref="F15" xr:uid="{00000000-0002-0000-0200-000000000000}">
      <formula1>B15</formula1>
      <formula2>B16</formula2>
    </dataValidation>
    <dataValidation type="date" errorStyle="warning" allowBlank="1" showInputMessage="1" showErrorMessage="1" error="La période couverte par la convention ne couvre pas la période de la DC présentée" sqref="F16" xr:uid="{00000000-0002-0000-0200-000001000000}">
      <formula1>B15</formula1>
      <formula2>B16</formula2>
    </dataValidation>
    <dataValidation type="list" allowBlank="1" showInputMessage="1" showErrorMessage="1" sqref="F20" xr:uid="{0E2E04D4-3C17-4CFC-BCE6-20C5B36DE712}">
      <formula1>LISTE_CIV</formula1>
    </dataValidation>
    <dataValidation type="list" allowBlank="1" showInputMessage="1" showErrorMessage="1" sqref="F14" xr:uid="{00000000-0002-0000-0200-00000C000000}">
      <formula1>LISTE_N_DC</formula1>
    </dataValidation>
    <dataValidation type="list" allowBlank="1" showInputMessage="1" showErrorMessage="1" sqref="B4" xr:uid="{8E75B0BC-C71A-48A0-9ED7-173123BF04AD}">
      <formula1>l_beneficiaires_p22</formula1>
    </dataValidation>
  </dataValidations>
  <pageMargins left="0" right="0" top="0.47244094488188981" bottom="0.19685039370078741" header="0.17" footer="0.19685039370078741"/>
  <pageSetup paperSize="9" scale="67" fitToHeight="3" orientation="landscape" r:id="rId2"/>
  <headerFooter>
    <oddHeader>&amp;F</oddHeader>
    <oddFooter>&amp;C&amp;A&amp;R&amp;P/&amp;N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7" r:id="rId5" name="Button 3">
              <controlPr defaultSize="0" print="0" autoFill="0" autoPict="0" macro="[0]!AFFICHER_FEUILLE">
                <anchor moveWithCells="1" sizeWithCells="1">
                  <from>
                    <xdr:col>1</xdr:col>
                    <xdr:colOff>670560</xdr:colOff>
                    <xdr:row>135</xdr:row>
                    <xdr:rowOff>106680</xdr:rowOff>
                  </from>
                  <to>
                    <xdr:col>2</xdr:col>
                    <xdr:colOff>1165860</xdr:colOff>
                    <xdr:row>137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6" name="MASQUER LES FEUILLES 6 à 9">
              <controlPr defaultSize="0" print="0" autoFill="0" autoPict="0" macro="[0]!Masquer_FEUILLES">
                <anchor moveWithCells="1" sizeWithCells="1">
                  <from>
                    <xdr:col>0</xdr:col>
                    <xdr:colOff>228600</xdr:colOff>
                    <xdr:row>134</xdr:row>
                    <xdr:rowOff>99060</xdr:rowOff>
                  </from>
                  <to>
                    <xdr:col>1</xdr:col>
                    <xdr:colOff>411480</xdr:colOff>
                    <xdr:row>136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7" name="Button 6">
              <controlPr defaultSize="0" print="0" autoFill="0" autoPict="0" macro="[0]!VEROUILLER_IDENTIFICATION">
                <anchor moveWithCells="1" sizeWithCells="1">
                  <from>
                    <xdr:col>2</xdr:col>
                    <xdr:colOff>1371600</xdr:colOff>
                    <xdr:row>135</xdr:row>
                    <xdr:rowOff>137160</xdr:rowOff>
                  </from>
                  <to>
                    <xdr:col>4</xdr:col>
                    <xdr:colOff>441960</xdr:colOff>
                    <xdr:row>137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A6613-9658-4F40-BC62-43401E2C0DBE}">
  <sheetPr>
    <tabColor rgb="FFFFFF00"/>
  </sheetPr>
  <dimension ref="A1:BN537"/>
  <sheetViews>
    <sheetView showGridLines="0" zoomScale="110" zoomScaleNormal="110" zoomScaleSheetLayoutView="40" workbookViewId="0">
      <selection activeCell="E6" sqref="E6"/>
    </sheetView>
  </sheetViews>
  <sheetFormatPr baseColWidth="10" defaultColWidth="25" defaultRowHeight="13.8" x14ac:dyDescent="0.3"/>
  <cols>
    <col min="1" max="1" width="16.6640625" style="281" customWidth="1"/>
    <col min="2" max="3" width="20.33203125" style="279" customWidth="1"/>
    <col min="4" max="4" width="40.5546875" style="279" customWidth="1"/>
    <col min="5" max="5" width="30.44140625" style="280" customWidth="1"/>
    <col min="6" max="6" width="17.33203125" style="275" customWidth="1"/>
    <col min="7" max="7" width="15.33203125" style="275" customWidth="1"/>
    <col min="8" max="8" width="18.44140625" style="275" customWidth="1"/>
    <col min="9" max="9" width="26.109375" style="275" customWidth="1"/>
    <col min="10" max="10" width="24.44140625" style="275" customWidth="1"/>
    <col min="11" max="11" width="16.33203125" style="275" customWidth="1"/>
    <col min="12" max="12" width="33.33203125" style="275" customWidth="1"/>
    <col min="13" max="13" width="17.109375" style="276" hidden="1" customWidth="1"/>
    <col min="14" max="15" width="13.44140625" style="275" hidden="1" customWidth="1"/>
    <col min="16" max="16" width="13.33203125" style="275" hidden="1" customWidth="1"/>
    <col min="17" max="17" width="15.33203125" style="275" hidden="1" customWidth="1"/>
    <col min="18" max="18" width="16.5546875" style="275" hidden="1" customWidth="1"/>
    <col min="19" max="19" width="13.44140625" style="275" hidden="1" customWidth="1"/>
    <col min="20" max="20" width="20.6640625" style="275" hidden="1" customWidth="1"/>
    <col min="21" max="21" width="62.88671875" style="275" hidden="1" customWidth="1"/>
    <col min="22" max="27" width="25" style="275" customWidth="1"/>
    <col min="28" max="56" width="25" style="275" hidden="1" customWidth="1"/>
    <col min="57" max="57" width="25" style="277" hidden="1" customWidth="1"/>
    <col min="58" max="66" width="25" style="275" hidden="1" customWidth="1"/>
    <col min="67" max="16384" width="25" style="275"/>
  </cols>
  <sheetData>
    <row r="1" spans="1:5" ht="21" customHeight="1" x14ac:dyDescent="0.3">
      <c r="A1" s="371" t="s">
        <v>754</v>
      </c>
      <c r="B1" s="372"/>
      <c r="C1" s="372"/>
      <c r="D1" s="372"/>
      <c r="E1" s="373"/>
    </row>
    <row r="2" spans="1:5" ht="57.6" customHeight="1" x14ac:dyDescent="0.3">
      <c r="A2" s="368" t="s">
        <v>1546</v>
      </c>
      <c r="B2" s="369"/>
      <c r="C2" s="369"/>
      <c r="D2" s="369"/>
      <c r="E2" s="370"/>
    </row>
    <row r="3" spans="1:5" x14ac:dyDescent="0.3">
      <c r="A3" s="374" t="s">
        <v>755</v>
      </c>
      <c r="B3" s="375"/>
      <c r="C3" s="375"/>
      <c r="D3" s="375"/>
      <c r="E3" s="376"/>
    </row>
    <row r="4" spans="1:5" x14ac:dyDescent="0.3">
      <c r="A4" s="229"/>
      <c r="B4" s="227"/>
      <c r="C4" s="227"/>
      <c r="D4" s="227"/>
      <c r="E4" s="228"/>
    </row>
    <row r="5" spans="1:5" ht="57.6" x14ac:dyDescent="0.3">
      <c r="A5" s="223" t="s">
        <v>38</v>
      </c>
      <c r="B5" s="218" t="s">
        <v>39</v>
      </c>
      <c r="C5" s="218" t="s">
        <v>40</v>
      </c>
      <c r="D5" s="218" t="s">
        <v>482</v>
      </c>
      <c r="E5" s="224" t="s">
        <v>41</v>
      </c>
    </row>
    <row r="6" spans="1:5" x14ac:dyDescent="0.3">
      <c r="A6" s="225"/>
      <c r="B6" s="153"/>
      <c r="C6" s="222"/>
      <c r="D6" s="222"/>
      <c r="E6" s="226"/>
    </row>
    <row r="7" spans="1:5" x14ac:dyDescent="0.3">
      <c r="A7" s="153"/>
      <c r="B7" s="153"/>
      <c r="C7" s="222"/>
      <c r="D7" s="222"/>
      <c r="E7" s="153"/>
    </row>
    <row r="8" spans="1:5" ht="14.4" x14ac:dyDescent="0.3">
      <c r="A8" s="271" t="s">
        <v>753</v>
      </c>
      <c r="B8" s="272"/>
      <c r="C8" s="273">
        <f>SUBTOTAL(105,t_personnel[Date début nouveau  contrat ou de l''avenant])</f>
        <v>0</v>
      </c>
      <c r="D8" s="273">
        <f>SUBTOTAL(104,t_personnel[Date de fin du contrat (si spécifiée)])</f>
        <v>0</v>
      </c>
      <c r="E8" s="274">
        <f>SUBTOTAL(109,t_personnel[Type de contrat (en Équivalent temps plein : 1= 1 temps plein, 0.5 un mi-temps…, ) y compris les missions hors POLLEC))])</f>
        <v>0</v>
      </c>
    </row>
    <row r="9" spans="1:5" x14ac:dyDescent="0.3">
      <c r="A9" s="278"/>
    </row>
    <row r="10" spans="1:5" x14ac:dyDescent="0.3">
      <c r="A10" s="278"/>
    </row>
    <row r="11" spans="1:5" x14ac:dyDescent="0.3">
      <c r="A11" s="278"/>
    </row>
    <row r="12" spans="1:5" x14ac:dyDescent="0.3">
      <c r="A12" s="278"/>
    </row>
    <row r="13" spans="1:5" x14ac:dyDescent="0.3">
      <c r="A13" s="278"/>
    </row>
    <row r="14" spans="1:5" x14ac:dyDescent="0.3">
      <c r="A14" s="278"/>
    </row>
    <row r="15" spans="1:5" x14ac:dyDescent="0.3">
      <c r="A15" s="278"/>
    </row>
    <row r="16" spans="1:5" x14ac:dyDescent="0.3">
      <c r="A16" s="278"/>
    </row>
    <row r="17" spans="1:1" x14ac:dyDescent="0.3">
      <c r="A17" s="278"/>
    </row>
    <row r="18" spans="1:1" x14ac:dyDescent="0.3">
      <c r="A18" s="278"/>
    </row>
    <row r="19" spans="1:1" x14ac:dyDescent="0.3">
      <c r="A19" s="278"/>
    </row>
    <row r="20" spans="1:1" x14ac:dyDescent="0.3">
      <c r="A20" s="278"/>
    </row>
    <row r="21" spans="1:1" x14ac:dyDescent="0.3">
      <c r="A21" s="278"/>
    </row>
    <row r="22" spans="1:1" x14ac:dyDescent="0.3">
      <c r="A22" s="278"/>
    </row>
    <row r="23" spans="1:1" x14ac:dyDescent="0.3">
      <c r="A23" s="278"/>
    </row>
    <row r="24" spans="1:1" x14ac:dyDescent="0.3">
      <c r="A24" s="278"/>
    </row>
    <row r="25" spans="1:1" x14ac:dyDescent="0.3">
      <c r="A25" s="278"/>
    </row>
    <row r="26" spans="1:1" x14ac:dyDescent="0.3">
      <c r="A26" s="278"/>
    </row>
    <row r="27" spans="1:1" x14ac:dyDescent="0.3">
      <c r="A27" s="278"/>
    </row>
    <row r="28" spans="1:1" x14ac:dyDescent="0.3">
      <c r="A28" s="278"/>
    </row>
    <row r="29" spans="1:1" x14ac:dyDescent="0.3">
      <c r="A29" s="278"/>
    </row>
    <row r="30" spans="1:1" x14ac:dyDescent="0.3">
      <c r="A30" s="278"/>
    </row>
    <row r="31" spans="1:1" x14ac:dyDescent="0.3">
      <c r="A31" s="278"/>
    </row>
    <row r="32" spans="1:1" x14ac:dyDescent="0.3">
      <c r="A32" s="278"/>
    </row>
    <row r="33" spans="1:1" x14ac:dyDescent="0.3">
      <c r="A33" s="278"/>
    </row>
    <row r="34" spans="1:1" x14ac:dyDescent="0.3">
      <c r="A34" s="278"/>
    </row>
    <row r="35" spans="1:1" x14ac:dyDescent="0.3">
      <c r="A35" s="278"/>
    </row>
    <row r="36" spans="1:1" x14ac:dyDescent="0.3">
      <c r="A36" s="278"/>
    </row>
    <row r="37" spans="1:1" x14ac:dyDescent="0.3">
      <c r="A37" s="278"/>
    </row>
    <row r="38" spans="1:1" x14ac:dyDescent="0.3">
      <c r="A38" s="278"/>
    </row>
    <row r="39" spans="1:1" x14ac:dyDescent="0.3">
      <c r="A39" s="278"/>
    </row>
    <row r="40" spans="1:1" x14ac:dyDescent="0.3">
      <c r="A40" s="278"/>
    </row>
    <row r="41" spans="1:1" x14ac:dyDescent="0.3">
      <c r="A41" s="278"/>
    </row>
    <row r="42" spans="1:1" x14ac:dyDescent="0.3">
      <c r="A42" s="278"/>
    </row>
    <row r="43" spans="1:1" x14ac:dyDescent="0.3">
      <c r="A43" s="278"/>
    </row>
    <row r="44" spans="1:1" x14ac:dyDescent="0.3">
      <c r="A44" s="278"/>
    </row>
    <row r="45" spans="1:1" x14ac:dyDescent="0.3">
      <c r="A45" s="278"/>
    </row>
    <row r="46" spans="1:1" x14ac:dyDescent="0.3">
      <c r="A46" s="278"/>
    </row>
    <row r="47" spans="1:1" x14ac:dyDescent="0.3">
      <c r="A47" s="278"/>
    </row>
    <row r="48" spans="1:1" x14ac:dyDescent="0.3">
      <c r="A48" s="278"/>
    </row>
    <row r="49" spans="1:1" x14ac:dyDescent="0.3">
      <c r="A49" s="278"/>
    </row>
    <row r="50" spans="1:1" x14ac:dyDescent="0.3">
      <c r="A50" s="278"/>
    </row>
    <row r="51" spans="1:1" x14ac:dyDescent="0.3">
      <c r="A51" s="278"/>
    </row>
    <row r="52" spans="1:1" x14ac:dyDescent="0.3">
      <c r="A52" s="278"/>
    </row>
    <row r="53" spans="1:1" x14ac:dyDescent="0.3">
      <c r="A53" s="278"/>
    </row>
    <row r="54" spans="1:1" x14ac:dyDescent="0.3">
      <c r="A54" s="278"/>
    </row>
    <row r="55" spans="1:1" x14ac:dyDescent="0.3">
      <c r="A55" s="278"/>
    </row>
    <row r="56" spans="1:1" x14ac:dyDescent="0.3">
      <c r="A56" s="278"/>
    </row>
    <row r="57" spans="1:1" x14ac:dyDescent="0.3">
      <c r="A57" s="278"/>
    </row>
    <row r="58" spans="1:1" x14ac:dyDescent="0.3">
      <c r="A58" s="278"/>
    </row>
    <row r="59" spans="1:1" x14ac:dyDescent="0.3">
      <c r="A59" s="278"/>
    </row>
    <row r="60" spans="1:1" x14ac:dyDescent="0.3">
      <c r="A60" s="278"/>
    </row>
    <row r="61" spans="1:1" x14ac:dyDescent="0.3">
      <c r="A61" s="278"/>
    </row>
    <row r="62" spans="1:1" x14ac:dyDescent="0.3">
      <c r="A62" s="278"/>
    </row>
    <row r="63" spans="1:1" x14ac:dyDescent="0.3">
      <c r="A63" s="278"/>
    </row>
    <row r="64" spans="1:1" x14ac:dyDescent="0.3">
      <c r="A64" s="278"/>
    </row>
    <row r="65" spans="1:1" x14ac:dyDescent="0.3">
      <c r="A65" s="278"/>
    </row>
    <row r="66" spans="1:1" x14ac:dyDescent="0.3">
      <c r="A66" s="278"/>
    </row>
    <row r="67" spans="1:1" x14ac:dyDescent="0.3">
      <c r="A67" s="278"/>
    </row>
    <row r="68" spans="1:1" x14ac:dyDescent="0.3">
      <c r="A68" s="278"/>
    </row>
    <row r="69" spans="1:1" x14ac:dyDescent="0.3">
      <c r="A69" s="278"/>
    </row>
    <row r="70" spans="1:1" x14ac:dyDescent="0.3">
      <c r="A70" s="278"/>
    </row>
    <row r="71" spans="1:1" x14ac:dyDescent="0.3">
      <c r="A71" s="278"/>
    </row>
    <row r="72" spans="1:1" x14ac:dyDescent="0.3">
      <c r="A72" s="278"/>
    </row>
    <row r="73" spans="1:1" x14ac:dyDescent="0.3">
      <c r="A73" s="278"/>
    </row>
    <row r="74" spans="1:1" x14ac:dyDescent="0.3">
      <c r="A74" s="278"/>
    </row>
    <row r="75" spans="1:1" x14ac:dyDescent="0.3">
      <c r="A75" s="278"/>
    </row>
    <row r="76" spans="1:1" x14ac:dyDescent="0.3">
      <c r="A76" s="278"/>
    </row>
    <row r="77" spans="1:1" x14ac:dyDescent="0.3">
      <c r="A77" s="278"/>
    </row>
    <row r="78" spans="1:1" x14ac:dyDescent="0.3">
      <c r="A78" s="278"/>
    </row>
    <row r="79" spans="1:1" x14ac:dyDescent="0.3">
      <c r="A79" s="278"/>
    </row>
    <row r="80" spans="1:1" x14ac:dyDescent="0.3">
      <c r="A80" s="278"/>
    </row>
    <row r="81" spans="1:1" x14ac:dyDescent="0.3">
      <c r="A81" s="278"/>
    </row>
    <row r="82" spans="1:1" x14ac:dyDescent="0.3">
      <c r="A82" s="278"/>
    </row>
    <row r="83" spans="1:1" x14ac:dyDescent="0.3">
      <c r="A83" s="278"/>
    </row>
    <row r="84" spans="1:1" x14ac:dyDescent="0.3">
      <c r="A84" s="278"/>
    </row>
    <row r="85" spans="1:1" x14ac:dyDescent="0.3">
      <c r="A85" s="278"/>
    </row>
    <row r="86" spans="1:1" x14ac:dyDescent="0.3">
      <c r="A86" s="278"/>
    </row>
    <row r="87" spans="1:1" x14ac:dyDescent="0.3">
      <c r="A87" s="278"/>
    </row>
    <row r="88" spans="1:1" x14ac:dyDescent="0.3">
      <c r="A88" s="278"/>
    </row>
    <row r="89" spans="1:1" x14ac:dyDescent="0.3">
      <c r="A89" s="278"/>
    </row>
    <row r="90" spans="1:1" x14ac:dyDescent="0.3">
      <c r="A90" s="278"/>
    </row>
    <row r="91" spans="1:1" x14ac:dyDescent="0.3">
      <c r="A91" s="278"/>
    </row>
    <row r="92" spans="1:1" x14ac:dyDescent="0.3">
      <c r="A92" s="278"/>
    </row>
    <row r="93" spans="1:1" x14ac:dyDescent="0.3">
      <c r="A93" s="278"/>
    </row>
    <row r="94" spans="1:1" x14ac:dyDescent="0.3">
      <c r="A94" s="278"/>
    </row>
    <row r="95" spans="1:1" x14ac:dyDescent="0.3">
      <c r="A95" s="278"/>
    </row>
    <row r="96" spans="1:1" x14ac:dyDescent="0.3">
      <c r="A96" s="278"/>
    </row>
    <row r="97" spans="1:1" x14ac:dyDescent="0.3">
      <c r="A97" s="278"/>
    </row>
    <row r="98" spans="1:1" x14ac:dyDescent="0.3">
      <c r="A98" s="278"/>
    </row>
    <row r="99" spans="1:1" x14ac:dyDescent="0.3">
      <c r="A99" s="278"/>
    </row>
    <row r="100" spans="1:1" x14ac:dyDescent="0.3">
      <c r="A100" s="278"/>
    </row>
    <row r="101" spans="1:1" x14ac:dyDescent="0.3">
      <c r="A101" s="278"/>
    </row>
    <row r="102" spans="1:1" x14ac:dyDescent="0.3">
      <c r="A102" s="278"/>
    </row>
    <row r="103" spans="1:1" x14ac:dyDescent="0.3">
      <c r="A103" s="278"/>
    </row>
    <row r="104" spans="1:1" x14ac:dyDescent="0.3">
      <c r="A104" s="278"/>
    </row>
    <row r="105" spans="1:1" x14ac:dyDescent="0.3">
      <c r="A105" s="278"/>
    </row>
    <row r="106" spans="1:1" x14ac:dyDescent="0.3">
      <c r="A106" s="278"/>
    </row>
    <row r="107" spans="1:1" x14ac:dyDescent="0.3">
      <c r="A107" s="278"/>
    </row>
    <row r="108" spans="1:1" x14ac:dyDescent="0.3">
      <c r="A108" s="278"/>
    </row>
    <row r="109" spans="1:1" x14ac:dyDescent="0.3">
      <c r="A109" s="278"/>
    </row>
    <row r="110" spans="1:1" x14ac:dyDescent="0.3">
      <c r="A110" s="278"/>
    </row>
    <row r="111" spans="1:1" x14ac:dyDescent="0.3">
      <c r="A111" s="278"/>
    </row>
    <row r="112" spans="1:1" x14ac:dyDescent="0.3">
      <c r="A112" s="278"/>
    </row>
    <row r="113" spans="1:1" x14ac:dyDescent="0.3">
      <c r="A113" s="278"/>
    </row>
    <row r="114" spans="1:1" x14ac:dyDescent="0.3">
      <c r="A114" s="278"/>
    </row>
    <row r="115" spans="1:1" x14ac:dyDescent="0.3">
      <c r="A115" s="278"/>
    </row>
    <row r="116" spans="1:1" x14ac:dyDescent="0.3">
      <c r="A116" s="278"/>
    </row>
    <row r="117" spans="1:1" x14ac:dyDescent="0.3">
      <c r="A117" s="278"/>
    </row>
    <row r="118" spans="1:1" x14ac:dyDescent="0.3">
      <c r="A118" s="278"/>
    </row>
    <row r="119" spans="1:1" x14ac:dyDescent="0.3">
      <c r="A119" s="278"/>
    </row>
    <row r="120" spans="1:1" x14ac:dyDescent="0.3">
      <c r="A120" s="278"/>
    </row>
    <row r="121" spans="1:1" x14ac:dyDescent="0.3">
      <c r="A121" s="278"/>
    </row>
    <row r="122" spans="1:1" x14ac:dyDescent="0.3">
      <c r="A122" s="278"/>
    </row>
    <row r="123" spans="1:1" x14ac:dyDescent="0.3">
      <c r="A123" s="278"/>
    </row>
    <row r="124" spans="1:1" x14ac:dyDescent="0.3">
      <c r="A124" s="278"/>
    </row>
    <row r="125" spans="1:1" x14ac:dyDescent="0.3">
      <c r="A125" s="278"/>
    </row>
    <row r="126" spans="1:1" x14ac:dyDescent="0.3">
      <c r="A126" s="278"/>
    </row>
    <row r="127" spans="1:1" x14ac:dyDescent="0.3">
      <c r="A127" s="278"/>
    </row>
    <row r="128" spans="1:1" x14ac:dyDescent="0.3">
      <c r="A128" s="278"/>
    </row>
    <row r="129" spans="1:1" x14ac:dyDescent="0.3">
      <c r="A129" s="278"/>
    </row>
    <row r="130" spans="1:1" x14ac:dyDescent="0.3">
      <c r="A130" s="278"/>
    </row>
    <row r="131" spans="1:1" x14ac:dyDescent="0.3">
      <c r="A131" s="278"/>
    </row>
    <row r="132" spans="1:1" x14ac:dyDescent="0.3">
      <c r="A132" s="278"/>
    </row>
    <row r="133" spans="1:1" x14ac:dyDescent="0.3">
      <c r="A133" s="278"/>
    </row>
    <row r="134" spans="1:1" x14ac:dyDescent="0.3">
      <c r="A134" s="278"/>
    </row>
    <row r="135" spans="1:1" x14ac:dyDescent="0.3">
      <c r="A135" s="278"/>
    </row>
    <row r="136" spans="1:1" x14ac:dyDescent="0.3">
      <c r="A136" s="278"/>
    </row>
    <row r="137" spans="1:1" x14ac:dyDescent="0.3">
      <c r="A137" s="278"/>
    </row>
    <row r="138" spans="1:1" x14ac:dyDescent="0.3">
      <c r="A138" s="278"/>
    </row>
    <row r="139" spans="1:1" x14ac:dyDescent="0.3">
      <c r="A139" s="278"/>
    </row>
    <row r="140" spans="1:1" x14ac:dyDescent="0.3">
      <c r="A140" s="278"/>
    </row>
    <row r="141" spans="1:1" x14ac:dyDescent="0.3">
      <c r="A141" s="278"/>
    </row>
    <row r="142" spans="1:1" x14ac:dyDescent="0.3">
      <c r="A142" s="278"/>
    </row>
    <row r="143" spans="1:1" x14ac:dyDescent="0.3">
      <c r="A143" s="278"/>
    </row>
    <row r="144" spans="1:1" x14ac:dyDescent="0.3">
      <c r="A144" s="278"/>
    </row>
    <row r="145" spans="1:1" x14ac:dyDescent="0.3">
      <c r="A145" s="278"/>
    </row>
    <row r="146" spans="1:1" x14ac:dyDescent="0.3">
      <c r="A146" s="278"/>
    </row>
    <row r="147" spans="1:1" x14ac:dyDescent="0.3">
      <c r="A147" s="278"/>
    </row>
    <row r="148" spans="1:1" x14ac:dyDescent="0.3">
      <c r="A148" s="278"/>
    </row>
    <row r="149" spans="1:1" x14ac:dyDescent="0.3">
      <c r="A149" s="278"/>
    </row>
    <row r="150" spans="1:1" x14ac:dyDescent="0.3">
      <c r="A150" s="278"/>
    </row>
    <row r="151" spans="1:1" x14ac:dyDescent="0.3">
      <c r="A151" s="278"/>
    </row>
    <row r="152" spans="1:1" x14ac:dyDescent="0.3">
      <c r="A152" s="278"/>
    </row>
    <row r="153" spans="1:1" x14ac:dyDescent="0.3">
      <c r="A153" s="278"/>
    </row>
    <row r="154" spans="1:1" x14ac:dyDescent="0.3">
      <c r="A154" s="278"/>
    </row>
    <row r="155" spans="1:1" x14ac:dyDescent="0.3">
      <c r="A155" s="278"/>
    </row>
    <row r="156" spans="1:1" x14ac:dyDescent="0.3">
      <c r="A156" s="278"/>
    </row>
    <row r="157" spans="1:1" x14ac:dyDescent="0.3">
      <c r="A157" s="278"/>
    </row>
    <row r="158" spans="1:1" x14ac:dyDescent="0.3">
      <c r="A158" s="278"/>
    </row>
    <row r="159" spans="1:1" x14ac:dyDescent="0.3">
      <c r="A159" s="278"/>
    </row>
    <row r="160" spans="1:1" x14ac:dyDescent="0.3">
      <c r="A160" s="278"/>
    </row>
    <row r="161" spans="1:1" x14ac:dyDescent="0.3">
      <c r="A161" s="278"/>
    </row>
    <row r="162" spans="1:1" x14ac:dyDescent="0.3">
      <c r="A162" s="278"/>
    </row>
    <row r="163" spans="1:1" x14ac:dyDescent="0.3">
      <c r="A163" s="278"/>
    </row>
    <row r="164" spans="1:1" x14ac:dyDescent="0.3">
      <c r="A164" s="278"/>
    </row>
    <row r="165" spans="1:1" x14ac:dyDescent="0.3">
      <c r="A165" s="278"/>
    </row>
    <row r="166" spans="1:1" x14ac:dyDescent="0.3">
      <c r="A166" s="278"/>
    </row>
    <row r="167" spans="1:1" x14ac:dyDescent="0.3">
      <c r="A167" s="278"/>
    </row>
    <row r="168" spans="1:1" x14ac:dyDescent="0.3">
      <c r="A168" s="278"/>
    </row>
    <row r="169" spans="1:1" x14ac:dyDescent="0.3">
      <c r="A169" s="278"/>
    </row>
    <row r="170" spans="1:1" x14ac:dyDescent="0.3">
      <c r="A170" s="278"/>
    </row>
    <row r="171" spans="1:1" x14ac:dyDescent="0.3">
      <c r="A171" s="278"/>
    </row>
    <row r="172" spans="1:1" x14ac:dyDescent="0.3">
      <c r="A172" s="278"/>
    </row>
    <row r="173" spans="1:1" x14ac:dyDescent="0.3">
      <c r="A173" s="278"/>
    </row>
    <row r="174" spans="1:1" x14ac:dyDescent="0.3">
      <c r="A174" s="278"/>
    </row>
    <row r="175" spans="1:1" x14ac:dyDescent="0.3">
      <c r="A175" s="278"/>
    </row>
    <row r="176" spans="1:1" x14ac:dyDescent="0.3">
      <c r="A176" s="278"/>
    </row>
    <row r="177" spans="1:1" x14ac:dyDescent="0.3">
      <c r="A177" s="278"/>
    </row>
    <row r="178" spans="1:1" x14ac:dyDescent="0.3">
      <c r="A178" s="278"/>
    </row>
    <row r="179" spans="1:1" x14ac:dyDescent="0.3">
      <c r="A179" s="278"/>
    </row>
    <row r="180" spans="1:1" x14ac:dyDescent="0.3">
      <c r="A180" s="278"/>
    </row>
    <row r="181" spans="1:1" x14ac:dyDescent="0.3">
      <c r="A181" s="278"/>
    </row>
    <row r="182" spans="1:1" x14ac:dyDescent="0.3">
      <c r="A182" s="278"/>
    </row>
    <row r="183" spans="1:1" x14ac:dyDescent="0.3">
      <c r="A183" s="278"/>
    </row>
    <row r="184" spans="1:1" x14ac:dyDescent="0.3">
      <c r="A184" s="278"/>
    </row>
    <row r="185" spans="1:1" x14ac:dyDescent="0.3">
      <c r="A185" s="278"/>
    </row>
    <row r="186" spans="1:1" x14ac:dyDescent="0.3">
      <c r="A186" s="278"/>
    </row>
    <row r="187" spans="1:1" x14ac:dyDescent="0.3">
      <c r="A187" s="278"/>
    </row>
    <row r="188" spans="1:1" x14ac:dyDescent="0.3">
      <c r="A188" s="278"/>
    </row>
    <row r="189" spans="1:1" x14ac:dyDescent="0.3">
      <c r="A189" s="278"/>
    </row>
    <row r="190" spans="1:1" x14ac:dyDescent="0.3">
      <c r="A190" s="278"/>
    </row>
    <row r="191" spans="1:1" x14ac:dyDescent="0.3">
      <c r="A191" s="278"/>
    </row>
    <row r="192" spans="1:1" x14ac:dyDescent="0.3">
      <c r="A192" s="278"/>
    </row>
    <row r="193" spans="1:1" x14ac:dyDescent="0.3">
      <c r="A193" s="278"/>
    </row>
    <row r="194" spans="1:1" x14ac:dyDescent="0.3">
      <c r="A194" s="278"/>
    </row>
    <row r="195" spans="1:1" x14ac:dyDescent="0.3">
      <c r="A195" s="278"/>
    </row>
    <row r="196" spans="1:1" x14ac:dyDescent="0.3">
      <c r="A196" s="278"/>
    </row>
    <row r="197" spans="1:1" x14ac:dyDescent="0.3">
      <c r="A197" s="278"/>
    </row>
    <row r="198" spans="1:1" x14ac:dyDescent="0.3">
      <c r="A198" s="278"/>
    </row>
    <row r="199" spans="1:1" x14ac:dyDescent="0.3">
      <c r="A199" s="278"/>
    </row>
    <row r="200" spans="1:1" x14ac:dyDescent="0.3">
      <c r="A200" s="278"/>
    </row>
    <row r="201" spans="1:1" x14ac:dyDescent="0.3">
      <c r="A201" s="278"/>
    </row>
    <row r="202" spans="1:1" x14ac:dyDescent="0.3">
      <c r="A202" s="278"/>
    </row>
    <row r="203" spans="1:1" x14ac:dyDescent="0.3">
      <c r="A203" s="278"/>
    </row>
    <row r="204" spans="1:1" x14ac:dyDescent="0.3">
      <c r="A204" s="278"/>
    </row>
    <row r="205" spans="1:1" x14ac:dyDescent="0.3">
      <c r="A205" s="278"/>
    </row>
    <row r="206" spans="1:1" x14ac:dyDescent="0.3">
      <c r="A206" s="278"/>
    </row>
    <row r="207" spans="1:1" x14ac:dyDescent="0.3">
      <c r="A207" s="278"/>
    </row>
    <row r="208" spans="1:1" x14ac:dyDescent="0.3">
      <c r="A208" s="278"/>
    </row>
    <row r="209" spans="1:1" x14ac:dyDescent="0.3">
      <c r="A209" s="278"/>
    </row>
    <row r="210" spans="1:1" x14ac:dyDescent="0.3">
      <c r="A210" s="278"/>
    </row>
    <row r="211" spans="1:1" x14ac:dyDescent="0.3">
      <c r="A211" s="278"/>
    </row>
    <row r="212" spans="1:1" x14ac:dyDescent="0.3">
      <c r="A212" s="278"/>
    </row>
    <row r="213" spans="1:1" x14ac:dyDescent="0.3">
      <c r="A213" s="278"/>
    </row>
    <row r="214" spans="1:1" x14ac:dyDescent="0.3">
      <c r="A214" s="278"/>
    </row>
    <row r="215" spans="1:1" x14ac:dyDescent="0.3">
      <c r="A215" s="278"/>
    </row>
    <row r="216" spans="1:1" x14ac:dyDescent="0.3">
      <c r="A216" s="278"/>
    </row>
    <row r="217" spans="1:1" x14ac:dyDescent="0.3">
      <c r="A217" s="278"/>
    </row>
    <row r="218" spans="1:1" x14ac:dyDescent="0.3">
      <c r="A218" s="278"/>
    </row>
    <row r="219" spans="1:1" x14ac:dyDescent="0.3">
      <c r="A219" s="278"/>
    </row>
    <row r="220" spans="1:1" x14ac:dyDescent="0.3">
      <c r="A220" s="278"/>
    </row>
    <row r="221" spans="1:1" x14ac:dyDescent="0.3">
      <c r="A221" s="278"/>
    </row>
    <row r="222" spans="1:1" x14ac:dyDescent="0.3">
      <c r="A222" s="278"/>
    </row>
    <row r="223" spans="1:1" x14ac:dyDescent="0.3">
      <c r="A223" s="278"/>
    </row>
    <row r="224" spans="1:1" x14ac:dyDescent="0.3">
      <c r="A224" s="278"/>
    </row>
    <row r="225" spans="1:1" x14ac:dyDescent="0.3">
      <c r="A225" s="278"/>
    </row>
    <row r="226" spans="1:1" x14ac:dyDescent="0.3">
      <c r="A226" s="278"/>
    </row>
    <row r="227" spans="1:1" x14ac:dyDescent="0.3">
      <c r="A227" s="278"/>
    </row>
    <row r="228" spans="1:1" x14ac:dyDescent="0.3">
      <c r="A228" s="278"/>
    </row>
    <row r="229" spans="1:1" x14ac:dyDescent="0.3">
      <c r="A229" s="278"/>
    </row>
    <row r="230" spans="1:1" x14ac:dyDescent="0.3">
      <c r="A230" s="278"/>
    </row>
    <row r="231" spans="1:1" x14ac:dyDescent="0.3">
      <c r="A231" s="278"/>
    </row>
    <row r="232" spans="1:1" x14ac:dyDescent="0.3">
      <c r="A232" s="278"/>
    </row>
    <row r="233" spans="1:1" x14ac:dyDescent="0.3">
      <c r="A233" s="278"/>
    </row>
    <row r="234" spans="1:1" x14ac:dyDescent="0.3">
      <c r="A234" s="278"/>
    </row>
    <row r="235" spans="1:1" x14ac:dyDescent="0.3">
      <c r="A235" s="278"/>
    </row>
    <row r="236" spans="1:1" x14ac:dyDescent="0.3">
      <c r="A236" s="278"/>
    </row>
    <row r="237" spans="1:1" x14ac:dyDescent="0.3">
      <c r="A237" s="278"/>
    </row>
    <row r="238" spans="1:1" x14ac:dyDescent="0.3">
      <c r="A238" s="278"/>
    </row>
    <row r="239" spans="1:1" x14ac:dyDescent="0.3">
      <c r="A239" s="278"/>
    </row>
    <row r="240" spans="1:1" x14ac:dyDescent="0.3">
      <c r="A240" s="278"/>
    </row>
    <row r="241" spans="1:1" x14ac:dyDescent="0.3">
      <c r="A241" s="278"/>
    </row>
    <row r="242" spans="1:1" x14ac:dyDescent="0.3">
      <c r="A242" s="278"/>
    </row>
    <row r="243" spans="1:1" x14ac:dyDescent="0.3">
      <c r="A243" s="278"/>
    </row>
    <row r="244" spans="1:1" x14ac:dyDescent="0.3">
      <c r="A244" s="278"/>
    </row>
    <row r="245" spans="1:1" x14ac:dyDescent="0.3">
      <c r="A245" s="278"/>
    </row>
    <row r="246" spans="1:1" x14ac:dyDescent="0.3">
      <c r="A246" s="278"/>
    </row>
    <row r="247" spans="1:1" x14ac:dyDescent="0.3">
      <c r="A247" s="278"/>
    </row>
    <row r="248" spans="1:1" x14ac:dyDescent="0.3">
      <c r="A248" s="278"/>
    </row>
    <row r="249" spans="1:1" x14ac:dyDescent="0.3">
      <c r="A249" s="278"/>
    </row>
    <row r="250" spans="1:1" x14ac:dyDescent="0.3">
      <c r="A250" s="278"/>
    </row>
    <row r="251" spans="1:1" x14ac:dyDescent="0.3">
      <c r="A251" s="278"/>
    </row>
    <row r="252" spans="1:1" x14ac:dyDescent="0.3">
      <c r="A252" s="278"/>
    </row>
    <row r="253" spans="1:1" x14ac:dyDescent="0.3">
      <c r="A253" s="278"/>
    </row>
    <row r="254" spans="1:1" x14ac:dyDescent="0.3">
      <c r="A254" s="278"/>
    </row>
    <row r="255" spans="1:1" x14ac:dyDescent="0.3">
      <c r="A255" s="278"/>
    </row>
    <row r="256" spans="1:1" x14ac:dyDescent="0.3">
      <c r="A256" s="278"/>
    </row>
    <row r="257" spans="1:1" x14ac:dyDescent="0.3">
      <c r="A257" s="278"/>
    </row>
    <row r="258" spans="1:1" x14ac:dyDescent="0.3">
      <c r="A258" s="278"/>
    </row>
    <row r="259" spans="1:1" x14ac:dyDescent="0.3">
      <c r="A259" s="278"/>
    </row>
    <row r="260" spans="1:1" x14ac:dyDescent="0.3">
      <c r="A260" s="278"/>
    </row>
    <row r="261" spans="1:1" x14ac:dyDescent="0.3">
      <c r="A261" s="278"/>
    </row>
    <row r="262" spans="1:1" x14ac:dyDescent="0.3">
      <c r="A262" s="278"/>
    </row>
    <row r="263" spans="1:1" x14ac:dyDescent="0.3">
      <c r="A263" s="278"/>
    </row>
    <row r="264" spans="1:1" x14ac:dyDescent="0.3">
      <c r="A264" s="278"/>
    </row>
    <row r="265" spans="1:1" x14ac:dyDescent="0.3">
      <c r="A265" s="278"/>
    </row>
    <row r="266" spans="1:1" x14ac:dyDescent="0.3">
      <c r="A266" s="278"/>
    </row>
    <row r="267" spans="1:1" x14ac:dyDescent="0.3">
      <c r="A267" s="278"/>
    </row>
    <row r="268" spans="1:1" x14ac:dyDescent="0.3">
      <c r="A268" s="278"/>
    </row>
    <row r="269" spans="1:1" x14ac:dyDescent="0.3">
      <c r="A269" s="278"/>
    </row>
    <row r="270" spans="1:1" x14ac:dyDescent="0.3">
      <c r="A270" s="278"/>
    </row>
    <row r="271" spans="1:1" x14ac:dyDescent="0.3">
      <c r="A271" s="278"/>
    </row>
    <row r="272" spans="1:1" x14ac:dyDescent="0.3">
      <c r="A272" s="278"/>
    </row>
    <row r="273" spans="1:1" x14ac:dyDescent="0.3">
      <c r="A273" s="278"/>
    </row>
    <row r="274" spans="1:1" x14ac:dyDescent="0.3">
      <c r="A274" s="278"/>
    </row>
    <row r="275" spans="1:1" x14ac:dyDescent="0.3">
      <c r="A275" s="278"/>
    </row>
    <row r="276" spans="1:1" x14ac:dyDescent="0.3">
      <c r="A276" s="278"/>
    </row>
    <row r="277" spans="1:1" x14ac:dyDescent="0.3">
      <c r="A277" s="278"/>
    </row>
    <row r="278" spans="1:1" x14ac:dyDescent="0.3">
      <c r="A278" s="278"/>
    </row>
    <row r="279" spans="1:1" x14ac:dyDescent="0.3">
      <c r="A279" s="278"/>
    </row>
    <row r="280" spans="1:1" x14ac:dyDescent="0.3">
      <c r="A280" s="278"/>
    </row>
    <row r="281" spans="1:1" x14ac:dyDescent="0.3">
      <c r="A281" s="278"/>
    </row>
    <row r="282" spans="1:1" x14ac:dyDescent="0.3">
      <c r="A282" s="278"/>
    </row>
    <row r="283" spans="1:1" x14ac:dyDescent="0.3">
      <c r="A283" s="278"/>
    </row>
    <row r="284" spans="1:1" x14ac:dyDescent="0.3">
      <c r="A284" s="278"/>
    </row>
    <row r="285" spans="1:1" x14ac:dyDescent="0.3">
      <c r="A285" s="278"/>
    </row>
    <row r="286" spans="1:1" x14ac:dyDescent="0.3">
      <c r="A286" s="278"/>
    </row>
    <row r="287" spans="1:1" x14ac:dyDescent="0.3">
      <c r="A287" s="278"/>
    </row>
    <row r="288" spans="1:1" x14ac:dyDescent="0.3">
      <c r="A288" s="278"/>
    </row>
    <row r="289" spans="1:1" x14ac:dyDescent="0.3">
      <c r="A289" s="278"/>
    </row>
    <row r="290" spans="1:1" x14ac:dyDescent="0.3">
      <c r="A290" s="278"/>
    </row>
    <row r="291" spans="1:1" x14ac:dyDescent="0.3">
      <c r="A291" s="278"/>
    </row>
    <row r="292" spans="1:1" x14ac:dyDescent="0.3">
      <c r="A292" s="278"/>
    </row>
    <row r="293" spans="1:1" x14ac:dyDescent="0.3">
      <c r="A293" s="278"/>
    </row>
    <row r="294" spans="1:1" x14ac:dyDescent="0.3">
      <c r="A294" s="278"/>
    </row>
    <row r="295" spans="1:1" x14ac:dyDescent="0.3">
      <c r="A295" s="278"/>
    </row>
    <row r="296" spans="1:1" x14ac:dyDescent="0.3">
      <c r="A296" s="278"/>
    </row>
    <row r="297" spans="1:1" x14ac:dyDescent="0.3">
      <c r="A297" s="278"/>
    </row>
    <row r="298" spans="1:1" x14ac:dyDescent="0.3">
      <c r="A298" s="278"/>
    </row>
    <row r="299" spans="1:1" x14ac:dyDescent="0.3">
      <c r="A299" s="278"/>
    </row>
    <row r="300" spans="1:1" x14ac:dyDescent="0.3">
      <c r="A300" s="278"/>
    </row>
    <row r="301" spans="1:1" x14ac:dyDescent="0.3">
      <c r="A301" s="278"/>
    </row>
    <row r="302" spans="1:1" x14ac:dyDescent="0.3">
      <c r="A302" s="278"/>
    </row>
    <row r="303" spans="1:1" x14ac:dyDescent="0.3">
      <c r="A303" s="278"/>
    </row>
    <row r="304" spans="1:1" x14ac:dyDescent="0.3">
      <c r="A304" s="278"/>
    </row>
    <row r="305" spans="1:1" x14ac:dyDescent="0.3">
      <c r="A305" s="278"/>
    </row>
    <row r="306" spans="1:1" x14ac:dyDescent="0.3">
      <c r="A306" s="278"/>
    </row>
    <row r="307" spans="1:1" x14ac:dyDescent="0.3">
      <c r="A307" s="278"/>
    </row>
    <row r="308" spans="1:1" x14ac:dyDescent="0.3">
      <c r="A308" s="278"/>
    </row>
    <row r="309" spans="1:1" x14ac:dyDescent="0.3">
      <c r="A309" s="278"/>
    </row>
    <row r="310" spans="1:1" x14ac:dyDescent="0.3">
      <c r="A310" s="278"/>
    </row>
    <row r="311" spans="1:1" x14ac:dyDescent="0.3">
      <c r="A311" s="278"/>
    </row>
    <row r="312" spans="1:1" x14ac:dyDescent="0.3">
      <c r="A312" s="278"/>
    </row>
    <row r="313" spans="1:1" x14ac:dyDescent="0.3">
      <c r="A313" s="278"/>
    </row>
    <row r="314" spans="1:1" x14ac:dyDescent="0.3">
      <c r="A314" s="278"/>
    </row>
    <row r="315" spans="1:1" x14ac:dyDescent="0.3">
      <c r="A315" s="278"/>
    </row>
    <row r="316" spans="1:1" x14ac:dyDescent="0.3">
      <c r="A316" s="278"/>
    </row>
    <row r="317" spans="1:1" x14ac:dyDescent="0.3">
      <c r="A317" s="278"/>
    </row>
    <row r="318" spans="1:1" x14ac:dyDescent="0.3">
      <c r="A318" s="278"/>
    </row>
    <row r="319" spans="1:1" x14ac:dyDescent="0.3">
      <c r="A319" s="278"/>
    </row>
    <row r="320" spans="1:1" x14ac:dyDescent="0.3">
      <c r="A320" s="278"/>
    </row>
    <row r="321" spans="1:1" x14ac:dyDescent="0.3">
      <c r="A321" s="278"/>
    </row>
    <row r="322" spans="1:1" x14ac:dyDescent="0.3">
      <c r="A322" s="278"/>
    </row>
    <row r="323" spans="1:1" x14ac:dyDescent="0.3">
      <c r="A323" s="278"/>
    </row>
    <row r="324" spans="1:1" x14ac:dyDescent="0.3">
      <c r="A324" s="278"/>
    </row>
    <row r="325" spans="1:1" x14ac:dyDescent="0.3">
      <c r="A325" s="278"/>
    </row>
    <row r="326" spans="1:1" x14ac:dyDescent="0.3">
      <c r="A326" s="278"/>
    </row>
    <row r="327" spans="1:1" x14ac:dyDescent="0.3">
      <c r="A327" s="278"/>
    </row>
    <row r="328" spans="1:1" x14ac:dyDescent="0.3">
      <c r="A328" s="278"/>
    </row>
    <row r="329" spans="1:1" x14ac:dyDescent="0.3">
      <c r="A329" s="278"/>
    </row>
    <row r="330" spans="1:1" x14ac:dyDescent="0.3">
      <c r="A330" s="278"/>
    </row>
    <row r="331" spans="1:1" x14ac:dyDescent="0.3">
      <c r="A331" s="278"/>
    </row>
    <row r="332" spans="1:1" x14ac:dyDescent="0.3">
      <c r="A332" s="278"/>
    </row>
    <row r="333" spans="1:1" x14ac:dyDescent="0.3">
      <c r="A333" s="278"/>
    </row>
    <row r="334" spans="1:1" x14ac:dyDescent="0.3">
      <c r="A334" s="278"/>
    </row>
    <row r="335" spans="1:1" x14ac:dyDescent="0.3">
      <c r="A335" s="278"/>
    </row>
    <row r="336" spans="1:1" x14ac:dyDescent="0.3">
      <c r="A336" s="278"/>
    </row>
    <row r="337" spans="1:1" x14ac:dyDescent="0.3">
      <c r="A337" s="278"/>
    </row>
    <row r="338" spans="1:1" x14ac:dyDescent="0.3">
      <c r="A338" s="278"/>
    </row>
    <row r="339" spans="1:1" x14ac:dyDescent="0.3">
      <c r="A339" s="278"/>
    </row>
    <row r="340" spans="1:1" x14ac:dyDescent="0.3">
      <c r="A340" s="278"/>
    </row>
    <row r="341" spans="1:1" x14ac:dyDescent="0.3">
      <c r="A341" s="278"/>
    </row>
    <row r="342" spans="1:1" x14ac:dyDescent="0.3">
      <c r="A342" s="278"/>
    </row>
    <row r="343" spans="1:1" x14ac:dyDescent="0.3">
      <c r="A343" s="278"/>
    </row>
    <row r="344" spans="1:1" x14ac:dyDescent="0.3">
      <c r="A344" s="278"/>
    </row>
    <row r="345" spans="1:1" x14ac:dyDescent="0.3">
      <c r="A345" s="278"/>
    </row>
    <row r="346" spans="1:1" x14ac:dyDescent="0.3">
      <c r="A346" s="278"/>
    </row>
    <row r="347" spans="1:1" x14ac:dyDescent="0.3">
      <c r="A347" s="278"/>
    </row>
    <row r="348" spans="1:1" x14ac:dyDescent="0.3">
      <c r="A348" s="278"/>
    </row>
    <row r="349" spans="1:1" x14ac:dyDescent="0.3">
      <c r="A349" s="278"/>
    </row>
    <row r="350" spans="1:1" x14ac:dyDescent="0.3">
      <c r="A350" s="278"/>
    </row>
    <row r="351" spans="1:1" x14ac:dyDescent="0.3">
      <c r="A351" s="278"/>
    </row>
    <row r="352" spans="1:1" x14ac:dyDescent="0.3">
      <c r="A352" s="278"/>
    </row>
    <row r="353" spans="1:1" x14ac:dyDescent="0.3">
      <c r="A353" s="278"/>
    </row>
    <row r="354" spans="1:1" x14ac:dyDescent="0.3">
      <c r="A354" s="278"/>
    </row>
    <row r="355" spans="1:1" x14ac:dyDescent="0.3">
      <c r="A355" s="278"/>
    </row>
    <row r="356" spans="1:1" x14ac:dyDescent="0.3">
      <c r="A356" s="278"/>
    </row>
    <row r="357" spans="1:1" x14ac:dyDescent="0.3">
      <c r="A357" s="278"/>
    </row>
    <row r="358" spans="1:1" x14ac:dyDescent="0.3">
      <c r="A358" s="278"/>
    </row>
    <row r="359" spans="1:1" x14ac:dyDescent="0.3">
      <c r="A359" s="278"/>
    </row>
    <row r="360" spans="1:1" x14ac:dyDescent="0.3">
      <c r="A360" s="278"/>
    </row>
    <row r="361" spans="1:1" x14ac:dyDescent="0.3">
      <c r="A361" s="278"/>
    </row>
    <row r="362" spans="1:1" x14ac:dyDescent="0.3">
      <c r="A362" s="278"/>
    </row>
    <row r="363" spans="1:1" x14ac:dyDescent="0.3">
      <c r="A363" s="278"/>
    </row>
    <row r="364" spans="1:1" x14ac:dyDescent="0.3">
      <c r="A364" s="278"/>
    </row>
    <row r="365" spans="1:1" x14ac:dyDescent="0.3">
      <c r="A365" s="278"/>
    </row>
    <row r="366" spans="1:1" x14ac:dyDescent="0.3">
      <c r="A366" s="278"/>
    </row>
    <row r="367" spans="1:1" x14ac:dyDescent="0.3">
      <c r="A367" s="278"/>
    </row>
    <row r="368" spans="1:1" x14ac:dyDescent="0.3">
      <c r="A368" s="278"/>
    </row>
    <row r="369" spans="1:1" x14ac:dyDescent="0.3">
      <c r="A369" s="278"/>
    </row>
    <row r="370" spans="1:1" x14ac:dyDescent="0.3">
      <c r="A370" s="278"/>
    </row>
    <row r="371" spans="1:1" x14ac:dyDescent="0.3">
      <c r="A371" s="278"/>
    </row>
    <row r="372" spans="1:1" x14ac:dyDescent="0.3">
      <c r="A372" s="278"/>
    </row>
    <row r="373" spans="1:1" x14ac:dyDescent="0.3">
      <c r="A373" s="278"/>
    </row>
    <row r="374" spans="1:1" x14ac:dyDescent="0.3">
      <c r="A374" s="278"/>
    </row>
    <row r="375" spans="1:1" x14ac:dyDescent="0.3">
      <c r="A375" s="278"/>
    </row>
    <row r="376" spans="1:1" x14ac:dyDescent="0.3">
      <c r="A376" s="278"/>
    </row>
    <row r="377" spans="1:1" x14ac:dyDescent="0.3">
      <c r="A377" s="278"/>
    </row>
    <row r="378" spans="1:1" x14ac:dyDescent="0.3">
      <c r="A378" s="278"/>
    </row>
    <row r="379" spans="1:1" x14ac:dyDescent="0.3">
      <c r="A379" s="278"/>
    </row>
    <row r="380" spans="1:1" x14ac:dyDescent="0.3">
      <c r="A380" s="278"/>
    </row>
    <row r="381" spans="1:1" x14ac:dyDescent="0.3">
      <c r="A381" s="278"/>
    </row>
    <row r="382" spans="1:1" x14ac:dyDescent="0.3">
      <c r="A382" s="278"/>
    </row>
    <row r="383" spans="1:1" x14ac:dyDescent="0.3">
      <c r="A383" s="278"/>
    </row>
    <row r="384" spans="1:1" x14ac:dyDescent="0.3">
      <c r="A384" s="278"/>
    </row>
    <row r="385" spans="1:1" x14ac:dyDescent="0.3">
      <c r="A385" s="278"/>
    </row>
    <row r="386" spans="1:1" x14ac:dyDescent="0.3">
      <c r="A386" s="278"/>
    </row>
    <row r="387" spans="1:1" x14ac:dyDescent="0.3">
      <c r="A387" s="278"/>
    </row>
    <row r="388" spans="1:1" x14ac:dyDescent="0.3">
      <c r="A388" s="278"/>
    </row>
    <row r="389" spans="1:1" x14ac:dyDescent="0.3">
      <c r="A389" s="278"/>
    </row>
    <row r="390" spans="1:1" x14ac:dyDescent="0.3">
      <c r="A390" s="278"/>
    </row>
    <row r="391" spans="1:1" x14ac:dyDescent="0.3">
      <c r="A391" s="278"/>
    </row>
    <row r="392" spans="1:1" x14ac:dyDescent="0.3">
      <c r="A392" s="278"/>
    </row>
    <row r="393" spans="1:1" x14ac:dyDescent="0.3">
      <c r="A393" s="278"/>
    </row>
    <row r="394" spans="1:1" x14ac:dyDescent="0.3">
      <c r="A394" s="278"/>
    </row>
    <row r="395" spans="1:1" x14ac:dyDescent="0.3">
      <c r="A395" s="278"/>
    </row>
    <row r="396" spans="1:1" x14ac:dyDescent="0.3">
      <c r="A396" s="278"/>
    </row>
    <row r="397" spans="1:1" x14ac:dyDescent="0.3">
      <c r="A397" s="278"/>
    </row>
    <row r="398" spans="1:1" x14ac:dyDescent="0.3">
      <c r="A398" s="278"/>
    </row>
    <row r="399" spans="1:1" x14ac:dyDescent="0.3">
      <c r="A399" s="278"/>
    </row>
    <row r="400" spans="1:1" x14ac:dyDescent="0.3">
      <c r="A400" s="278"/>
    </row>
    <row r="401" spans="1:1" x14ac:dyDescent="0.3">
      <c r="A401" s="278"/>
    </row>
    <row r="402" spans="1:1" x14ac:dyDescent="0.3">
      <c r="A402" s="278"/>
    </row>
    <row r="403" spans="1:1" x14ac:dyDescent="0.3">
      <c r="A403" s="278"/>
    </row>
    <row r="404" spans="1:1" x14ac:dyDescent="0.3">
      <c r="A404" s="278"/>
    </row>
    <row r="405" spans="1:1" x14ac:dyDescent="0.3">
      <c r="A405" s="278"/>
    </row>
    <row r="406" spans="1:1" x14ac:dyDescent="0.3">
      <c r="A406" s="278"/>
    </row>
    <row r="407" spans="1:1" x14ac:dyDescent="0.3">
      <c r="A407" s="278"/>
    </row>
    <row r="408" spans="1:1" x14ac:dyDescent="0.3">
      <c r="A408" s="278"/>
    </row>
    <row r="409" spans="1:1" x14ac:dyDescent="0.3">
      <c r="A409" s="278"/>
    </row>
    <row r="410" spans="1:1" x14ac:dyDescent="0.3">
      <c r="A410" s="278"/>
    </row>
    <row r="411" spans="1:1" x14ac:dyDescent="0.3">
      <c r="A411" s="278"/>
    </row>
    <row r="412" spans="1:1" x14ac:dyDescent="0.3">
      <c r="A412" s="278"/>
    </row>
    <row r="413" spans="1:1" x14ac:dyDescent="0.3">
      <c r="A413" s="278"/>
    </row>
    <row r="414" spans="1:1" x14ac:dyDescent="0.3">
      <c r="A414" s="278"/>
    </row>
    <row r="415" spans="1:1" x14ac:dyDescent="0.3">
      <c r="A415" s="278"/>
    </row>
    <row r="416" spans="1:1" x14ac:dyDescent="0.3">
      <c r="A416" s="278"/>
    </row>
    <row r="417" spans="1:1" x14ac:dyDescent="0.3">
      <c r="A417" s="278"/>
    </row>
    <row r="418" spans="1:1" x14ac:dyDescent="0.3">
      <c r="A418" s="278"/>
    </row>
    <row r="419" spans="1:1" x14ac:dyDescent="0.3">
      <c r="A419" s="278"/>
    </row>
    <row r="420" spans="1:1" x14ac:dyDescent="0.3">
      <c r="A420" s="278"/>
    </row>
    <row r="421" spans="1:1" x14ac:dyDescent="0.3">
      <c r="A421" s="278"/>
    </row>
    <row r="422" spans="1:1" x14ac:dyDescent="0.3">
      <c r="A422" s="278"/>
    </row>
    <row r="423" spans="1:1" x14ac:dyDescent="0.3">
      <c r="A423" s="278"/>
    </row>
    <row r="424" spans="1:1" x14ac:dyDescent="0.3">
      <c r="A424" s="278"/>
    </row>
    <row r="425" spans="1:1" x14ac:dyDescent="0.3">
      <c r="A425" s="278"/>
    </row>
    <row r="426" spans="1:1" x14ac:dyDescent="0.3">
      <c r="A426" s="278"/>
    </row>
    <row r="427" spans="1:1" x14ac:dyDescent="0.3">
      <c r="A427" s="278"/>
    </row>
    <row r="428" spans="1:1" x14ac:dyDescent="0.3">
      <c r="A428" s="278"/>
    </row>
    <row r="429" spans="1:1" x14ac:dyDescent="0.3">
      <c r="A429" s="278"/>
    </row>
    <row r="430" spans="1:1" x14ac:dyDescent="0.3">
      <c r="A430" s="278"/>
    </row>
    <row r="431" spans="1:1" x14ac:dyDescent="0.3">
      <c r="A431" s="278"/>
    </row>
    <row r="432" spans="1:1" x14ac:dyDescent="0.3">
      <c r="A432" s="278"/>
    </row>
    <row r="433" spans="1:1" x14ac:dyDescent="0.3">
      <c r="A433" s="278"/>
    </row>
    <row r="434" spans="1:1" x14ac:dyDescent="0.3">
      <c r="A434" s="278"/>
    </row>
    <row r="435" spans="1:1" x14ac:dyDescent="0.3">
      <c r="A435" s="278"/>
    </row>
    <row r="436" spans="1:1" x14ac:dyDescent="0.3">
      <c r="A436" s="278"/>
    </row>
    <row r="437" spans="1:1" x14ac:dyDescent="0.3">
      <c r="A437" s="278"/>
    </row>
    <row r="438" spans="1:1" x14ac:dyDescent="0.3">
      <c r="A438" s="278"/>
    </row>
    <row r="439" spans="1:1" x14ac:dyDescent="0.3">
      <c r="A439" s="278"/>
    </row>
    <row r="440" spans="1:1" x14ac:dyDescent="0.3">
      <c r="A440" s="278"/>
    </row>
    <row r="441" spans="1:1" x14ac:dyDescent="0.3">
      <c r="A441" s="278"/>
    </row>
    <row r="442" spans="1:1" x14ac:dyDescent="0.3">
      <c r="A442" s="278"/>
    </row>
    <row r="443" spans="1:1" x14ac:dyDescent="0.3">
      <c r="A443" s="278"/>
    </row>
    <row r="444" spans="1:1" x14ac:dyDescent="0.3">
      <c r="A444" s="278"/>
    </row>
    <row r="445" spans="1:1" x14ac:dyDescent="0.3">
      <c r="A445" s="278"/>
    </row>
    <row r="446" spans="1:1" x14ac:dyDescent="0.3">
      <c r="A446" s="278"/>
    </row>
    <row r="447" spans="1:1" x14ac:dyDescent="0.3">
      <c r="A447" s="278"/>
    </row>
    <row r="448" spans="1:1" x14ac:dyDescent="0.3">
      <c r="A448" s="278"/>
    </row>
    <row r="449" spans="1:1" x14ac:dyDescent="0.3">
      <c r="A449" s="278"/>
    </row>
    <row r="450" spans="1:1" x14ac:dyDescent="0.3">
      <c r="A450" s="278"/>
    </row>
    <row r="451" spans="1:1" x14ac:dyDescent="0.3">
      <c r="A451" s="278"/>
    </row>
    <row r="452" spans="1:1" x14ac:dyDescent="0.3">
      <c r="A452" s="278"/>
    </row>
    <row r="453" spans="1:1" x14ac:dyDescent="0.3">
      <c r="A453" s="278"/>
    </row>
    <row r="454" spans="1:1" x14ac:dyDescent="0.3">
      <c r="A454" s="278"/>
    </row>
    <row r="455" spans="1:1" x14ac:dyDescent="0.3">
      <c r="A455" s="278"/>
    </row>
    <row r="456" spans="1:1" x14ac:dyDescent="0.3">
      <c r="A456" s="278"/>
    </row>
    <row r="457" spans="1:1" x14ac:dyDescent="0.3">
      <c r="A457" s="278"/>
    </row>
    <row r="458" spans="1:1" x14ac:dyDescent="0.3">
      <c r="A458" s="278"/>
    </row>
    <row r="459" spans="1:1" x14ac:dyDescent="0.3">
      <c r="A459" s="278"/>
    </row>
    <row r="460" spans="1:1" x14ac:dyDescent="0.3">
      <c r="A460" s="278"/>
    </row>
    <row r="461" spans="1:1" x14ac:dyDescent="0.3">
      <c r="A461" s="278"/>
    </row>
    <row r="462" spans="1:1" x14ac:dyDescent="0.3">
      <c r="A462" s="278"/>
    </row>
    <row r="463" spans="1:1" x14ac:dyDescent="0.3">
      <c r="A463" s="278"/>
    </row>
    <row r="464" spans="1:1" x14ac:dyDescent="0.3">
      <c r="A464" s="278"/>
    </row>
    <row r="465" spans="1:1" x14ac:dyDescent="0.3">
      <c r="A465" s="278"/>
    </row>
    <row r="466" spans="1:1" x14ac:dyDescent="0.3">
      <c r="A466" s="278"/>
    </row>
    <row r="467" spans="1:1" x14ac:dyDescent="0.3">
      <c r="A467" s="278"/>
    </row>
    <row r="468" spans="1:1" x14ac:dyDescent="0.3">
      <c r="A468" s="278"/>
    </row>
    <row r="469" spans="1:1" x14ac:dyDescent="0.3">
      <c r="A469" s="278"/>
    </row>
    <row r="470" spans="1:1" x14ac:dyDescent="0.3">
      <c r="A470" s="278"/>
    </row>
    <row r="471" spans="1:1" x14ac:dyDescent="0.3">
      <c r="A471" s="278"/>
    </row>
    <row r="472" spans="1:1" x14ac:dyDescent="0.3">
      <c r="A472" s="278"/>
    </row>
    <row r="473" spans="1:1" x14ac:dyDescent="0.3">
      <c r="A473" s="278"/>
    </row>
    <row r="474" spans="1:1" x14ac:dyDescent="0.3">
      <c r="A474" s="278"/>
    </row>
    <row r="475" spans="1:1" x14ac:dyDescent="0.3">
      <c r="A475" s="278"/>
    </row>
    <row r="476" spans="1:1" x14ac:dyDescent="0.3">
      <c r="A476" s="278"/>
    </row>
    <row r="477" spans="1:1" x14ac:dyDescent="0.3">
      <c r="A477" s="278"/>
    </row>
    <row r="478" spans="1:1" x14ac:dyDescent="0.3">
      <c r="A478" s="278"/>
    </row>
    <row r="479" spans="1:1" x14ac:dyDescent="0.3">
      <c r="A479" s="278"/>
    </row>
    <row r="480" spans="1:1" x14ac:dyDescent="0.3">
      <c r="A480" s="278"/>
    </row>
    <row r="481" spans="1:1" x14ac:dyDescent="0.3">
      <c r="A481" s="278"/>
    </row>
    <row r="482" spans="1:1" x14ac:dyDescent="0.3">
      <c r="A482" s="278"/>
    </row>
    <row r="483" spans="1:1" x14ac:dyDescent="0.3">
      <c r="A483" s="278"/>
    </row>
    <row r="484" spans="1:1" x14ac:dyDescent="0.3">
      <c r="A484" s="278"/>
    </row>
    <row r="485" spans="1:1" x14ac:dyDescent="0.3">
      <c r="A485" s="278"/>
    </row>
    <row r="486" spans="1:1" x14ac:dyDescent="0.3">
      <c r="A486" s="278"/>
    </row>
    <row r="487" spans="1:1" x14ac:dyDescent="0.3">
      <c r="A487" s="278"/>
    </row>
    <row r="488" spans="1:1" x14ac:dyDescent="0.3">
      <c r="A488" s="278"/>
    </row>
    <row r="489" spans="1:1" x14ac:dyDescent="0.3">
      <c r="A489" s="278"/>
    </row>
    <row r="490" spans="1:1" x14ac:dyDescent="0.3">
      <c r="A490" s="278"/>
    </row>
    <row r="491" spans="1:1" x14ac:dyDescent="0.3">
      <c r="A491" s="278"/>
    </row>
    <row r="492" spans="1:1" x14ac:dyDescent="0.3">
      <c r="A492" s="278"/>
    </row>
    <row r="493" spans="1:1" x14ac:dyDescent="0.3">
      <c r="A493" s="278"/>
    </row>
    <row r="494" spans="1:1" x14ac:dyDescent="0.3">
      <c r="A494" s="278"/>
    </row>
    <row r="495" spans="1:1" x14ac:dyDescent="0.3">
      <c r="A495" s="278"/>
    </row>
    <row r="496" spans="1:1" x14ac:dyDescent="0.3">
      <c r="A496" s="278"/>
    </row>
    <row r="497" spans="1:1" x14ac:dyDescent="0.3">
      <c r="A497" s="278"/>
    </row>
    <row r="498" spans="1:1" x14ac:dyDescent="0.3">
      <c r="A498" s="278"/>
    </row>
    <row r="499" spans="1:1" x14ac:dyDescent="0.3">
      <c r="A499" s="278"/>
    </row>
    <row r="500" spans="1:1" x14ac:dyDescent="0.3">
      <c r="A500" s="278"/>
    </row>
    <row r="501" spans="1:1" x14ac:dyDescent="0.3">
      <c r="A501" s="278"/>
    </row>
    <row r="502" spans="1:1" x14ac:dyDescent="0.3">
      <c r="A502" s="278"/>
    </row>
    <row r="503" spans="1:1" x14ac:dyDescent="0.3">
      <c r="A503" s="278"/>
    </row>
    <row r="504" spans="1:1" x14ac:dyDescent="0.3">
      <c r="A504" s="278"/>
    </row>
    <row r="505" spans="1:1" x14ac:dyDescent="0.3">
      <c r="A505" s="278"/>
    </row>
    <row r="506" spans="1:1" x14ac:dyDescent="0.3">
      <c r="A506" s="278"/>
    </row>
    <row r="507" spans="1:1" x14ac:dyDescent="0.3">
      <c r="A507" s="278"/>
    </row>
    <row r="508" spans="1:1" x14ac:dyDescent="0.3">
      <c r="A508" s="278"/>
    </row>
    <row r="509" spans="1:1" x14ac:dyDescent="0.3">
      <c r="A509" s="278"/>
    </row>
    <row r="510" spans="1:1" x14ac:dyDescent="0.3">
      <c r="A510" s="278"/>
    </row>
    <row r="511" spans="1:1" x14ac:dyDescent="0.3">
      <c r="A511" s="278"/>
    </row>
    <row r="512" spans="1:1" x14ac:dyDescent="0.3">
      <c r="A512" s="278"/>
    </row>
    <row r="513" spans="1:1" x14ac:dyDescent="0.3">
      <c r="A513" s="278"/>
    </row>
    <row r="514" spans="1:1" x14ac:dyDescent="0.3">
      <c r="A514" s="278"/>
    </row>
    <row r="515" spans="1:1" x14ac:dyDescent="0.3">
      <c r="A515" s="278"/>
    </row>
    <row r="516" spans="1:1" x14ac:dyDescent="0.3">
      <c r="A516" s="278"/>
    </row>
    <row r="517" spans="1:1" x14ac:dyDescent="0.3">
      <c r="A517" s="278"/>
    </row>
    <row r="518" spans="1:1" x14ac:dyDescent="0.3">
      <c r="A518" s="278"/>
    </row>
    <row r="519" spans="1:1" x14ac:dyDescent="0.3">
      <c r="A519" s="278"/>
    </row>
    <row r="520" spans="1:1" x14ac:dyDescent="0.3">
      <c r="A520" s="278"/>
    </row>
    <row r="521" spans="1:1" x14ac:dyDescent="0.3">
      <c r="A521" s="278"/>
    </row>
    <row r="522" spans="1:1" x14ac:dyDescent="0.3">
      <c r="A522" s="278"/>
    </row>
    <row r="523" spans="1:1" x14ac:dyDescent="0.3">
      <c r="A523" s="278"/>
    </row>
    <row r="524" spans="1:1" x14ac:dyDescent="0.3">
      <c r="A524" s="278"/>
    </row>
    <row r="525" spans="1:1" x14ac:dyDescent="0.3">
      <c r="A525" s="278"/>
    </row>
    <row r="526" spans="1:1" x14ac:dyDescent="0.3">
      <c r="A526" s="278"/>
    </row>
    <row r="527" spans="1:1" x14ac:dyDescent="0.3">
      <c r="A527" s="278"/>
    </row>
    <row r="528" spans="1:1" x14ac:dyDescent="0.3">
      <c r="A528" s="278"/>
    </row>
    <row r="529" spans="1:1" x14ac:dyDescent="0.3">
      <c r="A529" s="278"/>
    </row>
    <row r="530" spans="1:1" x14ac:dyDescent="0.3">
      <c r="A530" s="278"/>
    </row>
    <row r="531" spans="1:1" x14ac:dyDescent="0.3">
      <c r="A531" s="278"/>
    </row>
    <row r="532" spans="1:1" x14ac:dyDescent="0.3">
      <c r="A532" s="278"/>
    </row>
    <row r="533" spans="1:1" x14ac:dyDescent="0.3">
      <c r="A533" s="278"/>
    </row>
    <row r="534" spans="1:1" x14ac:dyDescent="0.3">
      <c r="A534" s="278"/>
    </row>
    <row r="535" spans="1:1" x14ac:dyDescent="0.3">
      <c r="A535" s="278"/>
    </row>
    <row r="536" spans="1:1" x14ac:dyDescent="0.3">
      <c r="A536" s="278"/>
    </row>
    <row r="537" spans="1:1" x14ac:dyDescent="0.3">
      <c r="A537" s="278"/>
    </row>
  </sheetData>
  <sheetProtection algorithmName="SHA-512" hashValue="Vrhes1mV6fzh7xY6ZJ/Jiwc66DsqUPIsgy6crAnuO2fBIyJg518gz2cLs0Zr0HgKIO5xiy/dmloVkM9jCzhVgA==" saltValue="F41wZF/KpS/AJ8sT0PEpEw==" spinCount="100000" sheet="1" formatCells="0" formatColumns="0" formatRows="0" insertRows="0"/>
  <mergeCells count="3">
    <mergeCell ref="A2:E2"/>
    <mergeCell ref="A1:E1"/>
    <mergeCell ref="A3:E3"/>
  </mergeCells>
  <dataValidations count="2">
    <dataValidation type="decimal" allowBlank="1" showInputMessage="1" showErrorMessage="1" sqref="E6:E7" xr:uid="{1673E079-1BAE-47D7-9347-5FB3FCF40E07}">
      <formula1>0</formula1>
      <formula2>1</formula2>
    </dataValidation>
    <dataValidation type="list" allowBlank="1" showInputMessage="1" showErrorMessage="1" sqref="A114:A537" xr:uid="{226588AF-A215-41EC-917D-D85D05ABCF10}">
      <formula1>#REF!</formula1>
    </dataValidation>
  </dataValidations>
  <pageMargins left="0" right="0" top="0.39370078740157483" bottom="0.39370078740157483" header="0" footer="0.23622047244094491"/>
  <pageSetup paperSize="9" scale="62" fitToHeight="10" pageOrder="overThenDown" orientation="landscape" r:id="rId1"/>
  <headerFooter>
    <oddHeader>&amp;F</oddHeader>
    <oddFooter>&amp;C&amp;A &amp;R&amp;P/&amp;N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RAIS_PERSO">
    <tabColor rgb="FFFFFF00"/>
  </sheetPr>
  <dimension ref="A1:BN554"/>
  <sheetViews>
    <sheetView showGridLines="0" zoomScale="80" zoomScaleNormal="80" zoomScaleSheetLayoutView="40" workbookViewId="0">
      <selection activeCell="D11" sqref="D11"/>
    </sheetView>
  </sheetViews>
  <sheetFormatPr baseColWidth="10" defaultColWidth="25" defaultRowHeight="13.8" x14ac:dyDescent="0.3"/>
  <cols>
    <col min="1" max="1" width="16.6640625" style="197" customWidth="1"/>
    <col min="2" max="3" width="20.33203125" style="197" customWidth="1"/>
    <col min="4" max="4" width="40.5546875" style="197" customWidth="1"/>
    <col min="5" max="5" width="30.44140625" style="197" customWidth="1"/>
    <col min="6" max="6" width="17.33203125" style="197" customWidth="1"/>
    <col min="7" max="7" width="15.33203125" style="197" customWidth="1"/>
    <col min="8" max="8" width="18.44140625" style="197" customWidth="1"/>
    <col min="9" max="9" width="26.109375" style="197" customWidth="1"/>
    <col min="10" max="10" width="24.44140625" style="197" customWidth="1"/>
    <col min="11" max="11" width="16.33203125" style="197" customWidth="1"/>
    <col min="12" max="12" width="33.33203125" style="197" customWidth="1"/>
    <col min="13" max="13" width="17.109375" style="198" hidden="1" customWidth="1"/>
    <col min="14" max="14" width="17.44140625" style="197" hidden="1" customWidth="1"/>
    <col min="15" max="15" width="13.44140625" style="197" hidden="1" customWidth="1"/>
    <col min="16" max="16" width="13.33203125" style="197" hidden="1" customWidth="1"/>
    <col min="17" max="17" width="15.33203125" style="197" hidden="1" customWidth="1"/>
    <col min="18" max="18" width="16.5546875" style="197" hidden="1" customWidth="1"/>
    <col min="19" max="19" width="20" style="197" hidden="1" customWidth="1"/>
    <col min="20" max="20" width="20.6640625" style="197" hidden="1" customWidth="1"/>
    <col min="21" max="21" width="62.88671875" style="197" hidden="1" customWidth="1"/>
    <col min="22" max="27" width="25" style="197" customWidth="1"/>
    <col min="28" max="56" width="25" style="197" hidden="1" customWidth="1"/>
    <col min="57" max="57" width="25" style="199" hidden="1" customWidth="1"/>
    <col min="58" max="66" width="25" style="197" hidden="1" customWidth="1"/>
    <col min="67" max="16384" width="25" style="197"/>
  </cols>
  <sheetData>
    <row r="1" spans="1:59" ht="23.4" x14ac:dyDescent="0.3">
      <c r="A1" s="379" t="s">
        <v>42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Y1" s="200"/>
      <c r="Z1" s="199"/>
      <c r="AA1" s="200"/>
      <c r="AB1" s="200"/>
      <c r="AC1" s="200"/>
      <c r="AD1" s="200"/>
    </row>
    <row r="2" spans="1:59" s="246" customFormat="1" ht="93" customHeight="1" x14ac:dyDescent="0.3">
      <c r="A2" s="381" t="s">
        <v>1547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245"/>
      <c r="N2" s="245"/>
      <c r="O2" s="245"/>
      <c r="P2" s="245"/>
      <c r="Q2" s="245"/>
      <c r="R2" s="245"/>
      <c r="S2" s="245"/>
      <c r="T2" s="245"/>
      <c r="U2" s="245"/>
      <c r="Y2" s="247"/>
      <c r="AA2" s="247"/>
      <c r="AB2" s="247"/>
      <c r="AC2" s="247"/>
      <c r="AD2" s="247"/>
    </row>
    <row r="3" spans="1:59" s="199" customFormat="1" ht="24" thickBot="1" x14ac:dyDescent="0.35">
      <c r="A3" s="382" t="s">
        <v>755</v>
      </c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248"/>
      <c r="N3" s="248"/>
      <c r="O3" s="248"/>
      <c r="P3" s="248"/>
      <c r="Q3" s="248"/>
      <c r="R3" s="248"/>
      <c r="S3" s="248"/>
      <c r="T3" s="248"/>
      <c r="U3" s="248"/>
      <c r="Y3" s="200"/>
      <c r="AA3" s="200"/>
      <c r="AB3" s="200"/>
      <c r="AC3" s="200"/>
      <c r="AD3" s="200"/>
    </row>
    <row r="4" spans="1:59" ht="115.2" customHeight="1" thickTop="1" thickBot="1" x14ac:dyDescent="0.35">
      <c r="A4" s="378" t="s">
        <v>1548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7" t="s">
        <v>43</v>
      </c>
      <c r="N4" s="377"/>
      <c r="O4" s="377"/>
      <c r="P4" s="377"/>
      <c r="Q4" s="377"/>
      <c r="R4" s="377"/>
      <c r="S4" s="377"/>
      <c r="T4" s="377"/>
      <c r="U4" s="377"/>
    </row>
    <row r="5" spans="1:59" s="202" customFormat="1" ht="47.7" customHeight="1" thickTop="1" thickBot="1" x14ac:dyDescent="0.35">
      <c r="A5" s="219" t="s">
        <v>44</v>
      </c>
      <c r="B5" s="219" t="s">
        <v>45</v>
      </c>
      <c r="C5" s="219" t="s">
        <v>46</v>
      </c>
      <c r="D5" s="219" t="s">
        <v>60</v>
      </c>
      <c r="E5" s="220" t="s">
        <v>1543</v>
      </c>
      <c r="F5" s="219" t="s">
        <v>47</v>
      </c>
      <c r="G5" s="219" t="s">
        <v>48</v>
      </c>
      <c r="H5" s="219" t="s">
        <v>483</v>
      </c>
      <c r="I5" s="219" t="s">
        <v>49</v>
      </c>
      <c r="J5" s="219" t="s">
        <v>50</v>
      </c>
      <c r="K5" s="221" t="s">
        <v>51</v>
      </c>
      <c r="L5" s="220" t="s">
        <v>52</v>
      </c>
      <c r="M5" s="231" t="s">
        <v>53</v>
      </c>
      <c r="N5" s="232" t="s">
        <v>54</v>
      </c>
      <c r="O5" s="232" t="s">
        <v>756</v>
      </c>
      <c r="P5" s="232" t="s">
        <v>484</v>
      </c>
      <c r="Q5" s="232" t="s">
        <v>757</v>
      </c>
      <c r="R5" s="232" t="s">
        <v>758</v>
      </c>
      <c r="S5" s="232" t="s">
        <v>55</v>
      </c>
      <c r="T5" s="232" t="s">
        <v>56</v>
      </c>
      <c r="U5" s="233" t="s">
        <v>57</v>
      </c>
      <c r="V5" s="201" t="s">
        <v>58</v>
      </c>
      <c r="W5" s="197"/>
      <c r="BE5" s="200"/>
      <c r="BF5" s="203"/>
    </row>
    <row r="6" spans="1:59" ht="15.6" thickTop="1" thickBot="1" x14ac:dyDescent="0.35">
      <c r="A6" s="154" t="s">
        <v>38</v>
      </c>
      <c r="B6" s="154" t="s">
        <v>14</v>
      </c>
      <c r="C6" s="154"/>
      <c r="D6" s="156"/>
      <c r="E6" s="155">
        <v>0</v>
      </c>
      <c r="F6" s="157"/>
      <c r="G6" s="157"/>
      <c r="H6" s="157"/>
      <c r="I6" s="157"/>
      <c r="J6" s="157"/>
      <c r="K6" s="282">
        <f t="shared" ref="K6:K23" si="0">(SUM($F6:$I6)-J6)*$E6</f>
        <v>0</v>
      </c>
      <c r="L6" s="158"/>
      <c r="M6" s="234">
        <f>t_frais_personnel[[#This Row],[Taux d''occupation mensuel par CPC* (%)]]</f>
        <v>0</v>
      </c>
      <c r="N6" s="230">
        <f>t_frais_personnel[[#This Row],[Brut Soumis
ONSS**]]</f>
        <v>0</v>
      </c>
      <c r="O6" s="230">
        <f>t_frais_personnel[[#This Row],[Arrièrés]]</f>
        <v>0</v>
      </c>
      <c r="P6" s="230">
        <f>t_frais_personnel[[#This Row],[***Autres charges ]]</f>
        <v>0</v>
      </c>
      <c r="Q6" s="230">
        <f>t_frais_personnel[[#This Row],[****Avantages extra-légaux]]</f>
        <v>0</v>
      </c>
      <c r="R6" s="230">
        <f>t_frais_personnel[[#This Row],[*****Indemnités perçues]]</f>
        <v>0</v>
      </c>
      <c r="S6" s="230">
        <f>(SUM(t_frais_personnel[[#This Row],[Brut total* *]:[****Avantages extra-légaux3]])-t_frais_personnel[[#This Row],[*****Indemnités perçues4]])*t_frais_personnel[[#This Row],[Taux d''occupation  mensuel*(%)]]</f>
        <v>0</v>
      </c>
      <c r="T6" s="230">
        <f>t_frais_personnel[[#This Row],[TOTAL ACCEPTÉ]]-t_frais_personnel[[#This Row],[TOTAL  DÉCLARÉ ]]</f>
        <v>0</v>
      </c>
      <c r="U6" s="230"/>
      <c r="V6" s="201">
        <f>IF(LEN(U6)&gt;0,1,0)</f>
        <v>0</v>
      </c>
      <c r="BE6" s="203" t="e">
        <f>IF(A6="","",INDEX(PERSO_TAB1,MATCH(A6,PERSO_TAB1_NOM_PRENOM,0),MATCH(#REF!,PERSO_TAB1_ENTETE,0)))</f>
        <v>#NAME?</v>
      </c>
      <c r="BF6" s="203" t="e">
        <f>INDEX(PERSO_TAB1,MATCH($A6,PERSO_TAB1_NOM_PRENOM,0),MATCH(#REF!,PERSO_TAB1_ENTETE,0))</f>
        <v>#NAME?</v>
      </c>
      <c r="BG6" s="200"/>
    </row>
    <row r="7" spans="1:59" ht="16.5" customHeight="1" thickTop="1" thickBot="1" x14ac:dyDescent="0.35">
      <c r="A7" s="154" t="s">
        <v>38</v>
      </c>
      <c r="B7" s="154" t="s">
        <v>14</v>
      </c>
      <c r="C7" s="154"/>
      <c r="D7" s="156"/>
      <c r="E7" s="155">
        <v>0</v>
      </c>
      <c r="F7" s="157"/>
      <c r="G7" s="157"/>
      <c r="H7" s="157"/>
      <c r="I7" s="157"/>
      <c r="J7" s="157"/>
      <c r="K7" s="282">
        <f t="shared" si="0"/>
        <v>0</v>
      </c>
      <c r="L7" s="158"/>
      <c r="M7" s="234">
        <f>t_frais_personnel[[#This Row],[Taux d''occupation mensuel par CPC* (%)]]</f>
        <v>0</v>
      </c>
      <c r="N7" s="230">
        <f>t_frais_personnel[[#This Row],[Brut Soumis
ONSS**]]</f>
        <v>0</v>
      </c>
      <c r="O7" s="230">
        <f>t_frais_personnel[[#This Row],[Arrièrés]]</f>
        <v>0</v>
      </c>
      <c r="P7" s="230">
        <f>t_frais_personnel[[#This Row],[***Autres charges ]]</f>
        <v>0</v>
      </c>
      <c r="Q7" s="230">
        <f>t_frais_personnel[[#This Row],[****Avantages extra-légaux]]</f>
        <v>0</v>
      </c>
      <c r="R7" s="230">
        <f>t_frais_personnel[[#This Row],[*****Indemnités perçues]]</f>
        <v>0</v>
      </c>
      <c r="S7" s="230">
        <f>(SUM(t_frais_personnel[[#This Row],[Brut total* *]:[****Avantages extra-légaux3]])-t_frais_personnel[[#This Row],[*****Indemnités perçues4]])*t_frais_personnel[[#This Row],[Taux d''occupation  mensuel*(%)]]</f>
        <v>0</v>
      </c>
      <c r="T7" s="230">
        <f>t_frais_personnel[[#This Row],[TOTAL ACCEPTÉ]]-t_frais_personnel[[#This Row],[TOTAL  DÉCLARÉ ]]</f>
        <v>0</v>
      </c>
      <c r="U7" s="230"/>
      <c r="V7" s="201">
        <f>IF(LEN(U7)&gt;0,1,0)</f>
        <v>0</v>
      </c>
      <c r="W7" s="202"/>
      <c r="BE7" s="203" t="e">
        <f>IF(A7="","",INDEX(PERSO_TAB1,MATCH(A7,PERSO_TAB1_NOM_PRENOM,0),MATCH(#REF!,PERSO_TAB1_ENTETE,0)))</f>
        <v>#NAME?</v>
      </c>
      <c r="BF7" s="203" t="e">
        <f>INDEX(PERSO_TAB1,MATCH($A7,PERSO_TAB1_NOM_PRENOM,0),MATCH(#REF!,PERSO_TAB1_ENTETE,0))</f>
        <v>#NAME?</v>
      </c>
      <c r="BG7" s="199"/>
    </row>
    <row r="8" spans="1:59" ht="16.5" customHeight="1" thickTop="1" thickBot="1" x14ac:dyDescent="0.35">
      <c r="A8" s="154" t="s">
        <v>38</v>
      </c>
      <c r="B8" s="154" t="s">
        <v>14</v>
      </c>
      <c r="C8" s="154"/>
      <c r="D8" s="156"/>
      <c r="E8" s="155">
        <v>0</v>
      </c>
      <c r="F8" s="157"/>
      <c r="G8" s="157"/>
      <c r="H8" s="157"/>
      <c r="I8" s="157"/>
      <c r="J8" s="157"/>
      <c r="K8" s="282">
        <f t="shared" si="0"/>
        <v>0</v>
      </c>
      <c r="L8" s="158"/>
      <c r="M8" s="234">
        <f>t_frais_personnel[[#This Row],[Taux d''occupation mensuel par CPC* (%)]]</f>
        <v>0</v>
      </c>
      <c r="N8" s="230">
        <f>t_frais_personnel[[#This Row],[Brut Soumis
ONSS**]]</f>
        <v>0</v>
      </c>
      <c r="O8" s="230">
        <f>t_frais_personnel[[#This Row],[Arrièrés]]</f>
        <v>0</v>
      </c>
      <c r="P8" s="230">
        <f>t_frais_personnel[[#This Row],[***Autres charges ]]</f>
        <v>0</v>
      </c>
      <c r="Q8" s="230">
        <f>t_frais_personnel[[#This Row],[****Avantages extra-légaux]]</f>
        <v>0</v>
      </c>
      <c r="R8" s="230">
        <f>t_frais_personnel[[#This Row],[*****Indemnités perçues]]</f>
        <v>0</v>
      </c>
      <c r="S8" s="230">
        <f>(SUM(t_frais_personnel[[#This Row],[Brut total* *]:[****Avantages extra-légaux3]])-t_frais_personnel[[#This Row],[*****Indemnités perçues4]])*t_frais_personnel[[#This Row],[Taux d''occupation  mensuel*(%)]]</f>
        <v>0</v>
      </c>
      <c r="T8" s="230">
        <f>t_frais_personnel[[#This Row],[TOTAL ACCEPTÉ]]-t_frais_personnel[[#This Row],[TOTAL  DÉCLARÉ ]]</f>
        <v>0</v>
      </c>
      <c r="U8" s="230"/>
      <c r="V8" s="201">
        <f t="shared" ref="V8:V23" si="1">IF(LEN(U8)&gt;0,1,0)</f>
        <v>0</v>
      </c>
      <c r="W8" s="202"/>
      <c r="BE8" s="203" t="e">
        <f>IF(A8="","",INDEX(PERSO_TAB1,MATCH(A8,PERSO_TAB1_NOM_PRENOM,0),MATCH(#REF!,PERSO_TAB1_ENTETE,0)))</f>
        <v>#NAME?</v>
      </c>
      <c r="BF8" s="203" t="e">
        <f>INDEX(PERSO_TAB1,MATCH($A8,PERSO_TAB1_NOM_PRENOM,0),MATCH(#REF!,PERSO_TAB1_ENTETE,0))</f>
        <v>#NAME?</v>
      </c>
      <c r="BG8" s="199"/>
    </row>
    <row r="9" spans="1:59" ht="16.2" customHeight="1" thickTop="1" thickBot="1" x14ac:dyDescent="0.35">
      <c r="A9" s="154" t="s">
        <v>38</v>
      </c>
      <c r="B9" s="154" t="s">
        <v>14</v>
      </c>
      <c r="C9" s="154"/>
      <c r="D9" s="156"/>
      <c r="E9" s="155">
        <v>0</v>
      </c>
      <c r="F9" s="157"/>
      <c r="G9" s="157"/>
      <c r="H9" s="157"/>
      <c r="I9" s="157"/>
      <c r="J9" s="157"/>
      <c r="K9" s="282">
        <f t="shared" si="0"/>
        <v>0</v>
      </c>
      <c r="L9" s="158"/>
      <c r="M9" s="234">
        <f>t_frais_personnel[[#This Row],[Taux d''occupation mensuel par CPC* (%)]]</f>
        <v>0</v>
      </c>
      <c r="N9" s="230">
        <f>t_frais_personnel[[#This Row],[Brut Soumis
ONSS**]]</f>
        <v>0</v>
      </c>
      <c r="O9" s="230">
        <f>t_frais_personnel[[#This Row],[Arrièrés]]</f>
        <v>0</v>
      </c>
      <c r="P9" s="230">
        <f>t_frais_personnel[[#This Row],[***Autres charges ]]</f>
        <v>0</v>
      </c>
      <c r="Q9" s="230">
        <f>t_frais_personnel[[#This Row],[****Avantages extra-légaux]]</f>
        <v>0</v>
      </c>
      <c r="R9" s="230">
        <f>t_frais_personnel[[#This Row],[*****Indemnités perçues]]</f>
        <v>0</v>
      </c>
      <c r="S9" s="230">
        <f>(SUM(t_frais_personnel[[#This Row],[Brut total* *]:[****Avantages extra-légaux3]])-t_frais_personnel[[#This Row],[*****Indemnités perçues4]])*t_frais_personnel[[#This Row],[Taux d''occupation  mensuel*(%)]]</f>
        <v>0</v>
      </c>
      <c r="T9" s="230">
        <f>t_frais_personnel[[#This Row],[TOTAL ACCEPTÉ]]-t_frais_personnel[[#This Row],[TOTAL  DÉCLARÉ ]]</f>
        <v>0</v>
      </c>
      <c r="U9" s="230"/>
      <c r="V9" s="201">
        <f t="shared" si="1"/>
        <v>0</v>
      </c>
      <c r="W9" s="202"/>
      <c r="BE9" s="203" t="e">
        <f>IF(A9="","",INDEX(PERSO_TAB1,MATCH(A9,PERSO_TAB1_NOM_PRENOM,0),MATCH(#REF!,PERSO_TAB1_ENTETE,0)))</f>
        <v>#NAME?</v>
      </c>
      <c r="BF9" s="203" t="e">
        <f>INDEX(PERSO_TAB1,MATCH($A9,PERSO_TAB1_NOM_PRENOM,0),MATCH(#REF!,PERSO_TAB1_ENTETE,0))</f>
        <v>#NAME?</v>
      </c>
      <c r="BG9" s="199"/>
    </row>
    <row r="10" spans="1:59" ht="16.5" customHeight="1" thickTop="1" thickBot="1" x14ac:dyDescent="0.35">
      <c r="A10" s="154" t="s">
        <v>38</v>
      </c>
      <c r="B10" s="154" t="s">
        <v>14</v>
      </c>
      <c r="C10" s="154"/>
      <c r="D10" s="156"/>
      <c r="E10" s="155">
        <v>0</v>
      </c>
      <c r="F10" s="157"/>
      <c r="G10" s="157"/>
      <c r="H10" s="157"/>
      <c r="I10" s="157"/>
      <c r="J10" s="157"/>
      <c r="K10" s="282">
        <f t="shared" si="0"/>
        <v>0</v>
      </c>
      <c r="L10" s="158"/>
      <c r="M10" s="234">
        <f>t_frais_personnel[[#This Row],[Taux d''occupation mensuel par CPC* (%)]]</f>
        <v>0</v>
      </c>
      <c r="N10" s="230">
        <f>t_frais_personnel[[#This Row],[Brut Soumis
ONSS**]]</f>
        <v>0</v>
      </c>
      <c r="O10" s="230">
        <f>t_frais_personnel[[#This Row],[Arrièrés]]</f>
        <v>0</v>
      </c>
      <c r="P10" s="230">
        <f>t_frais_personnel[[#This Row],[***Autres charges ]]</f>
        <v>0</v>
      </c>
      <c r="Q10" s="230">
        <f>t_frais_personnel[[#This Row],[****Avantages extra-légaux]]</f>
        <v>0</v>
      </c>
      <c r="R10" s="230">
        <f>t_frais_personnel[[#This Row],[*****Indemnités perçues]]</f>
        <v>0</v>
      </c>
      <c r="S10" s="230">
        <f>(SUM(t_frais_personnel[[#This Row],[Brut total* *]:[****Avantages extra-légaux3]])-t_frais_personnel[[#This Row],[*****Indemnités perçues4]])*t_frais_personnel[[#This Row],[Taux d''occupation  mensuel*(%)]]</f>
        <v>0</v>
      </c>
      <c r="T10" s="230">
        <f>t_frais_personnel[[#This Row],[TOTAL ACCEPTÉ]]-t_frais_personnel[[#This Row],[TOTAL  DÉCLARÉ ]]</f>
        <v>0</v>
      </c>
      <c r="U10" s="230"/>
      <c r="V10" s="201">
        <f t="shared" si="1"/>
        <v>0</v>
      </c>
      <c r="W10" s="202"/>
      <c r="BE10" s="203" t="e">
        <f>IF(A10="","",INDEX(PERSO_TAB1,MATCH(A10,PERSO_TAB1_NOM_PRENOM,0),MATCH(#REF!,PERSO_TAB1_ENTETE,0)))</f>
        <v>#NAME?</v>
      </c>
      <c r="BF10" s="203" t="e">
        <f>INDEX(PERSO_TAB1,MATCH($A10,PERSO_TAB1_NOM_PRENOM,0),MATCH(#REF!,PERSO_TAB1_ENTETE,0))</f>
        <v>#NAME?</v>
      </c>
      <c r="BG10" s="199"/>
    </row>
    <row r="11" spans="1:59" ht="16.5" customHeight="1" thickTop="1" thickBot="1" x14ac:dyDescent="0.35">
      <c r="A11" s="154" t="s">
        <v>38</v>
      </c>
      <c r="B11" s="154" t="s">
        <v>14</v>
      </c>
      <c r="C11" s="154"/>
      <c r="D11" s="156"/>
      <c r="E11" s="155">
        <v>0</v>
      </c>
      <c r="F11" s="157"/>
      <c r="G11" s="157"/>
      <c r="H11" s="157"/>
      <c r="I11" s="157"/>
      <c r="J11" s="157"/>
      <c r="K11" s="282">
        <f t="shared" si="0"/>
        <v>0</v>
      </c>
      <c r="L11" s="158"/>
      <c r="M11" s="234">
        <f>t_frais_personnel[[#This Row],[Taux d''occupation mensuel par CPC* (%)]]</f>
        <v>0</v>
      </c>
      <c r="N11" s="230">
        <f>t_frais_personnel[[#This Row],[Brut Soumis
ONSS**]]</f>
        <v>0</v>
      </c>
      <c r="O11" s="230">
        <f>t_frais_personnel[[#This Row],[Arrièrés]]</f>
        <v>0</v>
      </c>
      <c r="P11" s="230">
        <f>t_frais_personnel[[#This Row],[***Autres charges ]]</f>
        <v>0</v>
      </c>
      <c r="Q11" s="230">
        <f>t_frais_personnel[[#This Row],[****Avantages extra-légaux]]</f>
        <v>0</v>
      </c>
      <c r="R11" s="230">
        <f>t_frais_personnel[[#This Row],[*****Indemnités perçues]]</f>
        <v>0</v>
      </c>
      <c r="S11" s="230">
        <f>(SUM(t_frais_personnel[[#This Row],[Brut total* *]:[****Avantages extra-légaux3]])-t_frais_personnel[[#This Row],[*****Indemnités perçues4]])*t_frais_personnel[[#This Row],[Taux d''occupation  mensuel*(%)]]</f>
        <v>0</v>
      </c>
      <c r="T11" s="230">
        <f>t_frais_personnel[[#This Row],[TOTAL ACCEPTÉ]]-t_frais_personnel[[#This Row],[TOTAL  DÉCLARÉ ]]</f>
        <v>0</v>
      </c>
      <c r="U11" s="230"/>
      <c r="V11" s="201">
        <f t="shared" si="1"/>
        <v>0</v>
      </c>
      <c r="W11" s="202"/>
      <c r="BE11" s="203" t="e">
        <f>IF(A11="","",INDEX(PERSO_TAB1,MATCH(A11,PERSO_TAB1_NOM_PRENOM,0),MATCH(#REF!,PERSO_TAB1_ENTETE,0)))</f>
        <v>#NAME?</v>
      </c>
      <c r="BF11" s="203" t="e">
        <f>INDEX(PERSO_TAB1,MATCH($A11,PERSO_TAB1_NOM_PRENOM,0),MATCH(#REF!,PERSO_TAB1_ENTETE,0))</f>
        <v>#NAME?</v>
      </c>
      <c r="BG11" s="199"/>
    </row>
    <row r="12" spans="1:59" ht="16.5" customHeight="1" thickTop="1" thickBot="1" x14ac:dyDescent="0.35">
      <c r="A12" s="154" t="s">
        <v>38</v>
      </c>
      <c r="B12" s="154" t="s">
        <v>14</v>
      </c>
      <c r="C12" s="154"/>
      <c r="D12" s="156"/>
      <c r="E12" s="155">
        <v>0</v>
      </c>
      <c r="F12" s="157"/>
      <c r="G12" s="157"/>
      <c r="H12" s="157"/>
      <c r="I12" s="157"/>
      <c r="J12" s="157"/>
      <c r="K12" s="282">
        <f t="shared" si="0"/>
        <v>0</v>
      </c>
      <c r="L12" s="158"/>
      <c r="M12" s="234">
        <f>t_frais_personnel[[#This Row],[Taux d''occupation mensuel par CPC* (%)]]</f>
        <v>0</v>
      </c>
      <c r="N12" s="230">
        <f>t_frais_personnel[[#This Row],[Brut Soumis
ONSS**]]</f>
        <v>0</v>
      </c>
      <c r="O12" s="230">
        <f>t_frais_personnel[[#This Row],[Arrièrés]]</f>
        <v>0</v>
      </c>
      <c r="P12" s="230">
        <f>t_frais_personnel[[#This Row],[***Autres charges ]]</f>
        <v>0</v>
      </c>
      <c r="Q12" s="230">
        <f>t_frais_personnel[[#This Row],[****Avantages extra-légaux]]</f>
        <v>0</v>
      </c>
      <c r="R12" s="230">
        <f>t_frais_personnel[[#This Row],[*****Indemnités perçues]]</f>
        <v>0</v>
      </c>
      <c r="S12" s="230">
        <f>(SUM(t_frais_personnel[[#This Row],[Brut total* *]:[****Avantages extra-légaux3]])-t_frais_personnel[[#This Row],[*****Indemnités perçues4]])*t_frais_personnel[[#This Row],[Taux d''occupation  mensuel*(%)]]</f>
        <v>0</v>
      </c>
      <c r="T12" s="230">
        <f>t_frais_personnel[[#This Row],[TOTAL ACCEPTÉ]]-t_frais_personnel[[#This Row],[TOTAL  DÉCLARÉ ]]</f>
        <v>0</v>
      </c>
      <c r="U12" s="230"/>
      <c r="V12" s="201">
        <f t="shared" si="1"/>
        <v>0</v>
      </c>
      <c r="W12" s="202"/>
      <c r="BE12" s="203" t="e">
        <f>IF(A13="","",INDEX(PERSO_TAB1,MATCH(A13,PERSO_TAB1_NOM_PRENOM,0),MATCH(#REF!,PERSO_TAB1_ENTETE,0)))</f>
        <v>#NAME?</v>
      </c>
      <c r="BF12" s="203" t="e">
        <f>INDEX(PERSO_TAB1,MATCH($A13,PERSO_TAB1_NOM_PRENOM,0),MATCH(#REF!,PERSO_TAB1_ENTETE,0))</f>
        <v>#NAME?</v>
      </c>
      <c r="BG12" s="199"/>
    </row>
    <row r="13" spans="1:59" ht="16.5" customHeight="1" thickTop="1" thickBot="1" x14ac:dyDescent="0.35">
      <c r="A13" s="154" t="s">
        <v>38</v>
      </c>
      <c r="B13" s="154" t="s">
        <v>14</v>
      </c>
      <c r="C13" s="154"/>
      <c r="D13" s="156"/>
      <c r="E13" s="155">
        <v>0</v>
      </c>
      <c r="F13" s="157"/>
      <c r="G13" s="157"/>
      <c r="H13" s="157"/>
      <c r="I13" s="157"/>
      <c r="J13" s="157"/>
      <c r="K13" s="282">
        <f t="shared" si="0"/>
        <v>0</v>
      </c>
      <c r="L13" s="158"/>
      <c r="M13" s="234">
        <f>t_frais_personnel[[#This Row],[Taux d''occupation mensuel par CPC* (%)]]</f>
        <v>0</v>
      </c>
      <c r="N13" s="230">
        <f>t_frais_personnel[[#This Row],[Brut Soumis
ONSS**]]</f>
        <v>0</v>
      </c>
      <c r="O13" s="230">
        <f>t_frais_personnel[[#This Row],[Arrièrés]]</f>
        <v>0</v>
      </c>
      <c r="P13" s="230">
        <f>t_frais_personnel[[#This Row],[***Autres charges ]]</f>
        <v>0</v>
      </c>
      <c r="Q13" s="230">
        <f>t_frais_personnel[[#This Row],[****Avantages extra-légaux]]</f>
        <v>0</v>
      </c>
      <c r="R13" s="230">
        <f>t_frais_personnel[[#This Row],[*****Indemnités perçues]]</f>
        <v>0</v>
      </c>
      <c r="S13" s="230">
        <f>(SUM(t_frais_personnel[[#This Row],[Brut total* *]:[****Avantages extra-légaux3]])-t_frais_personnel[[#This Row],[*****Indemnités perçues4]])*t_frais_personnel[[#This Row],[Taux d''occupation  mensuel*(%)]]</f>
        <v>0</v>
      </c>
      <c r="T13" s="230">
        <f>t_frais_personnel[[#This Row],[TOTAL ACCEPTÉ]]-t_frais_personnel[[#This Row],[TOTAL  DÉCLARÉ ]]</f>
        <v>0</v>
      </c>
      <c r="U13" s="230"/>
      <c r="V13" s="201">
        <f t="shared" si="1"/>
        <v>0</v>
      </c>
      <c r="W13" s="202"/>
      <c r="BE13" s="203" t="e">
        <f>IF(A14="","",INDEX(PERSO_TAB1,MATCH(A14,PERSO_TAB1_NOM_PRENOM,0),MATCH(#REF!,PERSO_TAB1_ENTETE,0)))</f>
        <v>#NAME?</v>
      </c>
      <c r="BF13" s="203" t="e">
        <f>INDEX(PERSO_TAB1,MATCH($A14,PERSO_TAB1_NOM_PRENOM,0),MATCH(#REF!,PERSO_TAB1_ENTETE,0))</f>
        <v>#NAME?</v>
      </c>
      <c r="BG13" s="199"/>
    </row>
    <row r="14" spans="1:59" ht="16.5" customHeight="1" thickTop="1" thickBot="1" x14ac:dyDescent="0.35">
      <c r="A14" s="154" t="s">
        <v>38</v>
      </c>
      <c r="B14" s="154" t="s">
        <v>14</v>
      </c>
      <c r="C14" s="154"/>
      <c r="D14" s="156"/>
      <c r="E14" s="155">
        <v>0</v>
      </c>
      <c r="F14" s="157"/>
      <c r="G14" s="157"/>
      <c r="H14" s="157"/>
      <c r="I14" s="157"/>
      <c r="J14" s="157"/>
      <c r="K14" s="282">
        <f t="shared" si="0"/>
        <v>0</v>
      </c>
      <c r="L14" s="158"/>
      <c r="M14" s="234">
        <f>t_frais_personnel[[#This Row],[Taux d''occupation mensuel par CPC* (%)]]</f>
        <v>0</v>
      </c>
      <c r="N14" s="230">
        <f>t_frais_personnel[[#This Row],[Brut Soumis
ONSS**]]</f>
        <v>0</v>
      </c>
      <c r="O14" s="230">
        <f>t_frais_personnel[[#This Row],[Arrièrés]]</f>
        <v>0</v>
      </c>
      <c r="P14" s="230">
        <f>t_frais_personnel[[#This Row],[***Autres charges ]]</f>
        <v>0</v>
      </c>
      <c r="Q14" s="230">
        <f>t_frais_personnel[[#This Row],[****Avantages extra-légaux]]</f>
        <v>0</v>
      </c>
      <c r="R14" s="230">
        <f>t_frais_personnel[[#This Row],[*****Indemnités perçues]]</f>
        <v>0</v>
      </c>
      <c r="S14" s="230">
        <f>(SUM(t_frais_personnel[[#This Row],[Brut total* *]:[****Avantages extra-légaux3]])-t_frais_personnel[[#This Row],[*****Indemnités perçues4]])*t_frais_personnel[[#This Row],[Taux d''occupation  mensuel*(%)]]</f>
        <v>0</v>
      </c>
      <c r="T14" s="230">
        <f>t_frais_personnel[[#This Row],[TOTAL ACCEPTÉ]]-t_frais_personnel[[#This Row],[TOTAL  DÉCLARÉ ]]</f>
        <v>0</v>
      </c>
      <c r="U14" s="230"/>
      <c r="V14" s="201">
        <f t="shared" si="1"/>
        <v>0</v>
      </c>
      <c r="W14" s="202"/>
      <c r="AB14" s="204"/>
      <c r="AC14" s="205"/>
      <c r="AD14" s="205"/>
      <c r="AE14" s="198"/>
      <c r="BE14" s="203" t="e">
        <f>IF(A15="","",INDEX(PERSO_TAB1,MATCH(A15,PERSO_TAB1_NOM_PRENOM,0),MATCH(#REF!,PERSO_TAB1_ENTETE,0)))</f>
        <v>#NAME?</v>
      </c>
      <c r="BF14" s="203" t="e">
        <f>INDEX(PERSO_TAB1,MATCH($A15,PERSO_TAB1_NOM_PRENOM,0),MATCH(#REF!,PERSO_TAB1_ENTETE,0))</f>
        <v>#NAME?</v>
      </c>
      <c r="BG14" s="199"/>
    </row>
    <row r="15" spans="1:59" ht="16.5" customHeight="1" thickTop="1" thickBot="1" x14ac:dyDescent="0.35">
      <c r="A15" s="154" t="s">
        <v>38</v>
      </c>
      <c r="B15" s="154" t="s">
        <v>14</v>
      </c>
      <c r="C15" s="154"/>
      <c r="D15" s="156"/>
      <c r="E15" s="155">
        <v>0</v>
      </c>
      <c r="F15" s="157"/>
      <c r="G15" s="157"/>
      <c r="H15" s="157"/>
      <c r="I15" s="157"/>
      <c r="J15" s="157"/>
      <c r="K15" s="282">
        <f t="shared" si="0"/>
        <v>0</v>
      </c>
      <c r="L15" s="158"/>
      <c r="M15" s="234">
        <f>t_frais_personnel[[#This Row],[Taux d''occupation mensuel par CPC* (%)]]</f>
        <v>0</v>
      </c>
      <c r="N15" s="230">
        <f>t_frais_personnel[[#This Row],[Brut Soumis
ONSS**]]</f>
        <v>0</v>
      </c>
      <c r="O15" s="230">
        <f>t_frais_personnel[[#This Row],[Arrièrés]]</f>
        <v>0</v>
      </c>
      <c r="P15" s="230">
        <f>t_frais_personnel[[#This Row],[***Autres charges ]]</f>
        <v>0</v>
      </c>
      <c r="Q15" s="230">
        <f>t_frais_personnel[[#This Row],[****Avantages extra-légaux]]</f>
        <v>0</v>
      </c>
      <c r="R15" s="230">
        <f>t_frais_personnel[[#This Row],[*****Indemnités perçues]]</f>
        <v>0</v>
      </c>
      <c r="S15" s="230">
        <f>(SUM(t_frais_personnel[[#This Row],[Brut total* *]:[****Avantages extra-légaux3]])-t_frais_personnel[[#This Row],[*****Indemnités perçues4]])*t_frais_personnel[[#This Row],[Taux d''occupation  mensuel*(%)]]</f>
        <v>0</v>
      </c>
      <c r="T15" s="230">
        <f>t_frais_personnel[[#This Row],[TOTAL ACCEPTÉ]]-t_frais_personnel[[#This Row],[TOTAL  DÉCLARÉ ]]</f>
        <v>0</v>
      </c>
      <c r="U15" s="230"/>
      <c r="V15" s="201">
        <f t="shared" si="1"/>
        <v>0</v>
      </c>
      <c r="W15" s="202"/>
      <c r="AB15" s="204"/>
      <c r="AC15" s="205"/>
      <c r="AD15" s="205"/>
      <c r="AE15" s="198"/>
      <c r="BE15" s="203" t="e">
        <f>IF(A16="","",INDEX(PERSO_TAB1,MATCH(A16,PERSO_TAB1_NOM_PRENOM,0),MATCH(#REF!,PERSO_TAB1_ENTETE,0)))</f>
        <v>#NAME?</v>
      </c>
      <c r="BF15" s="203" t="e">
        <f>INDEX(PERSO_TAB1,MATCH($A16,PERSO_TAB1_NOM_PRENOM,0),MATCH(#REF!,PERSO_TAB1_ENTETE,0))</f>
        <v>#NAME?</v>
      </c>
      <c r="BG15" s="199"/>
    </row>
    <row r="16" spans="1:59" ht="16.5" customHeight="1" thickTop="1" thickBot="1" x14ac:dyDescent="0.35">
      <c r="A16" s="154" t="s">
        <v>38</v>
      </c>
      <c r="B16" s="154" t="s">
        <v>14</v>
      </c>
      <c r="C16" s="154"/>
      <c r="D16" s="156"/>
      <c r="E16" s="155">
        <v>0</v>
      </c>
      <c r="F16" s="157"/>
      <c r="G16" s="157"/>
      <c r="H16" s="157"/>
      <c r="I16" s="157"/>
      <c r="J16" s="157"/>
      <c r="K16" s="282">
        <f t="shared" si="0"/>
        <v>0</v>
      </c>
      <c r="L16" s="158"/>
      <c r="M16" s="234">
        <f>t_frais_personnel[[#This Row],[Taux d''occupation mensuel par CPC* (%)]]</f>
        <v>0</v>
      </c>
      <c r="N16" s="230">
        <f>t_frais_personnel[[#This Row],[Brut Soumis
ONSS**]]</f>
        <v>0</v>
      </c>
      <c r="O16" s="230">
        <f>t_frais_personnel[[#This Row],[Arrièrés]]</f>
        <v>0</v>
      </c>
      <c r="P16" s="230">
        <f>t_frais_personnel[[#This Row],[***Autres charges ]]</f>
        <v>0</v>
      </c>
      <c r="Q16" s="230">
        <f>t_frais_personnel[[#This Row],[****Avantages extra-légaux]]</f>
        <v>0</v>
      </c>
      <c r="R16" s="230">
        <f>t_frais_personnel[[#This Row],[*****Indemnités perçues]]</f>
        <v>0</v>
      </c>
      <c r="S16" s="230">
        <f>(SUM(t_frais_personnel[[#This Row],[Brut total* *]:[****Avantages extra-légaux3]])-t_frais_personnel[[#This Row],[*****Indemnités perçues4]])*t_frais_personnel[[#This Row],[Taux d''occupation  mensuel*(%)]]</f>
        <v>0</v>
      </c>
      <c r="T16" s="230">
        <f>t_frais_personnel[[#This Row],[TOTAL ACCEPTÉ]]-t_frais_personnel[[#This Row],[TOTAL  DÉCLARÉ ]]</f>
        <v>0</v>
      </c>
      <c r="U16" s="230"/>
      <c r="V16" s="201">
        <f t="shared" si="1"/>
        <v>0</v>
      </c>
      <c r="W16" s="202"/>
      <c r="AB16" s="204"/>
      <c r="AC16" s="205"/>
      <c r="AD16" s="205"/>
      <c r="AE16" s="198"/>
      <c r="BE16" s="203" t="e">
        <f>IF(A17="","",INDEX(PERSO_TAB1,MATCH(A17,PERSO_TAB1_NOM_PRENOM,0),MATCH(#REF!,PERSO_TAB1_ENTETE,0)))</f>
        <v>#NAME?</v>
      </c>
      <c r="BF16" s="203" t="e">
        <f>INDEX(PERSO_TAB1,MATCH($A17,PERSO_TAB1_NOM_PRENOM,0),MATCH(#REF!,PERSO_TAB1_ENTETE,0))</f>
        <v>#NAME?</v>
      </c>
      <c r="BG16" s="199"/>
    </row>
    <row r="17" spans="1:59" ht="16.5" customHeight="1" thickTop="1" thickBot="1" x14ac:dyDescent="0.35">
      <c r="A17" s="154" t="s">
        <v>38</v>
      </c>
      <c r="B17" s="154" t="s">
        <v>14</v>
      </c>
      <c r="C17" s="154"/>
      <c r="D17" s="156"/>
      <c r="E17" s="155">
        <v>0</v>
      </c>
      <c r="F17" s="157"/>
      <c r="G17" s="157"/>
      <c r="H17" s="157"/>
      <c r="I17" s="157"/>
      <c r="J17" s="157"/>
      <c r="K17" s="282">
        <f t="shared" si="0"/>
        <v>0</v>
      </c>
      <c r="L17" s="158"/>
      <c r="M17" s="234">
        <f>t_frais_personnel[[#This Row],[Taux d''occupation mensuel par CPC* (%)]]</f>
        <v>0</v>
      </c>
      <c r="N17" s="230">
        <f>t_frais_personnel[[#This Row],[Brut Soumis
ONSS**]]</f>
        <v>0</v>
      </c>
      <c r="O17" s="230">
        <f>t_frais_personnel[[#This Row],[Arrièrés]]</f>
        <v>0</v>
      </c>
      <c r="P17" s="230">
        <f>t_frais_personnel[[#This Row],[***Autres charges ]]</f>
        <v>0</v>
      </c>
      <c r="Q17" s="230">
        <f>t_frais_personnel[[#This Row],[****Avantages extra-légaux]]</f>
        <v>0</v>
      </c>
      <c r="R17" s="230">
        <f>t_frais_personnel[[#This Row],[*****Indemnités perçues]]</f>
        <v>0</v>
      </c>
      <c r="S17" s="230">
        <f>(SUM(t_frais_personnel[[#This Row],[Brut total* *]:[****Avantages extra-légaux3]])-t_frais_personnel[[#This Row],[*****Indemnités perçues4]])*t_frais_personnel[[#This Row],[Taux d''occupation  mensuel*(%)]]</f>
        <v>0</v>
      </c>
      <c r="T17" s="230">
        <f>t_frais_personnel[[#This Row],[TOTAL ACCEPTÉ]]-t_frais_personnel[[#This Row],[TOTAL  DÉCLARÉ ]]</f>
        <v>0</v>
      </c>
      <c r="U17" s="230"/>
      <c r="V17" s="201">
        <f t="shared" si="1"/>
        <v>0</v>
      </c>
      <c r="W17" s="202"/>
      <c r="AB17" s="204"/>
      <c r="AC17" s="205"/>
      <c r="AD17" s="205"/>
      <c r="AE17" s="198"/>
      <c r="BE17" s="203" t="e">
        <f>IF(A18="","",INDEX(PERSO_TAB1,MATCH(A18,PERSO_TAB1_NOM_PRENOM,0),MATCH(#REF!,PERSO_TAB1_ENTETE,0)))</f>
        <v>#NAME?</v>
      </c>
      <c r="BF17" s="203" t="e">
        <f>INDEX(PERSO_TAB1,MATCH($A18,PERSO_TAB1_NOM_PRENOM,0),MATCH(#REF!,PERSO_TAB1_ENTETE,0))</f>
        <v>#NAME?</v>
      </c>
      <c r="BG17" s="199"/>
    </row>
    <row r="18" spans="1:59" ht="16.5" customHeight="1" thickTop="1" thickBot="1" x14ac:dyDescent="0.35">
      <c r="A18" s="154" t="s">
        <v>38</v>
      </c>
      <c r="B18" s="154" t="s">
        <v>14</v>
      </c>
      <c r="C18" s="154"/>
      <c r="D18" s="156"/>
      <c r="E18" s="155">
        <v>0</v>
      </c>
      <c r="F18" s="157"/>
      <c r="G18" s="157"/>
      <c r="H18" s="157"/>
      <c r="I18" s="157"/>
      <c r="J18" s="157"/>
      <c r="K18" s="282">
        <f t="shared" si="0"/>
        <v>0</v>
      </c>
      <c r="L18" s="158"/>
      <c r="M18" s="234">
        <f>t_frais_personnel[[#This Row],[Taux d''occupation mensuel par CPC* (%)]]</f>
        <v>0</v>
      </c>
      <c r="N18" s="230">
        <f>t_frais_personnel[[#This Row],[Brut Soumis
ONSS**]]</f>
        <v>0</v>
      </c>
      <c r="O18" s="230">
        <f>t_frais_personnel[[#This Row],[Arrièrés]]</f>
        <v>0</v>
      </c>
      <c r="P18" s="230">
        <f>t_frais_personnel[[#This Row],[***Autres charges ]]</f>
        <v>0</v>
      </c>
      <c r="Q18" s="230">
        <f>t_frais_personnel[[#This Row],[****Avantages extra-légaux]]</f>
        <v>0</v>
      </c>
      <c r="R18" s="230">
        <f>t_frais_personnel[[#This Row],[*****Indemnités perçues]]</f>
        <v>0</v>
      </c>
      <c r="S18" s="230">
        <f>(SUM(t_frais_personnel[[#This Row],[Brut total* *]:[****Avantages extra-légaux3]])-t_frais_personnel[[#This Row],[*****Indemnités perçues4]])*t_frais_personnel[[#This Row],[Taux d''occupation  mensuel*(%)]]</f>
        <v>0</v>
      </c>
      <c r="T18" s="230">
        <f>t_frais_personnel[[#This Row],[TOTAL ACCEPTÉ]]-t_frais_personnel[[#This Row],[TOTAL  DÉCLARÉ ]]</f>
        <v>0</v>
      </c>
      <c r="U18" s="230"/>
      <c r="V18" s="201">
        <f t="shared" si="1"/>
        <v>0</v>
      </c>
      <c r="W18" s="202"/>
      <c r="AB18" s="204"/>
      <c r="AC18" s="205"/>
      <c r="AD18" s="205"/>
      <c r="AE18" s="198"/>
      <c r="BE18" s="203" t="e">
        <f>IF(A19="","",INDEX(PERSO_TAB1,MATCH(A19,PERSO_TAB1_NOM_PRENOM,0),MATCH(#REF!,PERSO_TAB1_ENTETE,0)))</f>
        <v>#NAME?</v>
      </c>
      <c r="BF18" s="203" t="e">
        <f>INDEX(PERSO_TAB1,MATCH($A19,PERSO_TAB1_NOM_PRENOM,0),MATCH(#REF!,PERSO_TAB1_ENTETE,0))</f>
        <v>#NAME?</v>
      </c>
      <c r="BG18" s="199"/>
    </row>
    <row r="19" spans="1:59" ht="16.5" customHeight="1" thickTop="1" thickBot="1" x14ac:dyDescent="0.35">
      <c r="A19" s="154" t="s">
        <v>38</v>
      </c>
      <c r="B19" s="154" t="s">
        <v>14</v>
      </c>
      <c r="C19" s="154"/>
      <c r="D19" s="156"/>
      <c r="E19" s="155">
        <v>0</v>
      </c>
      <c r="F19" s="157"/>
      <c r="G19" s="157"/>
      <c r="H19" s="157"/>
      <c r="I19" s="157"/>
      <c r="J19" s="157"/>
      <c r="K19" s="282">
        <f t="shared" si="0"/>
        <v>0</v>
      </c>
      <c r="L19" s="158"/>
      <c r="M19" s="234">
        <f>t_frais_personnel[[#This Row],[Taux d''occupation mensuel par CPC* (%)]]</f>
        <v>0</v>
      </c>
      <c r="N19" s="230">
        <f>t_frais_personnel[[#This Row],[Brut Soumis
ONSS**]]</f>
        <v>0</v>
      </c>
      <c r="O19" s="230">
        <f>t_frais_personnel[[#This Row],[Arrièrés]]</f>
        <v>0</v>
      </c>
      <c r="P19" s="230">
        <f>t_frais_personnel[[#This Row],[***Autres charges ]]</f>
        <v>0</v>
      </c>
      <c r="Q19" s="230">
        <f>t_frais_personnel[[#This Row],[****Avantages extra-légaux]]</f>
        <v>0</v>
      </c>
      <c r="R19" s="230">
        <f>t_frais_personnel[[#This Row],[*****Indemnités perçues]]</f>
        <v>0</v>
      </c>
      <c r="S19" s="230">
        <f>(SUM(t_frais_personnel[[#This Row],[Brut total* *]:[****Avantages extra-légaux3]])-t_frais_personnel[[#This Row],[*****Indemnités perçues4]])*t_frais_personnel[[#This Row],[Taux d''occupation  mensuel*(%)]]</f>
        <v>0</v>
      </c>
      <c r="T19" s="230">
        <f>t_frais_personnel[[#This Row],[TOTAL ACCEPTÉ]]-t_frais_personnel[[#This Row],[TOTAL  DÉCLARÉ ]]</f>
        <v>0</v>
      </c>
      <c r="U19" s="230"/>
      <c r="V19" s="201">
        <f t="shared" si="1"/>
        <v>0</v>
      </c>
      <c r="W19" s="202"/>
      <c r="BE19" s="203" t="e">
        <f>IF(A20="","",INDEX(PERSO_TAB1,MATCH(A20,PERSO_TAB1_NOM_PRENOM,0),MATCH(#REF!,PERSO_TAB1_ENTETE,0)))</f>
        <v>#NAME?</v>
      </c>
      <c r="BF19" s="203" t="e">
        <f>INDEX(PERSO_TAB1,MATCH($A20,PERSO_TAB1_NOM_PRENOM,0),MATCH(#REF!,PERSO_TAB1_ENTETE,0))</f>
        <v>#NAME?</v>
      </c>
      <c r="BG19" s="199"/>
    </row>
    <row r="20" spans="1:59" ht="16.5" customHeight="1" thickTop="1" thickBot="1" x14ac:dyDescent="0.35">
      <c r="A20" s="154" t="s">
        <v>38</v>
      </c>
      <c r="B20" s="154" t="s">
        <v>14</v>
      </c>
      <c r="C20" s="154"/>
      <c r="D20" s="156"/>
      <c r="E20" s="155">
        <v>0</v>
      </c>
      <c r="F20" s="157"/>
      <c r="G20" s="157"/>
      <c r="H20" s="157"/>
      <c r="I20" s="157"/>
      <c r="J20" s="157"/>
      <c r="K20" s="282">
        <f t="shared" si="0"/>
        <v>0</v>
      </c>
      <c r="L20" s="158"/>
      <c r="M20" s="234">
        <f>t_frais_personnel[[#This Row],[Taux d''occupation mensuel par CPC* (%)]]</f>
        <v>0</v>
      </c>
      <c r="N20" s="230">
        <f>t_frais_personnel[[#This Row],[Brut Soumis
ONSS**]]</f>
        <v>0</v>
      </c>
      <c r="O20" s="230">
        <f>t_frais_personnel[[#This Row],[Arrièrés]]</f>
        <v>0</v>
      </c>
      <c r="P20" s="230">
        <f>t_frais_personnel[[#This Row],[***Autres charges ]]</f>
        <v>0</v>
      </c>
      <c r="Q20" s="230">
        <f>t_frais_personnel[[#This Row],[****Avantages extra-légaux]]</f>
        <v>0</v>
      </c>
      <c r="R20" s="230">
        <f>t_frais_personnel[[#This Row],[*****Indemnités perçues]]</f>
        <v>0</v>
      </c>
      <c r="S20" s="230">
        <f>(SUM(t_frais_personnel[[#This Row],[Brut total* *]:[****Avantages extra-légaux3]])-t_frais_personnel[[#This Row],[*****Indemnités perçues4]])*t_frais_personnel[[#This Row],[Taux d''occupation  mensuel*(%)]]</f>
        <v>0</v>
      </c>
      <c r="T20" s="230">
        <f>t_frais_personnel[[#This Row],[TOTAL ACCEPTÉ]]-t_frais_personnel[[#This Row],[TOTAL  DÉCLARÉ ]]</f>
        <v>0</v>
      </c>
      <c r="U20" s="230"/>
      <c r="V20" s="201">
        <f t="shared" si="1"/>
        <v>0</v>
      </c>
      <c r="W20" s="202"/>
      <c r="BE20" s="203" t="e">
        <f>IF(A21="","",INDEX(PERSO_TAB1,MATCH(A21,PERSO_TAB1_NOM_PRENOM,0),MATCH(#REF!,PERSO_TAB1_ENTETE,0)))</f>
        <v>#NAME?</v>
      </c>
      <c r="BF20" s="203" t="e">
        <f>INDEX(PERSO_TAB1,MATCH($A21,PERSO_TAB1_NOM_PRENOM,0),MATCH(#REF!,PERSO_TAB1_ENTETE,0))</f>
        <v>#NAME?</v>
      </c>
      <c r="BG20" s="199"/>
    </row>
    <row r="21" spans="1:59" ht="16.5" customHeight="1" thickTop="1" thickBot="1" x14ac:dyDescent="0.35">
      <c r="A21" s="154" t="s">
        <v>38</v>
      </c>
      <c r="B21" s="154" t="s">
        <v>14</v>
      </c>
      <c r="C21" s="154"/>
      <c r="D21" s="156"/>
      <c r="E21" s="155">
        <v>0</v>
      </c>
      <c r="F21" s="157"/>
      <c r="G21" s="157"/>
      <c r="H21" s="157"/>
      <c r="I21" s="157"/>
      <c r="J21" s="157"/>
      <c r="K21" s="282">
        <f t="shared" si="0"/>
        <v>0</v>
      </c>
      <c r="L21" s="158"/>
      <c r="M21" s="234">
        <f>t_frais_personnel[[#This Row],[Taux d''occupation mensuel par CPC* (%)]]</f>
        <v>0</v>
      </c>
      <c r="N21" s="230">
        <f>t_frais_personnel[[#This Row],[Brut Soumis
ONSS**]]</f>
        <v>0</v>
      </c>
      <c r="O21" s="230">
        <f>t_frais_personnel[[#This Row],[Arrièrés]]</f>
        <v>0</v>
      </c>
      <c r="P21" s="230">
        <f>t_frais_personnel[[#This Row],[***Autres charges ]]</f>
        <v>0</v>
      </c>
      <c r="Q21" s="230">
        <f>t_frais_personnel[[#This Row],[****Avantages extra-légaux]]</f>
        <v>0</v>
      </c>
      <c r="R21" s="230">
        <f>t_frais_personnel[[#This Row],[*****Indemnités perçues]]</f>
        <v>0</v>
      </c>
      <c r="S21" s="230">
        <f>(SUM(t_frais_personnel[[#This Row],[Brut total* *]:[****Avantages extra-légaux3]])-t_frais_personnel[[#This Row],[*****Indemnités perçues4]])*t_frais_personnel[[#This Row],[Taux d''occupation  mensuel*(%)]]</f>
        <v>0</v>
      </c>
      <c r="T21" s="230">
        <f>t_frais_personnel[[#This Row],[TOTAL ACCEPTÉ]]-t_frais_personnel[[#This Row],[TOTAL  DÉCLARÉ ]]</f>
        <v>0</v>
      </c>
      <c r="U21" s="230"/>
      <c r="V21" s="201">
        <f t="shared" si="1"/>
        <v>0</v>
      </c>
      <c r="W21" s="202"/>
      <c r="BE21" s="203" t="e">
        <f>IF(A22="","",INDEX(PERSO_TAB1,MATCH(A22,PERSO_TAB1_NOM_PRENOM,0),MATCH(#REF!,PERSO_TAB1_ENTETE,0)))</f>
        <v>#NAME?</v>
      </c>
      <c r="BF21" s="203" t="e">
        <f>INDEX(PERSO_TAB1,MATCH($A22,PERSO_TAB1_NOM_PRENOM,0),MATCH(#REF!,PERSO_TAB1_ENTETE,0))</f>
        <v>#NAME?</v>
      </c>
      <c r="BG21" s="199"/>
    </row>
    <row r="22" spans="1:59" ht="19.2" customHeight="1" thickTop="1" thickBot="1" x14ac:dyDescent="0.35">
      <c r="A22" s="154" t="s">
        <v>38</v>
      </c>
      <c r="B22" s="154" t="s">
        <v>14</v>
      </c>
      <c r="C22" s="154"/>
      <c r="D22" s="156"/>
      <c r="E22" s="155">
        <v>0</v>
      </c>
      <c r="F22" s="157"/>
      <c r="G22" s="157"/>
      <c r="H22" s="157"/>
      <c r="I22" s="157"/>
      <c r="J22" s="157"/>
      <c r="K22" s="282">
        <f t="shared" si="0"/>
        <v>0</v>
      </c>
      <c r="L22" s="158"/>
      <c r="M22" s="234">
        <f>t_frais_personnel[[#This Row],[Taux d''occupation mensuel par CPC* (%)]]</f>
        <v>0</v>
      </c>
      <c r="N22" s="230">
        <f>t_frais_personnel[[#This Row],[Brut Soumis
ONSS**]]</f>
        <v>0</v>
      </c>
      <c r="O22" s="230">
        <f>t_frais_personnel[[#This Row],[Arrièrés]]</f>
        <v>0</v>
      </c>
      <c r="P22" s="230">
        <f>t_frais_personnel[[#This Row],[***Autres charges ]]</f>
        <v>0</v>
      </c>
      <c r="Q22" s="230">
        <f>t_frais_personnel[[#This Row],[****Avantages extra-légaux]]</f>
        <v>0</v>
      </c>
      <c r="R22" s="230">
        <f>t_frais_personnel[[#This Row],[*****Indemnités perçues]]</f>
        <v>0</v>
      </c>
      <c r="S22" s="230">
        <f>(SUM(t_frais_personnel[[#This Row],[Brut total* *]:[****Avantages extra-légaux3]])-t_frais_personnel[[#This Row],[*****Indemnités perçues4]])*t_frais_personnel[[#This Row],[Taux d''occupation  mensuel*(%)]]</f>
        <v>0</v>
      </c>
      <c r="T22" s="230">
        <f>t_frais_personnel[[#This Row],[TOTAL ACCEPTÉ]]-t_frais_personnel[[#This Row],[TOTAL  DÉCLARÉ ]]</f>
        <v>0</v>
      </c>
      <c r="U22" s="230"/>
      <c r="V22" s="201">
        <f t="shared" si="1"/>
        <v>0</v>
      </c>
      <c r="W22" s="202"/>
      <c r="BE22" s="203" t="e">
        <f>IF(A23="","",INDEX(PERSO_TAB1,MATCH(A23,PERSO_TAB1_NOM_PRENOM,0),MATCH(#REF!,PERSO_TAB1_ENTETE,0)))</f>
        <v>#NAME?</v>
      </c>
      <c r="BF22" s="203" t="e">
        <f>INDEX(PERSO_TAB1,MATCH($A23,PERSO_TAB1_NOM_PRENOM,0),MATCH(#REF!,PERSO_TAB1_ENTETE,0))</f>
        <v>#NAME?</v>
      </c>
      <c r="BG22" s="199"/>
    </row>
    <row r="23" spans="1:59" ht="16.5" customHeight="1" thickTop="1" thickBot="1" x14ac:dyDescent="0.35">
      <c r="A23" s="154" t="s">
        <v>38</v>
      </c>
      <c r="B23" s="154" t="s">
        <v>14</v>
      </c>
      <c r="C23" s="154"/>
      <c r="D23" s="156"/>
      <c r="E23" s="155">
        <v>0</v>
      </c>
      <c r="F23" s="157"/>
      <c r="G23" s="157"/>
      <c r="H23" s="157"/>
      <c r="I23" s="157"/>
      <c r="J23" s="157"/>
      <c r="K23" s="282">
        <f t="shared" si="0"/>
        <v>0</v>
      </c>
      <c r="L23" s="158"/>
      <c r="M23" s="234">
        <f>t_frais_personnel[[#This Row],[Taux d''occupation mensuel par CPC* (%)]]</f>
        <v>0</v>
      </c>
      <c r="N23" s="230">
        <f>t_frais_personnel[[#This Row],[Brut Soumis
ONSS**]]</f>
        <v>0</v>
      </c>
      <c r="O23" s="230">
        <f>t_frais_personnel[[#This Row],[Arrièrés]]</f>
        <v>0</v>
      </c>
      <c r="P23" s="230">
        <f>t_frais_personnel[[#This Row],[***Autres charges ]]</f>
        <v>0</v>
      </c>
      <c r="Q23" s="230">
        <f>t_frais_personnel[[#This Row],[****Avantages extra-légaux]]</f>
        <v>0</v>
      </c>
      <c r="R23" s="230">
        <f>t_frais_personnel[[#This Row],[*****Indemnités perçues]]</f>
        <v>0</v>
      </c>
      <c r="S23" s="230">
        <f>(SUM(t_frais_personnel[[#This Row],[Brut total* *]:[****Avantages extra-légaux3]])-t_frais_personnel[[#This Row],[*****Indemnités perçues4]])*t_frais_personnel[[#This Row],[Taux d''occupation  mensuel*(%)]]</f>
        <v>0</v>
      </c>
      <c r="T23" s="230">
        <f>t_frais_personnel[[#This Row],[TOTAL ACCEPTÉ]]-t_frais_personnel[[#This Row],[TOTAL  DÉCLARÉ ]]</f>
        <v>0</v>
      </c>
      <c r="U23" s="230"/>
      <c r="V23" s="201">
        <f t="shared" si="1"/>
        <v>0</v>
      </c>
      <c r="W23" s="202"/>
      <c r="BE23" s="203" t="e">
        <f>IF(#REF!="","",INDEX(PERSO_TAB1,MATCH(#REF!,PERSO_TAB1_NOM_PRENOM,0),MATCH(#REF!,PERSO_TAB1_ENTETE,0)))</f>
        <v>#REF!</v>
      </c>
      <c r="BF23" s="203" t="e">
        <f>INDEX(PERSO_TAB1,MATCH(#REF!,PERSO_TAB1_NOM_PRENOM,0),MATCH(#REF!,PERSO_TAB1_ENTETE,0))</f>
        <v>#NAME?</v>
      </c>
      <c r="BG23" s="199"/>
    </row>
    <row r="24" spans="1:59" ht="16.5" customHeight="1" thickTop="1" thickBot="1" x14ac:dyDescent="0.35">
      <c r="A24" s="154" t="s">
        <v>38</v>
      </c>
      <c r="B24" s="154" t="s">
        <v>14</v>
      </c>
      <c r="C24" s="154"/>
      <c r="D24" s="156"/>
      <c r="E24" s="155"/>
      <c r="F24" s="157"/>
      <c r="G24" s="157"/>
      <c r="H24" s="157"/>
      <c r="I24" s="157"/>
      <c r="J24" s="157"/>
      <c r="K24" s="282">
        <f>(SUM($F24:$I24)-J24)*$E24</f>
        <v>0</v>
      </c>
      <c r="L24" s="158"/>
      <c r="M24" s="234">
        <f>t_frais_personnel[[#This Row],[Taux d''occupation mensuel par CPC* (%)]]</f>
        <v>0</v>
      </c>
      <c r="N24" s="230">
        <f>t_frais_personnel[[#This Row],[Brut Soumis
ONSS**]]</f>
        <v>0</v>
      </c>
      <c r="O24" s="230">
        <f>t_frais_personnel[[#This Row],[Arrièrés]]</f>
        <v>0</v>
      </c>
      <c r="P24" s="230">
        <f>t_frais_personnel[[#This Row],[***Autres charges ]]</f>
        <v>0</v>
      </c>
      <c r="Q24" s="230">
        <f>t_frais_personnel[[#This Row],[****Avantages extra-légaux]]</f>
        <v>0</v>
      </c>
      <c r="R24" s="230">
        <f>t_frais_personnel[[#This Row],[*****Indemnités perçues]]</f>
        <v>0</v>
      </c>
      <c r="S24" s="230">
        <f>(SUM(t_frais_personnel[[#This Row],[Brut total* *]:[****Avantages extra-légaux3]])-t_frais_personnel[[#This Row],[*****Indemnités perçues4]])*t_frais_personnel[[#This Row],[Taux d''occupation  mensuel*(%)]]</f>
        <v>0</v>
      </c>
      <c r="T24" s="230">
        <f>t_frais_personnel[[#This Row],[TOTAL ACCEPTÉ]]-t_frais_personnel[[#This Row],[TOTAL  DÉCLARÉ ]]</f>
        <v>0</v>
      </c>
      <c r="U24" s="230"/>
      <c r="V24" s="201"/>
      <c r="W24" s="202"/>
      <c r="BE24" s="203"/>
      <c r="BF24" s="203"/>
      <c r="BG24" s="199"/>
    </row>
    <row r="25" spans="1:59" ht="15.6" thickTop="1" thickBot="1" x14ac:dyDescent="0.35">
      <c r="A25" s="311" t="s">
        <v>753</v>
      </c>
      <c r="B25" cm="1">
        <f t="array" ref="B25">SUMPRODUCT(1/COUNTIF(t_frais_personnel[Mois],t_frais_personnel[Mois]))-1</f>
        <v>0</v>
      </c>
      <c r="C25"/>
      <c r="D25"/>
      <c r="E25" t="e">
        <f>AVERAGEIF(E6:E24,"&lt;&gt;0")</f>
        <v>#DIV/0!</v>
      </c>
      <c r="F25"/>
      <c r="G25"/>
      <c r="H25"/>
      <c r="I25"/>
      <c r="J25"/>
      <c r="K25" s="314">
        <f>SUBTOTAL(109,t_frais_personnel[[TOTAL  DÉCLARÉ ]])</f>
        <v>0</v>
      </c>
      <c r="L25"/>
      <c r="M25" s="309"/>
      <c r="N25" s="312">
        <f>SUBTOTAL(109,t_frais_personnel[Brut total* *])</f>
        <v>0</v>
      </c>
      <c r="O25" s="309"/>
      <c r="P25" s="309"/>
      <c r="Q25" s="309"/>
      <c r="R25" s="309"/>
      <c r="S25" s="312">
        <f>SUBTOTAL(109,t_frais_personnel[TOTAL ACCEPTÉ])</f>
        <v>0</v>
      </c>
      <c r="T25" s="313">
        <f>SUBTOTAL(109,t_frais_personnel[Différence Tot.  accepté et déclaré])</f>
        <v>0</v>
      </c>
      <c r="U25" s="310">
        <f>SUBTOTAL(103,t_frais_personnel[Raison de la révision])</f>
        <v>0</v>
      </c>
      <c r="V25" s="203"/>
    </row>
    <row r="26" spans="1:59" ht="14.4" thickTop="1" x14ac:dyDescent="0.3">
      <c r="A26" s="206"/>
      <c r="E26" s="308"/>
      <c r="F26" s="207"/>
      <c r="G26" s="207"/>
      <c r="H26" s="207"/>
      <c r="I26" s="207"/>
      <c r="J26" s="207"/>
      <c r="L26" s="207"/>
    </row>
    <row r="27" spans="1:59" x14ac:dyDescent="0.3">
      <c r="A27" s="206"/>
      <c r="F27" s="207"/>
      <c r="G27" s="207"/>
      <c r="H27" s="207"/>
      <c r="I27" s="207"/>
      <c r="J27" s="207"/>
    </row>
    <row r="28" spans="1:59" x14ac:dyDescent="0.3">
      <c r="A28" s="206"/>
    </row>
    <row r="29" spans="1:59" x14ac:dyDescent="0.3">
      <c r="A29" s="206"/>
    </row>
    <row r="30" spans="1:59" x14ac:dyDescent="0.3">
      <c r="A30" s="206"/>
    </row>
    <row r="31" spans="1:59" x14ac:dyDescent="0.3">
      <c r="A31" s="206"/>
    </row>
    <row r="32" spans="1:59" x14ac:dyDescent="0.3">
      <c r="A32" s="206"/>
    </row>
    <row r="33" spans="1:1" x14ac:dyDescent="0.3">
      <c r="A33" s="206"/>
    </row>
    <row r="34" spans="1:1" x14ac:dyDescent="0.3">
      <c r="A34" s="206"/>
    </row>
    <row r="35" spans="1:1" x14ac:dyDescent="0.3">
      <c r="A35" s="206"/>
    </row>
    <row r="36" spans="1:1" x14ac:dyDescent="0.3">
      <c r="A36" s="206"/>
    </row>
    <row r="37" spans="1:1" x14ac:dyDescent="0.3">
      <c r="A37" s="206"/>
    </row>
    <row r="38" spans="1:1" x14ac:dyDescent="0.3">
      <c r="A38" s="206"/>
    </row>
    <row r="39" spans="1:1" x14ac:dyDescent="0.3">
      <c r="A39" s="206"/>
    </row>
    <row r="40" spans="1:1" x14ac:dyDescent="0.3">
      <c r="A40" s="206"/>
    </row>
    <row r="41" spans="1:1" x14ac:dyDescent="0.3">
      <c r="A41" s="206"/>
    </row>
    <row r="42" spans="1:1" x14ac:dyDescent="0.3">
      <c r="A42" s="206"/>
    </row>
    <row r="43" spans="1:1" x14ac:dyDescent="0.3">
      <c r="A43" s="206"/>
    </row>
    <row r="44" spans="1:1" x14ac:dyDescent="0.3">
      <c r="A44" s="206"/>
    </row>
    <row r="45" spans="1:1" x14ac:dyDescent="0.3">
      <c r="A45" s="206"/>
    </row>
    <row r="46" spans="1:1" x14ac:dyDescent="0.3">
      <c r="A46" s="206"/>
    </row>
    <row r="47" spans="1:1" x14ac:dyDescent="0.3">
      <c r="A47" s="206"/>
    </row>
    <row r="48" spans="1:1" x14ac:dyDescent="0.3">
      <c r="A48" s="206"/>
    </row>
    <row r="49" spans="1:1" x14ac:dyDescent="0.3">
      <c r="A49" s="206"/>
    </row>
    <row r="50" spans="1:1" x14ac:dyDescent="0.3">
      <c r="A50" s="206"/>
    </row>
    <row r="51" spans="1:1" x14ac:dyDescent="0.3">
      <c r="A51" s="206"/>
    </row>
    <row r="52" spans="1:1" x14ac:dyDescent="0.3">
      <c r="A52" s="206"/>
    </row>
    <row r="53" spans="1:1" x14ac:dyDescent="0.3">
      <c r="A53" s="206"/>
    </row>
    <row r="54" spans="1:1" x14ac:dyDescent="0.3">
      <c r="A54" s="206"/>
    </row>
    <row r="55" spans="1:1" x14ac:dyDescent="0.3">
      <c r="A55" s="206"/>
    </row>
    <row r="56" spans="1:1" x14ac:dyDescent="0.3">
      <c r="A56" s="206"/>
    </row>
    <row r="57" spans="1:1" x14ac:dyDescent="0.3">
      <c r="A57" s="206"/>
    </row>
    <row r="58" spans="1:1" x14ac:dyDescent="0.3">
      <c r="A58" s="206"/>
    </row>
    <row r="59" spans="1:1" x14ac:dyDescent="0.3">
      <c r="A59" s="206"/>
    </row>
    <row r="60" spans="1:1" x14ac:dyDescent="0.3">
      <c r="A60" s="206"/>
    </row>
    <row r="61" spans="1:1" x14ac:dyDescent="0.3">
      <c r="A61" s="206"/>
    </row>
    <row r="62" spans="1:1" x14ac:dyDescent="0.3">
      <c r="A62" s="206"/>
    </row>
    <row r="63" spans="1:1" x14ac:dyDescent="0.3">
      <c r="A63" s="206"/>
    </row>
    <row r="64" spans="1:1" x14ac:dyDescent="0.3">
      <c r="A64" s="206"/>
    </row>
    <row r="65" spans="1:1" x14ac:dyDescent="0.3">
      <c r="A65" s="206"/>
    </row>
    <row r="66" spans="1:1" x14ac:dyDescent="0.3">
      <c r="A66" s="206"/>
    </row>
    <row r="67" spans="1:1" x14ac:dyDescent="0.3">
      <c r="A67" s="206"/>
    </row>
    <row r="68" spans="1:1" x14ac:dyDescent="0.3">
      <c r="A68" s="206"/>
    </row>
    <row r="69" spans="1:1" x14ac:dyDescent="0.3">
      <c r="A69" s="206"/>
    </row>
    <row r="70" spans="1:1" x14ac:dyDescent="0.3">
      <c r="A70" s="206"/>
    </row>
    <row r="71" spans="1:1" x14ac:dyDescent="0.3">
      <c r="A71" s="206"/>
    </row>
    <row r="72" spans="1:1" x14ac:dyDescent="0.3">
      <c r="A72" s="206"/>
    </row>
    <row r="73" spans="1:1" x14ac:dyDescent="0.3">
      <c r="A73" s="206"/>
    </row>
    <row r="74" spans="1:1" x14ac:dyDescent="0.3">
      <c r="A74" s="206"/>
    </row>
    <row r="75" spans="1:1" x14ac:dyDescent="0.3">
      <c r="A75" s="206"/>
    </row>
    <row r="76" spans="1:1" x14ac:dyDescent="0.3">
      <c r="A76" s="206"/>
    </row>
    <row r="77" spans="1:1" x14ac:dyDescent="0.3">
      <c r="A77" s="206"/>
    </row>
    <row r="78" spans="1:1" x14ac:dyDescent="0.3">
      <c r="A78" s="206"/>
    </row>
    <row r="79" spans="1:1" x14ac:dyDescent="0.3">
      <c r="A79" s="206"/>
    </row>
    <row r="80" spans="1:1" x14ac:dyDescent="0.3">
      <c r="A80" s="206"/>
    </row>
    <row r="81" spans="1:1" x14ac:dyDescent="0.3">
      <c r="A81" s="206"/>
    </row>
    <row r="82" spans="1:1" x14ac:dyDescent="0.3">
      <c r="A82" s="206"/>
    </row>
    <row r="83" spans="1:1" x14ac:dyDescent="0.3">
      <c r="A83" s="206"/>
    </row>
    <row r="84" spans="1:1" x14ac:dyDescent="0.3">
      <c r="A84" s="206"/>
    </row>
    <row r="85" spans="1:1" x14ac:dyDescent="0.3">
      <c r="A85" s="206"/>
    </row>
    <row r="86" spans="1:1" x14ac:dyDescent="0.3">
      <c r="A86" s="206"/>
    </row>
    <row r="87" spans="1:1" x14ac:dyDescent="0.3">
      <c r="A87" s="206"/>
    </row>
    <row r="88" spans="1:1" x14ac:dyDescent="0.3">
      <c r="A88" s="206"/>
    </row>
    <row r="89" spans="1:1" x14ac:dyDescent="0.3">
      <c r="A89" s="206"/>
    </row>
    <row r="90" spans="1:1" x14ac:dyDescent="0.3">
      <c r="A90" s="206"/>
    </row>
    <row r="91" spans="1:1" x14ac:dyDescent="0.3">
      <c r="A91" s="206"/>
    </row>
    <row r="92" spans="1:1" x14ac:dyDescent="0.3">
      <c r="A92" s="206"/>
    </row>
    <row r="93" spans="1:1" x14ac:dyDescent="0.3">
      <c r="A93" s="206"/>
    </row>
    <row r="94" spans="1:1" x14ac:dyDescent="0.3">
      <c r="A94" s="206"/>
    </row>
    <row r="95" spans="1:1" x14ac:dyDescent="0.3">
      <c r="A95" s="206"/>
    </row>
    <row r="96" spans="1:1" x14ac:dyDescent="0.3">
      <c r="A96" s="206"/>
    </row>
    <row r="97" spans="1:1" x14ac:dyDescent="0.3">
      <c r="A97" s="206"/>
    </row>
    <row r="98" spans="1:1" x14ac:dyDescent="0.3">
      <c r="A98" s="206"/>
    </row>
    <row r="99" spans="1:1" x14ac:dyDescent="0.3">
      <c r="A99" s="206"/>
    </row>
    <row r="100" spans="1:1" x14ac:dyDescent="0.3">
      <c r="A100" s="206"/>
    </row>
    <row r="101" spans="1:1" x14ac:dyDescent="0.3">
      <c r="A101" s="206"/>
    </row>
    <row r="102" spans="1:1" x14ac:dyDescent="0.3">
      <c r="A102" s="206"/>
    </row>
    <row r="103" spans="1:1" x14ac:dyDescent="0.3">
      <c r="A103" s="206"/>
    </row>
    <row r="104" spans="1:1" x14ac:dyDescent="0.3">
      <c r="A104" s="206"/>
    </row>
    <row r="105" spans="1:1" x14ac:dyDescent="0.3">
      <c r="A105" s="206"/>
    </row>
    <row r="106" spans="1:1" x14ac:dyDescent="0.3">
      <c r="A106" s="206"/>
    </row>
    <row r="107" spans="1:1" x14ac:dyDescent="0.3">
      <c r="A107" s="206"/>
    </row>
    <row r="108" spans="1:1" x14ac:dyDescent="0.3">
      <c r="A108" s="206"/>
    </row>
    <row r="109" spans="1:1" x14ac:dyDescent="0.3">
      <c r="A109" s="206"/>
    </row>
    <row r="110" spans="1:1" x14ac:dyDescent="0.3">
      <c r="A110" s="206"/>
    </row>
    <row r="111" spans="1:1" x14ac:dyDescent="0.3">
      <c r="A111" s="206"/>
    </row>
    <row r="112" spans="1:1" x14ac:dyDescent="0.3">
      <c r="A112" s="206"/>
    </row>
    <row r="113" spans="1:1" x14ac:dyDescent="0.3">
      <c r="A113" s="206"/>
    </row>
    <row r="114" spans="1:1" x14ac:dyDescent="0.3">
      <c r="A114" s="206"/>
    </row>
    <row r="115" spans="1:1" x14ac:dyDescent="0.3">
      <c r="A115" s="206"/>
    </row>
    <row r="116" spans="1:1" x14ac:dyDescent="0.3">
      <c r="A116" s="206"/>
    </row>
    <row r="117" spans="1:1" x14ac:dyDescent="0.3">
      <c r="A117" s="206"/>
    </row>
    <row r="118" spans="1:1" x14ac:dyDescent="0.3">
      <c r="A118" s="206"/>
    </row>
    <row r="119" spans="1:1" x14ac:dyDescent="0.3">
      <c r="A119" s="206"/>
    </row>
    <row r="120" spans="1:1" x14ac:dyDescent="0.3">
      <c r="A120" s="206"/>
    </row>
    <row r="121" spans="1:1" x14ac:dyDescent="0.3">
      <c r="A121" s="206"/>
    </row>
    <row r="122" spans="1:1" x14ac:dyDescent="0.3">
      <c r="A122" s="206"/>
    </row>
    <row r="123" spans="1:1" x14ac:dyDescent="0.3">
      <c r="A123" s="206"/>
    </row>
    <row r="124" spans="1:1" x14ac:dyDescent="0.3">
      <c r="A124" s="206"/>
    </row>
    <row r="125" spans="1:1" x14ac:dyDescent="0.3">
      <c r="A125" s="206"/>
    </row>
    <row r="126" spans="1:1" x14ac:dyDescent="0.3">
      <c r="A126" s="206"/>
    </row>
    <row r="127" spans="1:1" x14ac:dyDescent="0.3">
      <c r="A127" s="206"/>
    </row>
    <row r="128" spans="1:1" x14ac:dyDescent="0.3">
      <c r="A128" s="206"/>
    </row>
    <row r="129" spans="1:1" x14ac:dyDescent="0.3">
      <c r="A129" s="206"/>
    </row>
    <row r="130" spans="1:1" x14ac:dyDescent="0.3">
      <c r="A130" s="206"/>
    </row>
    <row r="131" spans="1:1" x14ac:dyDescent="0.3">
      <c r="A131" s="206"/>
    </row>
    <row r="132" spans="1:1" x14ac:dyDescent="0.3">
      <c r="A132" s="206"/>
    </row>
    <row r="133" spans="1:1" x14ac:dyDescent="0.3">
      <c r="A133" s="206"/>
    </row>
    <row r="134" spans="1:1" x14ac:dyDescent="0.3">
      <c r="A134" s="206"/>
    </row>
    <row r="135" spans="1:1" x14ac:dyDescent="0.3">
      <c r="A135" s="206"/>
    </row>
    <row r="136" spans="1:1" x14ac:dyDescent="0.3">
      <c r="A136" s="206"/>
    </row>
    <row r="137" spans="1:1" x14ac:dyDescent="0.3">
      <c r="A137" s="206"/>
    </row>
    <row r="138" spans="1:1" x14ac:dyDescent="0.3">
      <c r="A138" s="206"/>
    </row>
    <row r="139" spans="1:1" x14ac:dyDescent="0.3">
      <c r="A139" s="206"/>
    </row>
    <row r="140" spans="1:1" x14ac:dyDescent="0.3">
      <c r="A140" s="206"/>
    </row>
    <row r="141" spans="1:1" x14ac:dyDescent="0.3">
      <c r="A141" s="206"/>
    </row>
    <row r="142" spans="1:1" x14ac:dyDescent="0.3">
      <c r="A142" s="206"/>
    </row>
    <row r="143" spans="1:1" x14ac:dyDescent="0.3">
      <c r="A143" s="206"/>
    </row>
    <row r="144" spans="1:1" x14ac:dyDescent="0.3">
      <c r="A144" s="206"/>
    </row>
    <row r="145" spans="1:1" x14ac:dyDescent="0.3">
      <c r="A145" s="206"/>
    </row>
    <row r="146" spans="1:1" x14ac:dyDescent="0.3">
      <c r="A146" s="206"/>
    </row>
    <row r="147" spans="1:1" x14ac:dyDescent="0.3">
      <c r="A147" s="206"/>
    </row>
    <row r="148" spans="1:1" x14ac:dyDescent="0.3">
      <c r="A148" s="206"/>
    </row>
    <row r="149" spans="1:1" x14ac:dyDescent="0.3">
      <c r="A149" s="206"/>
    </row>
    <row r="150" spans="1:1" x14ac:dyDescent="0.3">
      <c r="A150" s="206"/>
    </row>
    <row r="151" spans="1:1" x14ac:dyDescent="0.3">
      <c r="A151" s="206"/>
    </row>
    <row r="152" spans="1:1" x14ac:dyDescent="0.3">
      <c r="A152" s="206"/>
    </row>
    <row r="153" spans="1:1" x14ac:dyDescent="0.3">
      <c r="A153" s="206"/>
    </row>
    <row r="154" spans="1:1" x14ac:dyDescent="0.3">
      <c r="A154" s="206"/>
    </row>
    <row r="155" spans="1:1" x14ac:dyDescent="0.3">
      <c r="A155" s="206"/>
    </row>
    <row r="156" spans="1:1" x14ac:dyDescent="0.3">
      <c r="A156" s="206"/>
    </row>
    <row r="157" spans="1:1" x14ac:dyDescent="0.3">
      <c r="A157" s="206"/>
    </row>
    <row r="158" spans="1:1" x14ac:dyDescent="0.3">
      <c r="A158" s="206"/>
    </row>
    <row r="159" spans="1:1" x14ac:dyDescent="0.3">
      <c r="A159" s="206"/>
    </row>
    <row r="160" spans="1:1" x14ac:dyDescent="0.3">
      <c r="A160" s="206"/>
    </row>
    <row r="161" spans="1:1" x14ac:dyDescent="0.3">
      <c r="A161" s="206"/>
    </row>
    <row r="162" spans="1:1" x14ac:dyDescent="0.3">
      <c r="A162" s="206"/>
    </row>
    <row r="163" spans="1:1" x14ac:dyDescent="0.3">
      <c r="A163" s="206"/>
    </row>
    <row r="164" spans="1:1" x14ac:dyDescent="0.3">
      <c r="A164" s="206"/>
    </row>
    <row r="165" spans="1:1" x14ac:dyDescent="0.3">
      <c r="A165" s="206"/>
    </row>
    <row r="166" spans="1:1" x14ac:dyDescent="0.3">
      <c r="A166" s="206"/>
    </row>
    <row r="167" spans="1:1" x14ac:dyDescent="0.3">
      <c r="A167" s="206"/>
    </row>
    <row r="168" spans="1:1" x14ac:dyDescent="0.3">
      <c r="A168" s="206"/>
    </row>
    <row r="169" spans="1:1" x14ac:dyDescent="0.3">
      <c r="A169" s="206"/>
    </row>
    <row r="170" spans="1:1" x14ac:dyDescent="0.3">
      <c r="A170" s="206"/>
    </row>
    <row r="171" spans="1:1" x14ac:dyDescent="0.3">
      <c r="A171" s="206"/>
    </row>
    <row r="172" spans="1:1" x14ac:dyDescent="0.3">
      <c r="A172" s="206"/>
    </row>
    <row r="173" spans="1:1" x14ac:dyDescent="0.3">
      <c r="A173" s="206"/>
    </row>
    <row r="174" spans="1:1" x14ac:dyDescent="0.3">
      <c r="A174" s="206"/>
    </row>
    <row r="175" spans="1:1" x14ac:dyDescent="0.3">
      <c r="A175" s="206"/>
    </row>
    <row r="176" spans="1:1" x14ac:dyDescent="0.3">
      <c r="A176" s="206"/>
    </row>
    <row r="177" spans="1:1" x14ac:dyDescent="0.3">
      <c r="A177" s="206"/>
    </row>
    <row r="178" spans="1:1" x14ac:dyDescent="0.3">
      <c r="A178" s="206"/>
    </row>
    <row r="179" spans="1:1" x14ac:dyDescent="0.3">
      <c r="A179" s="206"/>
    </row>
    <row r="180" spans="1:1" x14ac:dyDescent="0.3">
      <c r="A180" s="206"/>
    </row>
    <row r="181" spans="1:1" x14ac:dyDescent="0.3">
      <c r="A181" s="206"/>
    </row>
    <row r="182" spans="1:1" x14ac:dyDescent="0.3">
      <c r="A182" s="206"/>
    </row>
    <row r="183" spans="1:1" x14ac:dyDescent="0.3">
      <c r="A183" s="206"/>
    </row>
    <row r="184" spans="1:1" x14ac:dyDescent="0.3">
      <c r="A184" s="206"/>
    </row>
    <row r="185" spans="1:1" x14ac:dyDescent="0.3">
      <c r="A185" s="206"/>
    </row>
    <row r="186" spans="1:1" x14ac:dyDescent="0.3">
      <c r="A186" s="206"/>
    </row>
    <row r="187" spans="1:1" x14ac:dyDescent="0.3">
      <c r="A187" s="206"/>
    </row>
    <row r="188" spans="1:1" x14ac:dyDescent="0.3">
      <c r="A188" s="206"/>
    </row>
    <row r="189" spans="1:1" x14ac:dyDescent="0.3">
      <c r="A189" s="206"/>
    </row>
    <row r="190" spans="1:1" x14ac:dyDescent="0.3">
      <c r="A190" s="206"/>
    </row>
    <row r="191" spans="1:1" x14ac:dyDescent="0.3">
      <c r="A191" s="206"/>
    </row>
    <row r="192" spans="1:1" x14ac:dyDescent="0.3">
      <c r="A192" s="206"/>
    </row>
    <row r="193" spans="1:1" x14ac:dyDescent="0.3">
      <c r="A193" s="206"/>
    </row>
    <row r="194" spans="1:1" x14ac:dyDescent="0.3">
      <c r="A194" s="206"/>
    </row>
    <row r="195" spans="1:1" x14ac:dyDescent="0.3">
      <c r="A195" s="206"/>
    </row>
    <row r="196" spans="1:1" x14ac:dyDescent="0.3">
      <c r="A196" s="206"/>
    </row>
    <row r="197" spans="1:1" x14ac:dyDescent="0.3">
      <c r="A197" s="206"/>
    </row>
    <row r="198" spans="1:1" x14ac:dyDescent="0.3">
      <c r="A198" s="206"/>
    </row>
    <row r="199" spans="1:1" x14ac:dyDescent="0.3">
      <c r="A199" s="206"/>
    </row>
    <row r="200" spans="1:1" x14ac:dyDescent="0.3">
      <c r="A200" s="206"/>
    </row>
    <row r="201" spans="1:1" x14ac:dyDescent="0.3">
      <c r="A201" s="206"/>
    </row>
    <row r="202" spans="1:1" x14ac:dyDescent="0.3">
      <c r="A202" s="206"/>
    </row>
    <row r="203" spans="1:1" x14ac:dyDescent="0.3">
      <c r="A203" s="206"/>
    </row>
    <row r="204" spans="1:1" x14ac:dyDescent="0.3">
      <c r="A204" s="206"/>
    </row>
    <row r="205" spans="1:1" x14ac:dyDescent="0.3">
      <c r="A205" s="206"/>
    </row>
    <row r="206" spans="1:1" x14ac:dyDescent="0.3">
      <c r="A206" s="206"/>
    </row>
    <row r="207" spans="1:1" x14ac:dyDescent="0.3">
      <c r="A207" s="206"/>
    </row>
    <row r="208" spans="1:1" x14ac:dyDescent="0.3">
      <c r="A208" s="206"/>
    </row>
    <row r="209" spans="1:1" x14ac:dyDescent="0.3">
      <c r="A209" s="206"/>
    </row>
    <row r="210" spans="1:1" x14ac:dyDescent="0.3">
      <c r="A210" s="206"/>
    </row>
    <row r="211" spans="1:1" x14ac:dyDescent="0.3">
      <c r="A211" s="206"/>
    </row>
    <row r="212" spans="1:1" x14ac:dyDescent="0.3">
      <c r="A212" s="206"/>
    </row>
    <row r="213" spans="1:1" x14ac:dyDescent="0.3">
      <c r="A213" s="206"/>
    </row>
    <row r="214" spans="1:1" x14ac:dyDescent="0.3">
      <c r="A214" s="206"/>
    </row>
    <row r="215" spans="1:1" x14ac:dyDescent="0.3">
      <c r="A215" s="206"/>
    </row>
    <row r="216" spans="1:1" x14ac:dyDescent="0.3">
      <c r="A216" s="206"/>
    </row>
    <row r="217" spans="1:1" x14ac:dyDescent="0.3">
      <c r="A217" s="206"/>
    </row>
    <row r="218" spans="1:1" x14ac:dyDescent="0.3">
      <c r="A218" s="206"/>
    </row>
    <row r="219" spans="1:1" x14ac:dyDescent="0.3">
      <c r="A219" s="206"/>
    </row>
    <row r="220" spans="1:1" x14ac:dyDescent="0.3">
      <c r="A220" s="206"/>
    </row>
    <row r="221" spans="1:1" x14ac:dyDescent="0.3">
      <c r="A221" s="206"/>
    </row>
    <row r="222" spans="1:1" x14ac:dyDescent="0.3">
      <c r="A222" s="206"/>
    </row>
    <row r="223" spans="1:1" x14ac:dyDescent="0.3">
      <c r="A223" s="206"/>
    </row>
    <row r="224" spans="1:1" x14ac:dyDescent="0.3">
      <c r="A224" s="206"/>
    </row>
    <row r="225" spans="1:1" x14ac:dyDescent="0.3">
      <c r="A225" s="206"/>
    </row>
    <row r="226" spans="1:1" x14ac:dyDescent="0.3">
      <c r="A226" s="206"/>
    </row>
    <row r="227" spans="1:1" x14ac:dyDescent="0.3">
      <c r="A227" s="206"/>
    </row>
    <row r="228" spans="1:1" x14ac:dyDescent="0.3">
      <c r="A228" s="206"/>
    </row>
    <row r="229" spans="1:1" x14ac:dyDescent="0.3">
      <c r="A229" s="206"/>
    </row>
    <row r="230" spans="1:1" x14ac:dyDescent="0.3">
      <c r="A230" s="206"/>
    </row>
    <row r="231" spans="1:1" x14ac:dyDescent="0.3">
      <c r="A231" s="206"/>
    </row>
    <row r="232" spans="1:1" x14ac:dyDescent="0.3">
      <c r="A232" s="206"/>
    </row>
    <row r="233" spans="1:1" x14ac:dyDescent="0.3">
      <c r="A233" s="206"/>
    </row>
    <row r="234" spans="1:1" x14ac:dyDescent="0.3">
      <c r="A234" s="206"/>
    </row>
    <row r="235" spans="1:1" x14ac:dyDescent="0.3">
      <c r="A235" s="206"/>
    </row>
    <row r="236" spans="1:1" x14ac:dyDescent="0.3">
      <c r="A236" s="206"/>
    </row>
    <row r="237" spans="1:1" x14ac:dyDescent="0.3">
      <c r="A237" s="206"/>
    </row>
    <row r="238" spans="1:1" x14ac:dyDescent="0.3">
      <c r="A238" s="206"/>
    </row>
    <row r="239" spans="1:1" x14ac:dyDescent="0.3">
      <c r="A239" s="206"/>
    </row>
    <row r="240" spans="1:1" x14ac:dyDescent="0.3">
      <c r="A240" s="206"/>
    </row>
    <row r="241" spans="1:1" x14ac:dyDescent="0.3">
      <c r="A241" s="206"/>
    </row>
    <row r="242" spans="1:1" x14ac:dyDescent="0.3">
      <c r="A242" s="206"/>
    </row>
    <row r="243" spans="1:1" x14ac:dyDescent="0.3">
      <c r="A243" s="206"/>
    </row>
    <row r="244" spans="1:1" x14ac:dyDescent="0.3">
      <c r="A244" s="206"/>
    </row>
    <row r="245" spans="1:1" x14ac:dyDescent="0.3">
      <c r="A245" s="206"/>
    </row>
    <row r="246" spans="1:1" x14ac:dyDescent="0.3">
      <c r="A246" s="206"/>
    </row>
    <row r="247" spans="1:1" x14ac:dyDescent="0.3">
      <c r="A247" s="206"/>
    </row>
    <row r="248" spans="1:1" x14ac:dyDescent="0.3">
      <c r="A248" s="206"/>
    </row>
    <row r="249" spans="1:1" x14ac:dyDescent="0.3">
      <c r="A249" s="206"/>
    </row>
    <row r="250" spans="1:1" x14ac:dyDescent="0.3">
      <c r="A250" s="206"/>
    </row>
    <row r="251" spans="1:1" x14ac:dyDescent="0.3">
      <c r="A251" s="206"/>
    </row>
    <row r="252" spans="1:1" x14ac:dyDescent="0.3">
      <c r="A252" s="206"/>
    </row>
    <row r="253" spans="1:1" x14ac:dyDescent="0.3">
      <c r="A253" s="206"/>
    </row>
    <row r="254" spans="1:1" x14ac:dyDescent="0.3">
      <c r="A254" s="206"/>
    </row>
    <row r="255" spans="1:1" x14ac:dyDescent="0.3">
      <c r="A255" s="206"/>
    </row>
    <row r="256" spans="1:1" x14ac:dyDescent="0.3">
      <c r="A256" s="206"/>
    </row>
    <row r="257" spans="1:1" x14ac:dyDescent="0.3">
      <c r="A257" s="206"/>
    </row>
    <row r="258" spans="1:1" x14ac:dyDescent="0.3">
      <c r="A258" s="206"/>
    </row>
    <row r="259" spans="1:1" x14ac:dyDescent="0.3">
      <c r="A259" s="206"/>
    </row>
    <row r="260" spans="1:1" x14ac:dyDescent="0.3">
      <c r="A260" s="206"/>
    </row>
    <row r="261" spans="1:1" x14ac:dyDescent="0.3">
      <c r="A261" s="206"/>
    </row>
    <row r="262" spans="1:1" x14ac:dyDescent="0.3">
      <c r="A262" s="206"/>
    </row>
    <row r="263" spans="1:1" x14ac:dyDescent="0.3">
      <c r="A263" s="206"/>
    </row>
    <row r="264" spans="1:1" x14ac:dyDescent="0.3">
      <c r="A264" s="206"/>
    </row>
    <row r="265" spans="1:1" x14ac:dyDescent="0.3">
      <c r="A265" s="206"/>
    </row>
    <row r="266" spans="1:1" x14ac:dyDescent="0.3">
      <c r="A266" s="206"/>
    </row>
    <row r="267" spans="1:1" x14ac:dyDescent="0.3">
      <c r="A267" s="206"/>
    </row>
    <row r="268" spans="1:1" x14ac:dyDescent="0.3">
      <c r="A268" s="206"/>
    </row>
    <row r="269" spans="1:1" x14ac:dyDescent="0.3">
      <c r="A269" s="206"/>
    </row>
    <row r="270" spans="1:1" x14ac:dyDescent="0.3">
      <c r="A270" s="206"/>
    </row>
    <row r="271" spans="1:1" x14ac:dyDescent="0.3">
      <c r="A271" s="206"/>
    </row>
    <row r="272" spans="1:1" x14ac:dyDescent="0.3">
      <c r="A272" s="206"/>
    </row>
    <row r="273" spans="1:1" x14ac:dyDescent="0.3">
      <c r="A273" s="206"/>
    </row>
    <row r="274" spans="1:1" x14ac:dyDescent="0.3">
      <c r="A274" s="206"/>
    </row>
    <row r="275" spans="1:1" x14ac:dyDescent="0.3">
      <c r="A275" s="206"/>
    </row>
    <row r="276" spans="1:1" x14ac:dyDescent="0.3">
      <c r="A276" s="206"/>
    </row>
    <row r="277" spans="1:1" x14ac:dyDescent="0.3">
      <c r="A277" s="206"/>
    </row>
    <row r="278" spans="1:1" x14ac:dyDescent="0.3">
      <c r="A278" s="206"/>
    </row>
    <row r="279" spans="1:1" x14ac:dyDescent="0.3">
      <c r="A279" s="206"/>
    </row>
    <row r="280" spans="1:1" x14ac:dyDescent="0.3">
      <c r="A280" s="206"/>
    </row>
    <row r="281" spans="1:1" x14ac:dyDescent="0.3">
      <c r="A281" s="206"/>
    </row>
    <row r="282" spans="1:1" x14ac:dyDescent="0.3">
      <c r="A282" s="206"/>
    </row>
    <row r="283" spans="1:1" x14ac:dyDescent="0.3">
      <c r="A283" s="206"/>
    </row>
    <row r="284" spans="1:1" x14ac:dyDescent="0.3">
      <c r="A284" s="206"/>
    </row>
    <row r="285" spans="1:1" x14ac:dyDescent="0.3">
      <c r="A285" s="206"/>
    </row>
    <row r="286" spans="1:1" x14ac:dyDescent="0.3">
      <c r="A286" s="206"/>
    </row>
    <row r="287" spans="1:1" x14ac:dyDescent="0.3">
      <c r="A287" s="206"/>
    </row>
    <row r="288" spans="1:1" x14ac:dyDescent="0.3">
      <c r="A288" s="206"/>
    </row>
    <row r="289" spans="1:1" x14ac:dyDescent="0.3">
      <c r="A289" s="206"/>
    </row>
    <row r="290" spans="1:1" x14ac:dyDescent="0.3">
      <c r="A290" s="206"/>
    </row>
    <row r="291" spans="1:1" x14ac:dyDescent="0.3">
      <c r="A291" s="206"/>
    </row>
    <row r="292" spans="1:1" x14ac:dyDescent="0.3">
      <c r="A292" s="206"/>
    </row>
    <row r="293" spans="1:1" x14ac:dyDescent="0.3">
      <c r="A293" s="206"/>
    </row>
    <row r="294" spans="1:1" x14ac:dyDescent="0.3">
      <c r="A294" s="206"/>
    </row>
    <row r="295" spans="1:1" x14ac:dyDescent="0.3">
      <c r="A295" s="206"/>
    </row>
    <row r="296" spans="1:1" x14ac:dyDescent="0.3">
      <c r="A296" s="206"/>
    </row>
    <row r="297" spans="1:1" x14ac:dyDescent="0.3">
      <c r="A297" s="206"/>
    </row>
    <row r="298" spans="1:1" x14ac:dyDescent="0.3">
      <c r="A298" s="206"/>
    </row>
    <row r="299" spans="1:1" x14ac:dyDescent="0.3">
      <c r="A299" s="206"/>
    </row>
    <row r="300" spans="1:1" x14ac:dyDescent="0.3">
      <c r="A300" s="206"/>
    </row>
    <row r="301" spans="1:1" x14ac:dyDescent="0.3">
      <c r="A301" s="206"/>
    </row>
    <row r="302" spans="1:1" x14ac:dyDescent="0.3">
      <c r="A302" s="206"/>
    </row>
    <row r="303" spans="1:1" x14ac:dyDescent="0.3">
      <c r="A303" s="206"/>
    </row>
    <row r="304" spans="1:1" x14ac:dyDescent="0.3">
      <c r="A304" s="206"/>
    </row>
    <row r="305" spans="1:1" x14ac:dyDescent="0.3">
      <c r="A305" s="206"/>
    </row>
    <row r="306" spans="1:1" x14ac:dyDescent="0.3">
      <c r="A306" s="206"/>
    </row>
    <row r="307" spans="1:1" x14ac:dyDescent="0.3">
      <c r="A307" s="206"/>
    </row>
    <row r="308" spans="1:1" x14ac:dyDescent="0.3">
      <c r="A308" s="206"/>
    </row>
    <row r="309" spans="1:1" x14ac:dyDescent="0.3">
      <c r="A309" s="206"/>
    </row>
    <row r="310" spans="1:1" x14ac:dyDescent="0.3">
      <c r="A310" s="206"/>
    </row>
    <row r="311" spans="1:1" x14ac:dyDescent="0.3">
      <c r="A311" s="206"/>
    </row>
    <row r="312" spans="1:1" x14ac:dyDescent="0.3">
      <c r="A312" s="206"/>
    </row>
    <row r="313" spans="1:1" x14ac:dyDescent="0.3">
      <c r="A313" s="206"/>
    </row>
    <row r="314" spans="1:1" x14ac:dyDescent="0.3">
      <c r="A314" s="206"/>
    </row>
    <row r="315" spans="1:1" x14ac:dyDescent="0.3">
      <c r="A315" s="206"/>
    </row>
    <row r="316" spans="1:1" x14ac:dyDescent="0.3">
      <c r="A316" s="206"/>
    </row>
    <row r="317" spans="1:1" x14ac:dyDescent="0.3">
      <c r="A317" s="206"/>
    </row>
    <row r="318" spans="1:1" x14ac:dyDescent="0.3">
      <c r="A318" s="206"/>
    </row>
    <row r="319" spans="1:1" x14ac:dyDescent="0.3">
      <c r="A319" s="206"/>
    </row>
    <row r="320" spans="1:1" x14ac:dyDescent="0.3">
      <c r="A320" s="206"/>
    </row>
    <row r="321" spans="1:1" x14ac:dyDescent="0.3">
      <c r="A321" s="206"/>
    </row>
    <row r="322" spans="1:1" x14ac:dyDescent="0.3">
      <c r="A322" s="206"/>
    </row>
    <row r="323" spans="1:1" x14ac:dyDescent="0.3">
      <c r="A323" s="206"/>
    </row>
    <row r="324" spans="1:1" x14ac:dyDescent="0.3">
      <c r="A324" s="206"/>
    </row>
    <row r="325" spans="1:1" x14ac:dyDescent="0.3">
      <c r="A325" s="206"/>
    </row>
    <row r="326" spans="1:1" x14ac:dyDescent="0.3">
      <c r="A326" s="206"/>
    </row>
    <row r="327" spans="1:1" x14ac:dyDescent="0.3">
      <c r="A327" s="206"/>
    </row>
    <row r="328" spans="1:1" x14ac:dyDescent="0.3">
      <c r="A328" s="206"/>
    </row>
    <row r="329" spans="1:1" x14ac:dyDescent="0.3">
      <c r="A329" s="206"/>
    </row>
    <row r="330" spans="1:1" x14ac:dyDescent="0.3">
      <c r="A330" s="206"/>
    </row>
    <row r="331" spans="1:1" x14ac:dyDescent="0.3">
      <c r="A331" s="206"/>
    </row>
    <row r="332" spans="1:1" x14ac:dyDescent="0.3">
      <c r="A332" s="206"/>
    </row>
    <row r="333" spans="1:1" x14ac:dyDescent="0.3">
      <c r="A333" s="206"/>
    </row>
    <row r="334" spans="1:1" x14ac:dyDescent="0.3">
      <c r="A334" s="206"/>
    </row>
    <row r="335" spans="1:1" x14ac:dyDescent="0.3">
      <c r="A335" s="206"/>
    </row>
    <row r="336" spans="1:1" x14ac:dyDescent="0.3">
      <c r="A336" s="206"/>
    </row>
    <row r="337" spans="1:1" x14ac:dyDescent="0.3">
      <c r="A337" s="206"/>
    </row>
    <row r="338" spans="1:1" x14ac:dyDescent="0.3">
      <c r="A338" s="206"/>
    </row>
    <row r="339" spans="1:1" x14ac:dyDescent="0.3">
      <c r="A339" s="206"/>
    </row>
    <row r="340" spans="1:1" x14ac:dyDescent="0.3">
      <c r="A340" s="206"/>
    </row>
    <row r="341" spans="1:1" x14ac:dyDescent="0.3">
      <c r="A341" s="206"/>
    </row>
    <row r="342" spans="1:1" x14ac:dyDescent="0.3">
      <c r="A342" s="206"/>
    </row>
    <row r="343" spans="1:1" x14ac:dyDescent="0.3">
      <c r="A343" s="206"/>
    </row>
    <row r="344" spans="1:1" x14ac:dyDescent="0.3">
      <c r="A344" s="206"/>
    </row>
    <row r="345" spans="1:1" x14ac:dyDescent="0.3">
      <c r="A345" s="206"/>
    </row>
    <row r="346" spans="1:1" x14ac:dyDescent="0.3">
      <c r="A346" s="206"/>
    </row>
    <row r="347" spans="1:1" x14ac:dyDescent="0.3">
      <c r="A347" s="206"/>
    </row>
    <row r="348" spans="1:1" x14ac:dyDescent="0.3">
      <c r="A348" s="206"/>
    </row>
    <row r="349" spans="1:1" x14ac:dyDescent="0.3">
      <c r="A349" s="206"/>
    </row>
    <row r="350" spans="1:1" x14ac:dyDescent="0.3">
      <c r="A350" s="206"/>
    </row>
    <row r="351" spans="1:1" x14ac:dyDescent="0.3">
      <c r="A351" s="206"/>
    </row>
    <row r="352" spans="1:1" x14ac:dyDescent="0.3">
      <c r="A352" s="206"/>
    </row>
    <row r="353" spans="1:1" x14ac:dyDescent="0.3">
      <c r="A353" s="206"/>
    </row>
    <row r="354" spans="1:1" x14ac:dyDescent="0.3">
      <c r="A354" s="206"/>
    </row>
    <row r="355" spans="1:1" x14ac:dyDescent="0.3">
      <c r="A355" s="206"/>
    </row>
    <row r="356" spans="1:1" x14ac:dyDescent="0.3">
      <c r="A356" s="206"/>
    </row>
    <row r="357" spans="1:1" x14ac:dyDescent="0.3">
      <c r="A357" s="206"/>
    </row>
    <row r="358" spans="1:1" x14ac:dyDescent="0.3">
      <c r="A358" s="206"/>
    </row>
    <row r="359" spans="1:1" x14ac:dyDescent="0.3">
      <c r="A359" s="206"/>
    </row>
    <row r="360" spans="1:1" x14ac:dyDescent="0.3">
      <c r="A360" s="206"/>
    </row>
    <row r="361" spans="1:1" x14ac:dyDescent="0.3">
      <c r="A361" s="206"/>
    </row>
    <row r="362" spans="1:1" x14ac:dyDescent="0.3">
      <c r="A362" s="206"/>
    </row>
    <row r="363" spans="1:1" x14ac:dyDescent="0.3">
      <c r="A363" s="206"/>
    </row>
    <row r="364" spans="1:1" x14ac:dyDescent="0.3">
      <c r="A364" s="206"/>
    </row>
    <row r="365" spans="1:1" x14ac:dyDescent="0.3">
      <c r="A365" s="206"/>
    </row>
    <row r="366" spans="1:1" x14ac:dyDescent="0.3">
      <c r="A366" s="206"/>
    </row>
    <row r="367" spans="1:1" x14ac:dyDescent="0.3">
      <c r="A367" s="206"/>
    </row>
    <row r="368" spans="1:1" x14ac:dyDescent="0.3">
      <c r="A368" s="206"/>
    </row>
    <row r="369" spans="1:1" x14ac:dyDescent="0.3">
      <c r="A369" s="206"/>
    </row>
    <row r="370" spans="1:1" x14ac:dyDescent="0.3">
      <c r="A370" s="206"/>
    </row>
    <row r="371" spans="1:1" x14ac:dyDescent="0.3">
      <c r="A371" s="206"/>
    </row>
    <row r="372" spans="1:1" x14ac:dyDescent="0.3">
      <c r="A372" s="206"/>
    </row>
    <row r="373" spans="1:1" x14ac:dyDescent="0.3">
      <c r="A373" s="206"/>
    </row>
    <row r="374" spans="1:1" x14ac:dyDescent="0.3">
      <c r="A374" s="206"/>
    </row>
    <row r="375" spans="1:1" x14ac:dyDescent="0.3">
      <c r="A375" s="206"/>
    </row>
    <row r="376" spans="1:1" x14ac:dyDescent="0.3">
      <c r="A376" s="206"/>
    </row>
    <row r="377" spans="1:1" x14ac:dyDescent="0.3">
      <c r="A377" s="206"/>
    </row>
    <row r="378" spans="1:1" x14ac:dyDescent="0.3">
      <c r="A378" s="206"/>
    </row>
    <row r="379" spans="1:1" x14ac:dyDescent="0.3">
      <c r="A379" s="206"/>
    </row>
    <row r="380" spans="1:1" x14ac:dyDescent="0.3">
      <c r="A380" s="206"/>
    </row>
    <row r="381" spans="1:1" x14ac:dyDescent="0.3">
      <c r="A381" s="206"/>
    </row>
    <row r="382" spans="1:1" x14ac:dyDescent="0.3">
      <c r="A382" s="206"/>
    </row>
    <row r="383" spans="1:1" x14ac:dyDescent="0.3">
      <c r="A383" s="206"/>
    </row>
    <row r="384" spans="1:1" x14ac:dyDescent="0.3">
      <c r="A384" s="206"/>
    </row>
    <row r="385" spans="1:1" x14ac:dyDescent="0.3">
      <c r="A385" s="206"/>
    </row>
    <row r="386" spans="1:1" x14ac:dyDescent="0.3">
      <c r="A386" s="206"/>
    </row>
    <row r="387" spans="1:1" x14ac:dyDescent="0.3">
      <c r="A387" s="206"/>
    </row>
    <row r="388" spans="1:1" x14ac:dyDescent="0.3">
      <c r="A388" s="206"/>
    </row>
    <row r="389" spans="1:1" x14ac:dyDescent="0.3">
      <c r="A389" s="206"/>
    </row>
    <row r="390" spans="1:1" x14ac:dyDescent="0.3">
      <c r="A390" s="206"/>
    </row>
    <row r="391" spans="1:1" x14ac:dyDescent="0.3">
      <c r="A391" s="206"/>
    </row>
    <row r="392" spans="1:1" x14ac:dyDescent="0.3">
      <c r="A392" s="206"/>
    </row>
    <row r="393" spans="1:1" x14ac:dyDescent="0.3">
      <c r="A393" s="206"/>
    </row>
    <row r="394" spans="1:1" x14ac:dyDescent="0.3">
      <c r="A394" s="206"/>
    </row>
    <row r="395" spans="1:1" x14ac:dyDescent="0.3">
      <c r="A395" s="206"/>
    </row>
    <row r="396" spans="1:1" x14ac:dyDescent="0.3">
      <c r="A396" s="206"/>
    </row>
    <row r="397" spans="1:1" x14ac:dyDescent="0.3">
      <c r="A397" s="206"/>
    </row>
    <row r="398" spans="1:1" x14ac:dyDescent="0.3">
      <c r="A398" s="206"/>
    </row>
    <row r="399" spans="1:1" x14ac:dyDescent="0.3">
      <c r="A399" s="206"/>
    </row>
    <row r="400" spans="1:1" x14ac:dyDescent="0.3">
      <c r="A400" s="206"/>
    </row>
    <row r="401" spans="1:1" x14ac:dyDescent="0.3">
      <c r="A401" s="206"/>
    </row>
    <row r="402" spans="1:1" x14ac:dyDescent="0.3">
      <c r="A402" s="206"/>
    </row>
    <row r="403" spans="1:1" x14ac:dyDescent="0.3">
      <c r="A403" s="206"/>
    </row>
    <row r="404" spans="1:1" x14ac:dyDescent="0.3">
      <c r="A404" s="206"/>
    </row>
    <row r="405" spans="1:1" x14ac:dyDescent="0.3">
      <c r="A405" s="206"/>
    </row>
    <row r="406" spans="1:1" x14ac:dyDescent="0.3">
      <c r="A406" s="206"/>
    </row>
    <row r="407" spans="1:1" x14ac:dyDescent="0.3">
      <c r="A407" s="206"/>
    </row>
    <row r="408" spans="1:1" x14ac:dyDescent="0.3">
      <c r="A408" s="206"/>
    </row>
    <row r="409" spans="1:1" x14ac:dyDescent="0.3">
      <c r="A409" s="206"/>
    </row>
    <row r="410" spans="1:1" x14ac:dyDescent="0.3">
      <c r="A410" s="206"/>
    </row>
    <row r="411" spans="1:1" x14ac:dyDescent="0.3">
      <c r="A411" s="206"/>
    </row>
    <row r="412" spans="1:1" x14ac:dyDescent="0.3">
      <c r="A412" s="206"/>
    </row>
    <row r="413" spans="1:1" x14ac:dyDescent="0.3">
      <c r="A413" s="206"/>
    </row>
    <row r="414" spans="1:1" x14ac:dyDescent="0.3">
      <c r="A414" s="206"/>
    </row>
    <row r="415" spans="1:1" x14ac:dyDescent="0.3">
      <c r="A415" s="206"/>
    </row>
    <row r="416" spans="1:1" x14ac:dyDescent="0.3">
      <c r="A416" s="206"/>
    </row>
    <row r="417" spans="1:1" x14ac:dyDescent="0.3">
      <c r="A417" s="206"/>
    </row>
    <row r="418" spans="1:1" x14ac:dyDescent="0.3">
      <c r="A418" s="206"/>
    </row>
    <row r="419" spans="1:1" x14ac:dyDescent="0.3">
      <c r="A419" s="206"/>
    </row>
    <row r="420" spans="1:1" x14ac:dyDescent="0.3">
      <c r="A420" s="206"/>
    </row>
    <row r="421" spans="1:1" x14ac:dyDescent="0.3">
      <c r="A421" s="206"/>
    </row>
    <row r="422" spans="1:1" x14ac:dyDescent="0.3">
      <c r="A422" s="206"/>
    </row>
    <row r="423" spans="1:1" x14ac:dyDescent="0.3">
      <c r="A423" s="206"/>
    </row>
    <row r="424" spans="1:1" x14ac:dyDescent="0.3">
      <c r="A424" s="206"/>
    </row>
    <row r="425" spans="1:1" x14ac:dyDescent="0.3">
      <c r="A425" s="206"/>
    </row>
    <row r="426" spans="1:1" x14ac:dyDescent="0.3">
      <c r="A426" s="206"/>
    </row>
    <row r="427" spans="1:1" x14ac:dyDescent="0.3">
      <c r="A427" s="206"/>
    </row>
    <row r="428" spans="1:1" x14ac:dyDescent="0.3">
      <c r="A428" s="206"/>
    </row>
    <row r="429" spans="1:1" x14ac:dyDescent="0.3">
      <c r="A429" s="206"/>
    </row>
    <row r="430" spans="1:1" x14ac:dyDescent="0.3">
      <c r="A430" s="206"/>
    </row>
    <row r="431" spans="1:1" x14ac:dyDescent="0.3">
      <c r="A431" s="206"/>
    </row>
    <row r="432" spans="1:1" x14ac:dyDescent="0.3">
      <c r="A432" s="206"/>
    </row>
    <row r="433" spans="1:1" x14ac:dyDescent="0.3">
      <c r="A433" s="206"/>
    </row>
    <row r="434" spans="1:1" x14ac:dyDescent="0.3">
      <c r="A434" s="206"/>
    </row>
    <row r="435" spans="1:1" x14ac:dyDescent="0.3">
      <c r="A435" s="206"/>
    </row>
    <row r="436" spans="1:1" x14ac:dyDescent="0.3">
      <c r="A436" s="206"/>
    </row>
    <row r="437" spans="1:1" x14ac:dyDescent="0.3">
      <c r="A437" s="206"/>
    </row>
    <row r="438" spans="1:1" x14ac:dyDescent="0.3">
      <c r="A438" s="206"/>
    </row>
    <row r="439" spans="1:1" x14ac:dyDescent="0.3">
      <c r="A439" s="206"/>
    </row>
    <row r="440" spans="1:1" x14ac:dyDescent="0.3">
      <c r="A440" s="206"/>
    </row>
    <row r="441" spans="1:1" x14ac:dyDescent="0.3">
      <c r="A441" s="206"/>
    </row>
    <row r="442" spans="1:1" x14ac:dyDescent="0.3">
      <c r="A442" s="206"/>
    </row>
    <row r="443" spans="1:1" x14ac:dyDescent="0.3">
      <c r="A443" s="206"/>
    </row>
    <row r="444" spans="1:1" x14ac:dyDescent="0.3">
      <c r="A444" s="206"/>
    </row>
    <row r="445" spans="1:1" x14ac:dyDescent="0.3">
      <c r="A445" s="206"/>
    </row>
    <row r="446" spans="1:1" x14ac:dyDescent="0.3">
      <c r="A446" s="206"/>
    </row>
    <row r="447" spans="1:1" x14ac:dyDescent="0.3">
      <c r="A447" s="206"/>
    </row>
    <row r="448" spans="1:1" x14ac:dyDescent="0.3">
      <c r="A448" s="206"/>
    </row>
    <row r="449" spans="1:1" x14ac:dyDescent="0.3">
      <c r="A449" s="206"/>
    </row>
    <row r="450" spans="1:1" x14ac:dyDescent="0.3">
      <c r="A450" s="206"/>
    </row>
    <row r="451" spans="1:1" x14ac:dyDescent="0.3">
      <c r="A451" s="206"/>
    </row>
    <row r="452" spans="1:1" x14ac:dyDescent="0.3">
      <c r="A452" s="206"/>
    </row>
    <row r="453" spans="1:1" x14ac:dyDescent="0.3">
      <c r="A453" s="206"/>
    </row>
    <row r="454" spans="1:1" x14ac:dyDescent="0.3">
      <c r="A454" s="206"/>
    </row>
    <row r="455" spans="1:1" x14ac:dyDescent="0.3">
      <c r="A455" s="206"/>
    </row>
    <row r="456" spans="1:1" x14ac:dyDescent="0.3">
      <c r="A456" s="206"/>
    </row>
    <row r="457" spans="1:1" x14ac:dyDescent="0.3">
      <c r="A457" s="206"/>
    </row>
    <row r="458" spans="1:1" x14ac:dyDescent="0.3">
      <c r="A458" s="206"/>
    </row>
    <row r="459" spans="1:1" x14ac:dyDescent="0.3">
      <c r="A459" s="206"/>
    </row>
    <row r="460" spans="1:1" x14ac:dyDescent="0.3">
      <c r="A460" s="206"/>
    </row>
    <row r="461" spans="1:1" x14ac:dyDescent="0.3">
      <c r="A461" s="206"/>
    </row>
    <row r="462" spans="1:1" x14ac:dyDescent="0.3">
      <c r="A462" s="206"/>
    </row>
    <row r="463" spans="1:1" x14ac:dyDescent="0.3">
      <c r="A463" s="206"/>
    </row>
    <row r="464" spans="1:1" x14ac:dyDescent="0.3">
      <c r="A464" s="206"/>
    </row>
    <row r="465" spans="1:1" x14ac:dyDescent="0.3">
      <c r="A465" s="206"/>
    </row>
    <row r="466" spans="1:1" x14ac:dyDescent="0.3">
      <c r="A466" s="206"/>
    </row>
    <row r="467" spans="1:1" x14ac:dyDescent="0.3">
      <c r="A467" s="206"/>
    </row>
    <row r="468" spans="1:1" x14ac:dyDescent="0.3">
      <c r="A468" s="206"/>
    </row>
    <row r="469" spans="1:1" x14ac:dyDescent="0.3">
      <c r="A469" s="206"/>
    </row>
    <row r="470" spans="1:1" x14ac:dyDescent="0.3">
      <c r="A470" s="206"/>
    </row>
    <row r="471" spans="1:1" x14ac:dyDescent="0.3">
      <c r="A471" s="206"/>
    </row>
    <row r="472" spans="1:1" x14ac:dyDescent="0.3">
      <c r="A472" s="206"/>
    </row>
    <row r="473" spans="1:1" x14ac:dyDescent="0.3">
      <c r="A473" s="206"/>
    </row>
    <row r="474" spans="1:1" x14ac:dyDescent="0.3">
      <c r="A474" s="206"/>
    </row>
    <row r="475" spans="1:1" x14ac:dyDescent="0.3">
      <c r="A475" s="206"/>
    </row>
    <row r="476" spans="1:1" x14ac:dyDescent="0.3">
      <c r="A476" s="206"/>
    </row>
    <row r="477" spans="1:1" x14ac:dyDescent="0.3">
      <c r="A477" s="206"/>
    </row>
    <row r="478" spans="1:1" x14ac:dyDescent="0.3">
      <c r="A478" s="206"/>
    </row>
    <row r="479" spans="1:1" x14ac:dyDescent="0.3">
      <c r="A479" s="206"/>
    </row>
    <row r="480" spans="1:1" x14ac:dyDescent="0.3">
      <c r="A480" s="206"/>
    </row>
    <row r="481" spans="1:1" x14ac:dyDescent="0.3">
      <c r="A481" s="206"/>
    </row>
    <row r="482" spans="1:1" x14ac:dyDescent="0.3">
      <c r="A482" s="206"/>
    </row>
    <row r="483" spans="1:1" x14ac:dyDescent="0.3">
      <c r="A483" s="206"/>
    </row>
    <row r="484" spans="1:1" x14ac:dyDescent="0.3">
      <c r="A484" s="206"/>
    </row>
    <row r="485" spans="1:1" x14ac:dyDescent="0.3">
      <c r="A485" s="206"/>
    </row>
    <row r="486" spans="1:1" x14ac:dyDescent="0.3">
      <c r="A486" s="206"/>
    </row>
    <row r="487" spans="1:1" x14ac:dyDescent="0.3">
      <c r="A487" s="206"/>
    </row>
    <row r="488" spans="1:1" x14ac:dyDescent="0.3">
      <c r="A488" s="206"/>
    </row>
    <row r="489" spans="1:1" x14ac:dyDescent="0.3">
      <c r="A489" s="206"/>
    </row>
    <row r="490" spans="1:1" x14ac:dyDescent="0.3">
      <c r="A490" s="206"/>
    </row>
    <row r="491" spans="1:1" x14ac:dyDescent="0.3">
      <c r="A491" s="206"/>
    </row>
    <row r="492" spans="1:1" x14ac:dyDescent="0.3">
      <c r="A492" s="206"/>
    </row>
    <row r="493" spans="1:1" x14ac:dyDescent="0.3">
      <c r="A493" s="206"/>
    </row>
    <row r="494" spans="1:1" x14ac:dyDescent="0.3">
      <c r="A494" s="206"/>
    </row>
    <row r="495" spans="1:1" x14ac:dyDescent="0.3">
      <c r="A495" s="206"/>
    </row>
    <row r="496" spans="1:1" x14ac:dyDescent="0.3">
      <c r="A496" s="206"/>
    </row>
    <row r="497" spans="1:1" x14ac:dyDescent="0.3">
      <c r="A497" s="206"/>
    </row>
    <row r="498" spans="1:1" x14ac:dyDescent="0.3">
      <c r="A498" s="206"/>
    </row>
    <row r="499" spans="1:1" x14ac:dyDescent="0.3">
      <c r="A499" s="206"/>
    </row>
    <row r="500" spans="1:1" x14ac:dyDescent="0.3">
      <c r="A500" s="206"/>
    </row>
    <row r="501" spans="1:1" x14ac:dyDescent="0.3">
      <c r="A501" s="206"/>
    </row>
    <row r="502" spans="1:1" x14ac:dyDescent="0.3">
      <c r="A502" s="206"/>
    </row>
    <row r="503" spans="1:1" x14ac:dyDescent="0.3">
      <c r="A503" s="206"/>
    </row>
    <row r="504" spans="1:1" x14ac:dyDescent="0.3">
      <c r="A504" s="206"/>
    </row>
    <row r="505" spans="1:1" x14ac:dyDescent="0.3">
      <c r="A505" s="206"/>
    </row>
    <row r="506" spans="1:1" x14ac:dyDescent="0.3">
      <c r="A506" s="206"/>
    </row>
    <row r="507" spans="1:1" x14ac:dyDescent="0.3">
      <c r="A507" s="206"/>
    </row>
    <row r="508" spans="1:1" x14ac:dyDescent="0.3">
      <c r="A508" s="206"/>
    </row>
    <row r="509" spans="1:1" x14ac:dyDescent="0.3">
      <c r="A509" s="206"/>
    </row>
    <row r="510" spans="1:1" x14ac:dyDescent="0.3">
      <c r="A510" s="206"/>
    </row>
    <row r="511" spans="1:1" x14ac:dyDescent="0.3">
      <c r="A511" s="206"/>
    </row>
    <row r="512" spans="1:1" x14ac:dyDescent="0.3">
      <c r="A512" s="206"/>
    </row>
    <row r="513" spans="1:1" x14ac:dyDescent="0.3">
      <c r="A513" s="206"/>
    </row>
    <row r="514" spans="1:1" x14ac:dyDescent="0.3">
      <c r="A514" s="206"/>
    </row>
    <row r="515" spans="1:1" x14ac:dyDescent="0.3">
      <c r="A515" s="206"/>
    </row>
    <row r="516" spans="1:1" x14ac:dyDescent="0.3">
      <c r="A516" s="206"/>
    </row>
    <row r="517" spans="1:1" x14ac:dyDescent="0.3">
      <c r="A517" s="206"/>
    </row>
    <row r="518" spans="1:1" x14ac:dyDescent="0.3">
      <c r="A518" s="206"/>
    </row>
    <row r="519" spans="1:1" x14ac:dyDescent="0.3">
      <c r="A519" s="206"/>
    </row>
    <row r="520" spans="1:1" x14ac:dyDescent="0.3">
      <c r="A520" s="206"/>
    </row>
    <row r="521" spans="1:1" x14ac:dyDescent="0.3">
      <c r="A521" s="206"/>
    </row>
    <row r="522" spans="1:1" x14ac:dyDescent="0.3">
      <c r="A522" s="206"/>
    </row>
    <row r="523" spans="1:1" x14ac:dyDescent="0.3">
      <c r="A523" s="206"/>
    </row>
    <row r="524" spans="1:1" x14ac:dyDescent="0.3">
      <c r="A524" s="206"/>
    </row>
    <row r="525" spans="1:1" x14ac:dyDescent="0.3">
      <c r="A525" s="206"/>
    </row>
    <row r="526" spans="1:1" x14ac:dyDescent="0.3">
      <c r="A526" s="206"/>
    </row>
    <row r="527" spans="1:1" x14ac:dyDescent="0.3">
      <c r="A527" s="206"/>
    </row>
    <row r="528" spans="1:1" x14ac:dyDescent="0.3">
      <c r="A528" s="206"/>
    </row>
    <row r="529" spans="1:1" x14ac:dyDescent="0.3">
      <c r="A529" s="206"/>
    </row>
    <row r="530" spans="1:1" x14ac:dyDescent="0.3">
      <c r="A530" s="206"/>
    </row>
    <row r="531" spans="1:1" x14ac:dyDescent="0.3">
      <c r="A531" s="206"/>
    </row>
    <row r="532" spans="1:1" x14ac:dyDescent="0.3">
      <c r="A532" s="206"/>
    </row>
    <row r="533" spans="1:1" x14ac:dyDescent="0.3">
      <c r="A533" s="206"/>
    </row>
    <row r="534" spans="1:1" x14ac:dyDescent="0.3">
      <c r="A534" s="206"/>
    </row>
    <row r="535" spans="1:1" x14ac:dyDescent="0.3">
      <c r="A535" s="206"/>
    </row>
    <row r="536" spans="1:1" x14ac:dyDescent="0.3">
      <c r="A536" s="206"/>
    </row>
    <row r="537" spans="1:1" x14ac:dyDescent="0.3">
      <c r="A537" s="206"/>
    </row>
    <row r="538" spans="1:1" x14ac:dyDescent="0.3">
      <c r="A538" s="206"/>
    </row>
    <row r="539" spans="1:1" x14ac:dyDescent="0.3">
      <c r="A539" s="206"/>
    </row>
    <row r="540" spans="1:1" x14ac:dyDescent="0.3">
      <c r="A540" s="206"/>
    </row>
    <row r="541" spans="1:1" x14ac:dyDescent="0.3">
      <c r="A541" s="206"/>
    </row>
    <row r="542" spans="1:1" x14ac:dyDescent="0.3">
      <c r="A542" s="206"/>
    </row>
    <row r="543" spans="1:1" x14ac:dyDescent="0.3">
      <c r="A543" s="206"/>
    </row>
    <row r="544" spans="1:1" x14ac:dyDescent="0.3">
      <c r="A544" s="206"/>
    </row>
    <row r="545" spans="1:1" x14ac:dyDescent="0.3">
      <c r="A545" s="206"/>
    </row>
    <row r="546" spans="1:1" x14ac:dyDescent="0.3">
      <c r="A546" s="206"/>
    </row>
    <row r="547" spans="1:1" x14ac:dyDescent="0.3">
      <c r="A547" s="206"/>
    </row>
    <row r="548" spans="1:1" x14ac:dyDescent="0.3">
      <c r="A548" s="206"/>
    </row>
    <row r="549" spans="1:1" x14ac:dyDescent="0.3">
      <c r="A549" s="206"/>
    </row>
    <row r="550" spans="1:1" x14ac:dyDescent="0.3">
      <c r="A550" s="206"/>
    </row>
    <row r="551" spans="1:1" x14ac:dyDescent="0.3">
      <c r="A551" s="206"/>
    </row>
    <row r="552" spans="1:1" x14ac:dyDescent="0.3">
      <c r="A552" s="206"/>
    </row>
    <row r="553" spans="1:1" x14ac:dyDescent="0.3">
      <c r="A553" s="206"/>
    </row>
    <row r="554" spans="1:1" x14ac:dyDescent="0.3">
      <c r="A554" s="206"/>
    </row>
  </sheetData>
  <sheetProtection algorithmName="SHA-512" hashValue="Yu+NkYQcZDtgDoag3Ty0mz1auFHE+aoewv+hysk0OuvrtH8l/4mF6pMjIJ7b+PRH1nDslkUdsP9O8SOHm6Y+WQ==" saltValue="YricqzwUv6SoSAYRRM2S9Q==" spinCount="100000" sheet="1" formatCells="0" formatColumns="0" formatRows="0" insertRows="0"/>
  <customSheetViews>
    <customSheetView guid="{C3F58662-020B-4E56-B390-38D4A953D070}" scale="80" showGridLines="0" printArea="1" topLeftCell="AB19">
      <selection activeCell="I31" sqref="I31"/>
      <rowBreaks count="1" manualBreakCount="1">
        <brk id="24" max="42" man="1"/>
      </rowBreaks>
      <colBreaks count="1" manualBreakCount="1">
        <brk id="23" min="24" max="403" man="1"/>
      </colBreaks>
      <pageMargins left="0" right="0" top="0" bottom="0" header="0" footer="0"/>
      <pageSetup paperSize="9" scale="37" fitToWidth="2" fitToHeight="10" pageOrder="overThenDown" orientation="landscape" horizontalDpi="0" verticalDpi="0" r:id="rId1"/>
      <headerFooter>
        <oddHeader>&amp;F</oddHeader>
        <oddFooter>&amp;C&amp;A &amp;R&amp;P/&amp;N</oddFooter>
      </headerFooter>
    </customSheetView>
  </customSheetViews>
  <mergeCells count="5">
    <mergeCell ref="M4:U4"/>
    <mergeCell ref="A4:L4"/>
    <mergeCell ref="A1:U1"/>
    <mergeCell ref="A2:L2"/>
    <mergeCell ref="A3:L3"/>
  </mergeCells>
  <phoneticPr fontId="50" type="noConversion"/>
  <conditionalFormatting sqref="M6:M11">
    <cfRule type="cellIs" dxfId="75" priority="12" operator="notEqual">
      <formula>$E6</formula>
    </cfRule>
  </conditionalFormatting>
  <conditionalFormatting sqref="N6:N11">
    <cfRule type="cellIs" dxfId="74" priority="14" operator="notEqual">
      <formula>$F6</formula>
    </cfRule>
  </conditionalFormatting>
  <conditionalFormatting sqref="O6:O11">
    <cfRule type="cellIs" dxfId="73" priority="15" operator="notEqual">
      <formula>$G6</formula>
    </cfRule>
  </conditionalFormatting>
  <conditionalFormatting sqref="T6:T24 M6:R24 E6:K24">
    <cfRule type="cellIs" dxfId="72" priority="10" operator="equal">
      <formula>0</formula>
    </cfRule>
  </conditionalFormatting>
  <conditionalFormatting sqref="T6:T11">
    <cfRule type="cellIs" dxfId="71" priority="8" operator="notEqual">
      <formula>0</formula>
    </cfRule>
    <cfRule type="cellIs" dxfId="70" priority="16" operator="notEqual">
      <formula>$K6</formula>
    </cfRule>
  </conditionalFormatting>
  <conditionalFormatting sqref="M12:M22">
    <cfRule type="cellIs" dxfId="69" priority="664" operator="notEqual">
      <formula>$E13</formula>
    </cfRule>
  </conditionalFormatting>
  <conditionalFormatting sqref="N12:N22">
    <cfRule type="cellIs" dxfId="68" priority="666" operator="notEqual">
      <formula>$F13</formula>
    </cfRule>
  </conditionalFormatting>
  <conditionalFormatting sqref="O12:O22">
    <cfRule type="cellIs" dxfId="67" priority="668" operator="notEqual">
      <formula>$G13</formula>
    </cfRule>
  </conditionalFormatting>
  <conditionalFormatting sqref="T12:T22">
    <cfRule type="cellIs" dxfId="66" priority="673" operator="notEqual">
      <formula>0</formula>
    </cfRule>
    <cfRule type="cellIs" dxfId="65" priority="674" operator="notEqual">
      <formula>$K13</formula>
    </cfRule>
  </conditionalFormatting>
  <conditionalFormatting sqref="T23">
    <cfRule type="cellIs" dxfId="64" priority="683" operator="notEqual">
      <formula>0</formula>
    </cfRule>
  </conditionalFormatting>
  <conditionalFormatting sqref="A6:C24 E6:E24">
    <cfRule type="expression" dxfId="63" priority="3">
      <formula>(SUMIF($B$6:$B$24,$B6,$E$6:$E$24))=1</formula>
    </cfRule>
  </conditionalFormatting>
  <dataValidations xWindow="28" yWindow="758" count="3">
    <dataValidation type="list" allowBlank="1" showInputMessage="1" showErrorMessage="1" sqref="A131:A554" xr:uid="{00000000-0002-0000-0300-000000000000}">
      <formula1>$AB$7:$AB$18</formula1>
    </dataValidation>
    <dataValidation type="list" allowBlank="1" showInputMessage="1" showErrorMessage="1" sqref="B6:B24" xr:uid="{00000000-0002-0000-0300-000002000000}">
      <formula1>LISTE_MOIS</formula1>
    </dataValidation>
    <dataValidation type="list" showInputMessage="1" showErrorMessage="1" prompt="Veuillez sélectionner :" sqref="A6:A24" xr:uid="{3B4AB8A6-DE8F-4C05-AFFD-4A6684151E12}">
      <formula1>l_personnel</formula1>
    </dataValidation>
  </dataValidations>
  <pageMargins left="0" right="0" top="0.39370078740157483" bottom="0.39370078740157483" header="0" footer="0.23622047244094491"/>
  <pageSetup paperSize="9" scale="62" fitToHeight="10" pageOrder="overThenDown" orientation="landscape" r:id="rId2"/>
  <headerFooter>
    <oddHeader>&amp;F</oddHeader>
    <oddFooter>&amp;C&amp;A &amp;R&amp;P/&amp;N</oddFooter>
  </headerFooter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DC">
    <tabColor rgb="FFFFFF00"/>
    <pageSetUpPr fitToPage="1"/>
  </sheetPr>
  <dimension ref="A1:P46"/>
  <sheetViews>
    <sheetView showGridLines="0" zoomScale="90" zoomScaleNormal="90" zoomScaleSheetLayoutView="80" workbookViewId="0">
      <selection activeCell="D22" sqref="D22:E22"/>
    </sheetView>
  </sheetViews>
  <sheetFormatPr baseColWidth="10" defaultColWidth="10.6640625" defaultRowHeight="15.6" x14ac:dyDescent="0.3"/>
  <cols>
    <col min="1" max="1" width="39" style="283" customWidth="1"/>
    <col min="2" max="2" width="33.6640625" style="283" customWidth="1"/>
    <col min="3" max="3" width="21.33203125" style="283" customWidth="1"/>
    <col min="4" max="4" width="18.33203125" style="283" customWidth="1"/>
    <col min="5" max="5" width="24.33203125" style="283" customWidth="1"/>
    <col min="6" max="6" width="4.44140625" style="283" hidden="1" customWidth="1"/>
    <col min="7" max="12" width="2.6640625" style="283" hidden="1" customWidth="1"/>
    <col min="13" max="13" width="1.33203125" style="283" hidden="1" customWidth="1"/>
    <col min="14" max="14" width="1.5546875" style="283" hidden="1" customWidth="1"/>
    <col min="15" max="23" width="0" style="283" hidden="1" customWidth="1"/>
    <col min="24" max="16384" width="10.6640625" style="283"/>
  </cols>
  <sheetData>
    <row r="1" spans="1:16" s="284" customFormat="1" x14ac:dyDescent="0.3">
      <c r="A1" s="283"/>
      <c r="B1" s="283"/>
      <c r="C1" s="283"/>
      <c r="D1" s="283"/>
      <c r="E1" s="283"/>
      <c r="F1" s="283"/>
      <c r="G1" s="283"/>
      <c r="H1" s="283"/>
      <c r="I1" s="283"/>
      <c r="N1" s="285"/>
      <c r="P1" s="285"/>
    </row>
    <row r="2" spans="1:16" x14ac:dyDescent="0.3">
      <c r="N2" s="285"/>
      <c r="P2" s="285"/>
    </row>
    <row r="3" spans="1:16" ht="30.75" customHeight="1" x14ac:dyDescent="0.3">
      <c r="N3" s="286"/>
      <c r="P3" s="286"/>
    </row>
    <row r="4" spans="1:16" x14ac:dyDescent="0.3">
      <c r="N4" s="286"/>
      <c r="P4" s="286"/>
    </row>
    <row r="5" spans="1:16" ht="32.25" hidden="1" customHeight="1" x14ac:dyDescent="0.3"/>
    <row r="6" spans="1:16" ht="98.4" customHeight="1" x14ac:dyDescent="0.3">
      <c r="A6" s="392" t="s">
        <v>1549</v>
      </c>
      <c r="B6" s="393"/>
      <c r="C6" s="393"/>
      <c r="D6" s="393"/>
      <c r="E6" s="393"/>
    </row>
    <row r="7" spans="1:16" x14ac:dyDescent="0.3">
      <c r="E7" s="287"/>
    </row>
    <row r="8" spans="1:16" ht="15.75" customHeight="1" x14ac:dyDescent="0.3">
      <c r="A8" s="208">
        <f>IDENTIF_NOM_REQUERANT</f>
        <v>0</v>
      </c>
      <c r="C8" s="398" t="s">
        <v>62</v>
      </c>
      <c r="D8" s="398"/>
      <c r="E8" s="398"/>
    </row>
    <row r="9" spans="1:16" x14ac:dyDescent="0.3">
      <c r="A9" s="110"/>
      <c r="E9" s="287" t="s">
        <v>63</v>
      </c>
    </row>
    <row r="10" spans="1:16" x14ac:dyDescent="0.3">
      <c r="A10" s="110" t="e">
        <f>CONCATENATE(IDENTIF_ADRESSE_CP, " ",IDENTIF_ADRESSE_LOC)</f>
        <v>#N/A</v>
      </c>
      <c r="E10" s="287" t="s">
        <v>64</v>
      </c>
    </row>
    <row r="11" spans="1:16" x14ac:dyDescent="0.3">
      <c r="D11" s="288"/>
      <c r="E11" s="288"/>
    </row>
    <row r="12" spans="1:16" ht="24.75" customHeight="1" x14ac:dyDescent="0.3">
      <c r="A12" s="289" t="s">
        <v>65</v>
      </c>
      <c r="B12" s="386"/>
      <c r="C12" s="386"/>
      <c r="I12" s="290"/>
      <c r="J12" s="290"/>
      <c r="K12" s="290"/>
      <c r="L12" s="290"/>
      <c r="M12" s="290"/>
      <c r="N12" s="290"/>
    </row>
    <row r="13" spans="1:16" ht="21.45" customHeight="1" x14ac:dyDescent="0.3">
      <c r="A13" s="287" t="s">
        <v>66</v>
      </c>
      <c r="B13" s="291" t="s">
        <v>67</v>
      </c>
    </row>
    <row r="14" spans="1:16" ht="25.95" customHeight="1" x14ac:dyDescent="0.3">
      <c r="A14" s="287" t="s">
        <v>68</v>
      </c>
      <c r="B14" s="389" t="e">
        <f>IDENTIF_NOM_PROJET</f>
        <v>#N/A</v>
      </c>
      <c r="C14" s="390"/>
      <c r="D14" s="390"/>
      <c r="E14" s="391"/>
    </row>
    <row r="15" spans="1:16" ht="10.5" customHeight="1" x14ac:dyDescent="0.3">
      <c r="A15" s="292"/>
      <c r="B15" s="292"/>
      <c r="C15" s="292"/>
    </row>
    <row r="16" spans="1:16" ht="29.25" customHeight="1" x14ac:dyDescent="0.3">
      <c r="A16" s="289" t="s">
        <v>69</v>
      </c>
      <c r="B16" s="293">
        <f>IDENTIF_DEB_DC</f>
        <v>0</v>
      </c>
      <c r="C16" s="294" t="s">
        <v>70</v>
      </c>
      <c r="D16" s="295">
        <f>IDENTIF_FIN_DC</f>
        <v>0</v>
      </c>
    </row>
    <row r="17" spans="1:5" ht="24.75" customHeight="1" x14ac:dyDescent="0.3">
      <c r="A17" s="289" t="s">
        <v>496</v>
      </c>
      <c r="B17" s="296" t="e">
        <f>'1-Identification'!B24</f>
        <v>#N/A</v>
      </c>
      <c r="D17" s="289" t="s">
        <v>1528</v>
      </c>
      <c r="E17" s="296" t="e">
        <f>IDENTIF_N_VISA</f>
        <v>#N/A</v>
      </c>
    </row>
    <row r="18" spans="1:5" ht="30.75" customHeight="1" x14ac:dyDescent="0.3">
      <c r="A18" s="289" t="s">
        <v>71</v>
      </c>
      <c r="B18" s="296" t="e">
        <f>IDENTIF_LEGALE</f>
        <v>#N/A</v>
      </c>
      <c r="C18" s="296"/>
    </row>
    <row r="19" spans="1:5" ht="26.25" customHeight="1" x14ac:dyDescent="0.3">
      <c r="A19" s="297" t="s">
        <v>72</v>
      </c>
      <c r="B19" s="405"/>
      <c r="C19" s="406"/>
      <c r="D19" s="406"/>
      <c r="E19" s="407"/>
    </row>
    <row r="20" spans="1:5" ht="26.25" customHeight="1" x14ac:dyDescent="0.3">
      <c r="A20" s="297" t="s">
        <v>73</v>
      </c>
      <c r="B20" s="405"/>
      <c r="C20" s="407"/>
      <c r="D20" s="298" t="s">
        <v>74</v>
      </c>
      <c r="E20" s="299"/>
    </row>
    <row r="21" spans="1:5" ht="32.25" customHeight="1" x14ac:dyDescent="0.3">
      <c r="A21" s="297" t="s">
        <v>75</v>
      </c>
      <c r="B21" s="405">
        <f>'1-Identification'!B4</f>
        <v>0</v>
      </c>
      <c r="C21" s="406"/>
      <c r="D21" s="406"/>
      <c r="E21" s="407"/>
    </row>
    <row r="22" spans="1:5" ht="30.75" customHeight="1" x14ac:dyDescent="0.3">
      <c r="A22" s="385" t="s">
        <v>76</v>
      </c>
      <c r="B22" s="385"/>
      <c r="D22" s="383">
        <f>SYNTH_TOT_DC_DECL_2</f>
        <v>0</v>
      </c>
      <c r="E22" s="384"/>
    </row>
    <row r="23" spans="1:5" ht="22.5" customHeight="1" x14ac:dyDescent="0.3">
      <c r="A23" s="297" t="s">
        <v>77</v>
      </c>
      <c r="B23" s="389" t="e">
        <f>IDENTIF_NOM_PROJET</f>
        <v>#N/A</v>
      </c>
      <c r="C23" s="390"/>
      <c r="D23" s="390"/>
      <c r="E23" s="391"/>
    </row>
    <row r="24" spans="1:5" ht="18.75" customHeight="1" x14ac:dyDescent="0.3"/>
    <row r="25" spans="1:5" ht="25.5" customHeight="1" x14ac:dyDescent="0.3">
      <c r="B25" s="300" t="s">
        <v>78</v>
      </c>
    </row>
    <row r="26" spans="1:5" ht="30.75" customHeight="1" x14ac:dyDescent="0.3">
      <c r="A26" s="301" t="s">
        <v>79</v>
      </c>
      <c r="B26" s="402" t="e">
        <f>IDENTIF_COMPTE_N°IBAN</f>
        <v>#N/A</v>
      </c>
      <c r="C26" s="403"/>
      <c r="D26" s="403"/>
      <c r="E26" s="404"/>
    </row>
    <row r="27" spans="1:5" ht="30.75" customHeight="1" x14ac:dyDescent="0.3">
      <c r="A27" s="301" t="s">
        <v>80</v>
      </c>
      <c r="B27" s="402">
        <f>IDENTIF_COMPTE_BIC</f>
        <v>0</v>
      </c>
      <c r="C27" s="403"/>
      <c r="D27" s="403"/>
      <c r="E27" s="404"/>
    </row>
    <row r="28" spans="1:5" ht="30.75" customHeight="1" x14ac:dyDescent="0.3">
      <c r="A28" s="301" t="s">
        <v>28</v>
      </c>
      <c r="B28" s="402">
        <f>IDENTIF_COMPTE_COM</f>
        <v>0</v>
      </c>
      <c r="C28" s="403"/>
      <c r="D28" s="403"/>
      <c r="E28" s="404"/>
    </row>
    <row r="29" spans="1:5" ht="30.75" customHeight="1" x14ac:dyDescent="0.3">
      <c r="A29" s="301" t="s">
        <v>30</v>
      </c>
      <c r="B29" s="402">
        <f>'1-Identification'!B9</f>
        <v>0</v>
      </c>
      <c r="C29" s="403"/>
      <c r="D29" s="403"/>
      <c r="E29" s="404"/>
    </row>
    <row r="30" spans="1:5" ht="30.75" customHeight="1" x14ac:dyDescent="0.3">
      <c r="A30" s="301" t="s">
        <v>81</v>
      </c>
      <c r="B30" s="402" t="e">
        <f>IDENTIF_BCE</f>
        <v>#N/A</v>
      </c>
      <c r="C30" s="403"/>
      <c r="D30" s="403"/>
      <c r="E30" s="404"/>
    </row>
    <row r="31" spans="1:5" ht="22.5" customHeight="1" x14ac:dyDescent="0.3"/>
    <row r="32" spans="1:5" x14ac:dyDescent="0.3">
      <c r="B32" s="300" t="s">
        <v>82</v>
      </c>
    </row>
    <row r="33" spans="1:5" ht="49.5" customHeight="1" x14ac:dyDescent="0.3">
      <c r="B33" s="399"/>
      <c r="C33" s="400"/>
      <c r="D33" s="400"/>
      <c r="E33" s="401"/>
    </row>
    <row r="35" spans="1:5" x14ac:dyDescent="0.3">
      <c r="B35" s="302" t="s">
        <v>745</v>
      </c>
      <c r="C35" s="303"/>
      <c r="D35" s="394" t="s">
        <v>746</v>
      </c>
      <c r="E35" s="395"/>
    </row>
    <row r="36" spans="1:5" ht="39" customHeight="1" x14ac:dyDescent="0.3">
      <c r="B36" s="304" t="e">
        <f>'1-Identification'!B24</f>
        <v>#N/A</v>
      </c>
      <c r="C36" s="305"/>
      <c r="D36" s="396" t="s">
        <v>747</v>
      </c>
      <c r="E36" s="397"/>
    </row>
    <row r="37" spans="1:5" x14ac:dyDescent="0.3">
      <c r="B37" s="306"/>
      <c r="C37" s="307"/>
      <c r="D37" s="387" t="s">
        <v>748</v>
      </c>
      <c r="E37" s="388"/>
    </row>
    <row r="39" spans="1:5" ht="26.25" customHeight="1" x14ac:dyDescent="0.3">
      <c r="A39" s="301" t="s">
        <v>83</v>
      </c>
      <c r="B39" s="111"/>
      <c r="C39" s="301" t="s">
        <v>84</v>
      </c>
      <c r="D39" s="386"/>
      <c r="E39" s="386"/>
    </row>
    <row r="41" spans="1:5" x14ac:dyDescent="0.3">
      <c r="D41" s="294" t="s">
        <v>85</v>
      </c>
      <c r="E41" s="294"/>
    </row>
    <row r="42" spans="1:5" x14ac:dyDescent="0.3">
      <c r="D42" s="294"/>
      <c r="E42" s="294"/>
    </row>
    <row r="43" spans="1:5" x14ac:dyDescent="0.3">
      <c r="D43" s="294"/>
      <c r="E43" s="294"/>
    </row>
    <row r="44" spans="1:5" x14ac:dyDescent="0.3">
      <c r="A44" s="283" t="s">
        <v>1550</v>
      </c>
      <c r="D44" s="294"/>
      <c r="E44" s="294"/>
    </row>
    <row r="45" spans="1:5" x14ac:dyDescent="0.3">
      <c r="A45" s="292" t="s">
        <v>86</v>
      </c>
      <c r="D45" s="294"/>
      <c r="E45" s="294"/>
    </row>
    <row r="46" spans="1:5" x14ac:dyDescent="0.3">
      <c r="A46" s="283" t="s">
        <v>87</v>
      </c>
    </row>
  </sheetData>
  <sheetProtection algorithmName="SHA-512" hashValue="F5uddI9IEJS1oyVlSJS2s/pKVtgp/n0fluyGe0xu7QqamVZtZiVJLE23oisrhjEV2izleGbd1BrJLhywDB1zbw==" saltValue="6j+0qtcP6DegJcAOEzMjKA==" spinCount="100000" sheet="1" formatCells="0" formatColumns="0" formatRows="0"/>
  <customSheetViews>
    <customSheetView guid="{C3F58662-020B-4E56-B390-38D4A953D070}" scale="70" fitToPage="1">
      <selection activeCell="I31" sqref="I31"/>
      <pageMargins left="0" right="0" top="0" bottom="0" header="0" footer="0"/>
      <printOptions horizontalCentered="1" verticalCentered="1"/>
      <pageSetup paperSize="9" scale="71" orientation="portrait" blackAndWhite="1" r:id="rId1"/>
    </customSheetView>
  </customSheetViews>
  <mergeCells count="20">
    <mergeCell ref="A6:E6"/>
    <mergeCell ref="D35:E35"/>
    <mergeCell ref="D36:E36"/>
    <mergeCell ref="C8:E8"/>
    <mergeCell ref="B33:E33"/>
    <mergeCell ref="B30:E30"/>
    <mergeCell ref="B28:E28"/>
    <mergeCell ref="B29:E29"/>
    <mergeCell ref="B19:E19"/>
    <mergeCell ref="B20:C20"/>
    <mergeCell ref="B21:E21"/>
    <mergeCell ref="B26:E26"/>
    <mergeCell ref="B27:E27"/>
    <mergeCell ref="B23:E23"/>
    <mergeCell ref="D22:E22"/>
    <mergeCell ref="A22:B22"/>
    <mergeCell ref="D39:E39"/>
    <mergeCell ref="D37:E37"/>
    <mergeCell ref="B12:C12"/>
    <mergeCell ref="B14:E14"/>
  </mergeCells>
  <printOptions horizontalCentered="1" verticalCentered="1"/>
  <pageMargins left="0.7" right="0.7" top="0.75" bottom="0.75" header="0.3" footer="0.3"/>
  <pageSetup paperSize="9" scale="64" fitToHeight="0" orientation="portrait" blackAndWhite="1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D6E66-BF5E-4D08-9347-527BD6F5A852}">
  <sheetPr>
    <tabColor theme="0" tint="-0.14999847407452621"/>
    <pageSetUpPr fitToPage="1"/>
  </sheetPr>
  <dimension ref="D1:J26"/>
  <sheetViews>
    <sheetView showGridLines="0" zoomScale="120" zoomScaleNormal="120" zoomScalePageLayoutView="75" workbookViewId="0">
      <selection activeCell="F9" sqref="F9"/>
    </sheetView>
  </sheetViews>
  <sheetFormatPr baseColWidth="10" defaultColWidth="6.88671875" defaultRowHeight="14.4" x14ac:dyDescent="0.3"/>
  <cols>
    <col min="1" max="3" width="1.44140625" style="109" customWidth="1"/>
    <col min="4" max="4" width="43.109375" style="109" customWidth="1"/>
    <col min="5" max="5" width="20.44140625" style="109" customWidth="1"/>
    <col min="6" max="6" width="22.5546875" style="149" customWidth="1"/>
    <col min="7" max="7" width="6.88671875" style="116" customWidth="1"/>
    <col min="8" max="9" width="6.88671875" style="109" customWidth="1"/>
    <col min="10" max="16384" width="6.88671875" style="109"/>
  </cols>
  <sheetData>
    <row r="1" spans="4:10" s="116" customFormat="1" ht="13.5" customHeight="1" x14ac:dyDescent="0.3">
      <c r="D1" s="112" t="s">
        <v>88</v>
      </c>
      <c r="E1" s="113">
        <f>DATE_DEB_CONV</f>
        <v>44927</v>
      </c>
      <c r="F1" s="114">
        <f>IDENTIF_DEB_DC</f>
        <v>0</v>
      </c>
      <c r="G1" s="115"/>
      <c r="H1" s="115"/>
    </row>
    <row r="2" spans="4:10" s="116" customFormat="1" x14ac:dyDescent="0.3">
      <c r="D2" s="117"/>
      <c r="E2" s="118" t="s">
        <v>89</v>
      </c>
      <c r="F2" s="119" t="s">
        <v>89</v>
      </c>
      <c r="G2" s="115"/>
      <c r="H2" s="115"/>
    </row>
    <row r="3" spans="4:10" s="116" customFormat="1" ht="13.5" customHeight="1" x14ac:dyDescent="0.3">
      <c r="D3" s="120"/>
      <c r="E3" s="113">
        <f>DATE_FIN_CONV</f>
        <v>46387</v>
      </c>
      <c r="F3" s="121">
        <f>IDENTIF_FIN_DC</f>
        <v>0</v>
      </c>
      <c r="G3" s="115"/>
      <c r="H3" s="115"/>
    </row>
    <row r="4" spans="4:10" s="123" customFormat="1" ht="15.6" x14ac:dyDescent="0.3">
      <c r="D4" s="122"/>
      <c r="E4" s="122"/>
      <c r="F4" s="122"/>
      <c r="G4" s="115"/>
      <c r="H4" s="115"/>
    </row>
    <row r="5" spans="4:10" s="126" customFormat="1" ht="21.75" customHeight="1" x14ac:dyDescent="0.3">
      <c r="D5" s="124" t="s">
        <v>1517</v>
      </c>
      <c r="E5" s="125" t="s">
        <v>1553</v>
      </c>
      <c r="F5" s="268">
        <f>DC_N°</f>
        <v>2023</v>
      </c>
      <c r="G5" s="115"/>
      <c r="H5" s="115"/>
    </row>
    <row r="6" spans="4:10" ht="13.8" x14ac:dyDescent="0.3">
      <c r="D6" s="127" t="s">
        <v>1552</v>
      </c>
      <c r="E6" s="128"/>
      <c r="F6" s="270" t="s">
        <v>92</v>
      </c>
      <c r="G6" s="115"/>
      <c r="H6" s="115"/>
    </row>
    <row r="7" spans="4:10" s="116" customFormat="1" ht="18.75" customHeight="1" x14ac:dyDescent="0.3">
      <c r="D7" s="269" t="s">
        <v>1522</v>
      </c>
      <c r="E7" s="129" t="e">
        <f>IDENTIF_MONTANT_SUBSIDE</f>
        <v>#N/A</v>
      </c>
      <c r="F7" s="129">
        <f>IF(DC_N°=F5,MONTANT_TOT_PERSO_DECL,0)</f>
        <v>0</v>
      </c>
      <c r="G7" s="115"/>
      <c r="H7" s="115"/>
    </row>
    <row r="8" spans="4:10" s="130" customFormat="1" ht="18" customHeight="1" x14ac:dyDescent="0.3">
      <c r="D8" s="132" t="s">
        <v>94</v>
      </c>
      <c r="E8" s="133">
        <f t="shared" ref="E8:F8" si="0">IDENTIF_TAUX_DE_FINANCEMENT</f>
        <v>1</v>
      </c>
      <c r="F8" s="133">
        <f t="shared" si="0"/>
        <v>1</v>
      </c>
      <c r="G8" s="115"/>
      <c r="H8" s="115"/>
      <c r="I8" s="134"/>
    </row>
    <row r="9" spans="4:10" s="138" customFormat="1" ht="26.25" customHeight="1" x14ac:dyDescent="0.3">
      <c r="D9" s="135" t="s">
        <v>95</v>
      </c>
      <c r="E9" s="136" t="e">
        <f>IDENTIF_MONTANT_SUBSIDE</f>
        <v>#N/A</v>
      </c>
      <c r="F9" s="136">
        <f>(ROUND(F7*F8,2))</f>
        <v>0</v>
      </c>
      <c r="G9" s="115"/>
      <c r="H9" s="115"/>
    </row>
    <row r="10" spans="4:10" s="123" customFormat="1" ht="15.6" x14ac:dyDescent="0.3">
      <c r="D10" s="139"/>
      <c r="E10" s="140"/>
      <c r="F10" s="140"/>
      <c r="G10" s="115"/>
      <c r="H10" s="115"/>
    </row>
    <row r="11" spans="4:10" ht="13.8" x14ac:dyDescent="0.3">
      <c r="D11" s="144"/>
      <c r="E11" s="142"/>
      <c r="F11" s="140"/>
      <c r="G11" s="115"/>
      <c r="H11" s="115"/>
    </row>
    <row r="12" spans="4:10" s="146" customFormat="1" ht="13.8" x14ac:dyDescent="0.3">
      <c r="D12" s="249" t="s">
        <v>1524</v>
      </c>
      <c r="E12" s="145" t="e">
        <f>VLOOKUP(IDENTIF_NOM_REQUERANT,t_beneficiaires_p22[[Entité]:[Tranche 2024 (20%)]],6,FALSE)</f>
        <v>#N/A</v>
      </c>
      <c r="F12" s="115"/>
      <c r="G12" s="250"/>
      <c r="H12" s="250"/>
      <c r="J12" s="251"/>
    </row>
    <row r="13" spans="4:10" s="116" customFormat="1" x14ac:dyDescent="0.3">
      <c r="D13" s="115"/>
      <c r="E13" s="142"/>
      <c r="F13" s="142"/>
      <c r="G13" s="115"/>
      <c r="H13" s="115"/>
    </row>
    <row r="14" spans="4:10" ht="13.8" x14ac:dyDescent="0.3">
      <c r="D14" s="239"/>
      <c r="E14" s="240"/>
      <c r="F14" s="115"/>
      <c r="G14" s="109"/>
    </row>
    <row r="15" spans="4:10" ht="21" x14ac:dyDescent="0.4">
      <c r="D15" s="147"/>
      <c r="E15" s="147"/>
      <c r="F15" s="109"/>
    </row>
    <row r="16" spans="4:10" ht="21" x14ac:dyDescent="0.4">
      <c r="D16" s="147"/>
      <c r="E16" s="147"/>
      <c r="F16" s="148"/>
    </row>
    <row r="17" spans="4:10" ht="21" x14ac:dyDescent="0.4">
      <c r="D17" s="147"/>
      <c r="E17" s="147"/>
      <c r="F17" s="148"/>
    </row>
    <row r="18" spans="4:10" ht="21" x14ac:dyDescent="0.4">
      <c r="D18" s="147"/>
      <c r="E18" s="147"/>
      <c r="F18" s="148"/>
    </row>
    <row r="19" spans="4:10" ht="21" x14ac:dyDescent="0.4">
      <c r="D19" s="147"/>
      <c r="E19" s="147"/>
      <c r="F19" s="148"/>
    </row>
    <row r="20" spans="4:10" ht="21" x14ac:dyDescent="0.4">
      <c r="D20" s="147"/>
      <c r="E20" s="147"/>
      <c r="F20" s="148"/>
    </row>
    <row r="21" spans="4:10" ht="21" x14ac:dyDescent="0.4">
      <c r="D21" s="147"/>
      <c r="E21" s="147"/>
      <c r="F21" s="148"/>
    </row>
    <row r="22" spans="4:10" ht="21" x14ac:dyDescent="0.4">
      <c r="D22" s="147"/>
      <c r="E22" s="147"/>
      <c r="F22" s="148"/>
    </row>
    <row r="23" spans="4:10" ht="21" x14ac:dyDescent="0.4">
      <c r="D23" s="147"/>
      <c r="E23" s="147"/>
      <c r="F23" s="148"/>
    </row>
    <row r="24" spans="4:10" ht="21" x14ac:dyDescent="0.4">
      <c r="D24" s="147"/>
      <c r="E24" s="147"/>
      <c r="F24" s="148"/>
    </row>
    <row r="25" spans="4:10" s="116" customFormat="1" ht="21" x14ac:dyDescent="0.4">
      <c r="D25" s="147"/>
      <c r="E25" s="147"/>
      <c r="F25" s="148"/>
      <c r="H25" s="109"/>
      <c r="I25" s="109"/>
      <c r="J25" s="109"/>
    </row>
    <row r="26" spans="4:10" s="116" customFormat="1" ht="21" x14ac:dyDescent="0.4">
      <c r="D26" s="147"/>
      <c r="E26" s="147"/>
      <c r="F26" s="148"/>
      <c r="H26" s="109"/>
      <c r="I26" s="109"/>
      <c r="J26" s="109"/>
    </row>
  </sheetData>
  <sheetProtection algorithmName="SHA-512" hashValue="OtXT8HtCsnsy4iwjwwj2uzNsI65jeLJwSjjZzenxg/obMMKB/2jai3Hw3xa5lVA//1wr8dOiIySMhwkNHN7KPA==" saltValue="3ZSswjI5Jalu9X/a0UVBig==" spinCount="100000" sheet="1" formatCells="0" formatColumns="0" formatRows="0"/>
  <conditionalFormatting sqref="E7:F7">
    <cfRule type="cellIs" dxfId="24" priority="6" operator="equal">
      <formula>0</formula>
    </cfRule>
  </conditionalFormatting>
  <conditionalFormatting sqref="E9">
    <cfRule type="cellIs" dxfId="23" priority="3" operator="notEqual">
      <formula>TAB4_TOTAL_RW</formula>
    </cfRule>
  </conditionalFormatting>
  <pageMargins left="0.19685039370078741" right="0.19685039370078741" top="0.39370078740157483" bottom="0.39370078740157483" header="0" footer="0"/>
  <pageSetup paperSize="9" scale="69" orientation="landscape" horizontalDpi="300" verticalDpi="300" r:id="rId1"/>
  <headerFooter>
    <oddHeader>&amp;F</oddHeader>
    <oddFooter>&amp;C&amp;A&amp;R&amp;P/&amp;N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_DC_CUM">
    <tabColor rgb="FF33CCFF"/>
    <pageSetUpPr fitToPage="1"/>
  </sheetPr>
  <dimension ref="D1:K34"/>
  <sheetViews>
    <sheetView showGridLines="0" zoomScale="120" zoomScaleNormal="120" zoomScalePageLayoutView="75" workbookViewId="0">
      <selection activeCell="G21" sqref="G21"/>
    </sheetView>
  </sheetViews>
  <sheetFormatPr baseColWidth="10" defaultColWidth="6.88671875" defaultRowHeight="14.4" x14ac:dyDescent="0.3"/>
  <cols>
    <col min="1" max="1" width="6.88671875" style="109"/>
    <col min="2" max="2" width="10.44140625" style="109" customWidth="1"/>
    <col min="3" max="3" width="6.88671875" style="109"/>
    <col min="4" max="4" width="43.109375" style="109" customWidth="1"/>
    <col min="5" max="5" width="20.44140625" style="109" customWidth="1"/>
    <col min="6" max="6" width="22.5546875" style="149" customWidth="1"/>
    <col min="7" max="7" width="20.44140625" style="109" customWidth="1"/>
    <col min="8" max="8" width="6.88671875" style="116"/>
    <col min="9" max="16384" width="6.88671875" style="109"/>
  </cols>
  <sheetData>
    <row r="1" spans="4:11" s="116" customFormat="1" ht="13.5" customHeight="1" x14ac:dyDescent="0.3">
      <c r="D1" s="112" t="s">
        <v>88</v>
      </c>
      <c r="E1" s="113">
        <f>DATE_DEB_CONV</f>
        <v>44927</v>
      </c>
      <c r="F1" s="114">
        <f>IDENTIF_DEB_DC</f>
        <v>0</v>
      </c>
      <c r="G1" s="114">
        <f>IDENTIF_DEB_DC</f>
        <v>0</v>
      </c>
      <c r="H1" s="115"/>
      <c r="I1" s="115"/>
    </row>
    <row r="2" spans="4:11" s="116" customFormat="1" x14ac:dyDescent="0.3">
      <c r="D2" s="117"/>
      <c r="E2" s="118" t="s">
        <v>89</v>
      </c>
      <c r="F2" s="119" t="s">
        <v>89</v>
      </c>
      <c r="G2" s="119" t="s">
        <v>89</v>
      </c>
      <c r="H2" s="115"/>
      <c r="I2" s="115"/>
    </row>
    <row r="3" spans="4:11" s="116" customFormat="1" ht="13.5" customHeight="1" x14ac:dyDescent="0.3">
      <c r="D3" s="120"/>
      <c r="E3" s="113">
        <f>DATE_FIN_CONV</f>
        <v>46387</v>
      </c>
      <c r="F3" s="121">
        <f>IDENTIF_FIN_DC</f>
        <v>0</v>
      </c>
      <c r="G3" s="121">
        <f>IDENTIF_FIN_DC</f>
        <v>0</v>
      </c>
      <c r="H3" s="115"/>
      <c r="I3" s="115"/>
    </row>
    <row r="4" spans="4:11" s="123" customFormat="1" ht="15.6" x14ac:dyDescent="0.3">
      <c r="D4" s="122"/>
      <c r="E4" s="122"/>
      <c r="F4" s="122"/>
      <c r="G4" s="122"/>
      <c r="H4" s="115"/>
      <c r="I4" s="115"/>
    </row>
    <row r="5" spans="4:11" s="126" customFormat="1" ht="21.75" customHeight="1" x14ac:dyDescent="0.3">
      <c r="D5" s="124" t="s">
        <v>1517</v>
      </c>
      <c r="E5" s="125" t="s">
        <v>90</v>
      </c>
      <c r="F5" s="268">
        <f>DC_N°</f>
        <v>2023</v>
      </c>
      <c r="G5" s="268">
        <f>DC_N°</f>
        <v>2023</v>
      </c>
      <c r="H5" s="115"/>
      <c r="I5" s="115"/>
    </row>
    <row r="6" spans="4:11" ht="13.8" x14ac:dyDescent="0.3">
      <c r="D6" s="127" t="s">
        <v>91</v>
      </c>
      <c r="E6" s="128"/>
      <c r="F6" s="236" t="s">
        <v>92</v>
      </c>
      <c r="G6" s="237" t="s">
        <v>93</v>
      </c>
      <c r="H6" s="115"/>
      <c r="I6" s="115"/>
    </row>
    <row r="7" spans="4:11" s="116" customFormat="1" ht="18.75" customHeight="1" x14ac:dyDescent="0.3">
      <c r="D7" s="131" t="s">
        <v>1522</v>
      </c>
      <c r="E7" s="129" t="e">
        <f>IDENTIF_MONTANT_SUBSIDE</f>
        <v>#N/A</v>
      </c>
      <c r="F7" s="129">
        <f>IF(DC_N°=F5,MONTANT_TOT_PERSO_DECL,0)</f>
        <v>0</v>
      </c>
      <c r="G7" s="129">
        <f>IF(DC_N°=G5,MONTANT_TOT_PERSO_ACC,0)</f>
        <v>0</v>
      </c>
      <c r="H7" s="115"/>
      <c r="I7" s="115"/>
    </row>
    <row r="8" spans="4:11" s="130" customFormat="1" ht="18" customHeight="1" x14ac:dyDescent="0.3">
      <c r="D8" s="132" t="s">
        <v>94</v>
      </c>
      <c r="E8" s="133">
        <f t="shared" ref="E8:G8" si="0">IDENTIF_TAUX_DE_FINANCEMENT</f>
        <v>1</v>
      </c>
      <c r="F8" s="133">
        <f t="shared" si="0"/>
        <v>1</v>
      </c>
      <c r="G8" s="133">
        <f t="shared" si="0"/>
        <v>1</v>
      </c>
      <c r="H8" s="115"/>
      <c r="I8" s="115"/>
      <c r="J8" s="134"/>
    </row>
    <row r="9" spans="4:11" s="138" customFormat="1" ht="26.25" customHeight="1" x14ac:dyDescent="0.3">
      <c r="D9" s="135" t="s">
        <v>95</v>
      </c>
      <c r="E9" s="136" t="e">
        <f>IDENTIF_MONTANT_SUBSIDE</f>
        <v>#N/A</v>
      </c>
      <c r="F9" s="136">
        <f>(ROUND(F7*F8,2))</f>
        <v>0</v>
      </c>
      <c r="G9" s="137">
        <f>ROUND(G7*G8,2)</f>
        <v>0</v>
      </c>
      <c r="H9" s="115"/>
      <c r="I9" s="115"/>
    </row>
    <row r="10" spans="4:11" s="123" customFormat="1" ht="15.6" x14ac:dyDescent="0.3">
      <c r="D10" s="139"/>
      <c r="E10" s="140"/>
      <c r="F10" s="140"/>
      <c r="G10" s="141"/>
      <c r="H10" s="115"/>
      <c r="I10" s="115"/>
    </row>
    <row r="11" spans="4:11" ht="18.75" customHeight="1" x14ac:dyDescent="0.3">
      <c r="D11" s="143" t="s">
        <v>96</v>
      </c>
      <c r="E11" s="238">
        <f>G9-F9</f>
        <v>0</v>
      </c>
      <c r="F11" s="123"/>
      <c r="G11" s="123"/>
      <c r="H11" s="115"/>
      <c r="I11" s="115"/>
    </row>
    <row r="12" spans="4:11" ht="13.8" x14ac:dyDescent="0.3">
      <c r="D12" s="144"/>
      <c r="E12" s="142"/>
      <c r="F12" s="140"/>
      <c r="G12" s="141"/>
      <c r="H12" s="115"/>
      <c r="I12" s="115"/>
    </row>
    <row r="13" spans="4:11" s="146" customFormat="1" ht="13.8" x14ac:dyDescent="0.3">
      <c r="D13" s="249" t="s">
        <v>1524</v>
      </c>
      <c r="E13" s="145" t="e">
        <f>VLOOKUP(IDENTIF_NOM_REQUERANT,t_beneficiaires_p22[[Entité]:[Tranche 2024 (20%)]],6,FALSE)</f>
        <v>#N/A</v>
      </c>
      <c r="F13" s="115"/>
      <c r="G13" s="115"/>
      <c r="H13" s="250"/>
      <c r="I13" s="250"/>
      <c r="K13" s="251"/>
    </row>
    <row r="14" spans="4:11" s="116" customFormat="1" x14ac:dyDescent="0.3">
      <c r="D14" s="115"/>
      <c r="E14" s="142"/>
      <c r="F14" s="142"/>
      <c r="G14" s="142"/>
      <c r="H14" s="115"/>
      <c r="I14" s="115"/>
    </row>
    <row r="15" spans="4:11" thickBot="1" x14ac:dyDescent="0.35">
      <c r="D15" s="239"/>
      <c r="E15" s="240"/>
      <c r="F15" s="115"/>
      <c r="G15" s="115"/>
      <c r="H15" s="109"/>
    </row>
    <row r="16" spans="4:11" ht="13.8" x14ac:dyDescent="0.3">
      <c r="D16" s="408" t="s">
        <v>499</v>
      </c>
      <c r="E16" s="244" t="s">
        <v>497</v>
      </c>
      <c r="F16" s="244"/>
      <c r="G16" s="262"/>
      <c r="H16" s="115"/>
    </row>
    <row r="17" spans="4:8" s="146" customFormat="1" ht="13.95" customHeight="1" thickBot="1" x14ac:dyDescent="0.35">
      <c r="D17" s="409"/>
      <c r="E17" s="252" t="s">
        <v>490</v>
      </c>
      <c r="F17" s="252"/>
      <c r="G17" s="253" t="e">
        <f>'1-Identification'!B21</f>
        <v>#N/A</v>
      </c>
      <c r="H17" s="250"/>
    </row>
    <row r="18" spans="4:8" ht="13.95" customHeight="1" x14ac:dyDescent="0.3">
      <c r="D18" s="410" t="s">
        <v>498</v>
      </c>
      <c r="E18" s="256" t="s">
        <v>500</v>
      </c>
      <c r="F18" s="241"/>
      <c r="G18" s="210">
        <f>SYNT_FR_OLD+SYNTH_TOT_DC_ACC_2</f>
        <v>0</v>
      </c>
      <c r="H18" s="115"/>
    </row>
    <row r="19" spans="4:8" ht="13.95" customHeight="1" x14ac:dyDescent="0.3">
      <c r="D19" s="411"/>
      <c r="E19" s="257" t="s">
        <v>501</v>
      </c>
      <c r="F19" s="242"/>
      <c r="G19" s="211" t="e">
        <f>SYNTH_FR_liquidé-G18</f>
        <v>#N/A</v>
      </c>
      <c r="H19" s="115"/>
    </row>
    <row r="20" spans="4:8" ht="13.95" customHeight="1" x14ac:dyDescent="0.3">
      <c r="D20" s="411"/>
      <c r="E20" s="257" t="s">
        <v>1523</v>
      </c>
      <c r="F20" s="242"/>
      <c r="G20" s="211" t="e">
        <f>SYNTH_FR_liquidé+E13</f>
        <v>#N/A</v>
      </c>
      <c r="H20" s="115"/>
    </row>
    <row r="21" spans="4:8" ht="13.95" customHeight="1" x14ac:dyDescent="0.3">
      <c r="D21" s="411"/>
      <c r="E21" s="258" t="s">
        <v>1525</v>
      </c>
      <c r="F21" s="254"/>
      <c r="G21" s="255" t="e">
        <f>SYNTH_SUBSIDE-G18</f>
        <v>#N/A</v>
      </c>
      <c r="H21" s="115"/>
    </row>
    <row r="22" spans="4:8" ht="15" customHeight="1" thickBot="1" x14ac:dyDescent="0.35">
      <c r="D22" s="412"/>
      <c r="E22" s="259" t="s">
        <v>495</v>
      </c>
      <c r="F22" s="243"/>
      <c r="G22" s="209" t="e">
        <f>SYNTH_SUBSIDE-G20</f>
        <v>#N/A</v>
      </c>
      <c r="H22" s="109"/>
    </row>
    <row r="23" spans="4:8" ht="21" x14ac:dyDescent="0.4">
      <c r="D23" s="147"/>
      <c r="E23" s="147"/>
      <c r="F23" s="109"/>
    </row>
    <row r="24" spans="4:8" ht="21" x14ac:dyDescent="0.4">
      <c r="D24" s="147"/>
      <c r="E24" s="147"/>
      <c r="F24" s="148"/>
      <c r="G24" s="147"/>
    </row>
    <row r="25" spans="4:8" ht="21" x14ac:dyDescent="0.4">
      <c r="D25" s="147"/>
      <c r="E25" s="147"/>
      <c r="F25" s="148"/>
      <c r="G25" s="147"/>
    </row>
    <row r="26" spans="4:8" ht="21" x14ac:dyDescent="0.4">
      <c r="D26" s="147"/>
      <c r="E26" s="147"/>
      <c r="F26" s="148"/>
      <c r="G26" s="147"/>
    </row>
    <row r="27" spans="4:8" ht="21" x14ac:dyDescent="0.4">
      <c r="D27" s="147"/>
      <c r="E27" s="147"/>
      <c r="F27" s="148"/>
      <c r="G27" s="147"/>
    </row>
    <row r="28" spans="4:8" ht="21" x14ac:dyDescent="0.4">
      <c r="D28" s="147"/>
      <c r="E28" s="147"/>
      <c r="F28" s="148"/>
      <c r="G28" s="147"/>
    </row>
    <row r="29" spans="4:8" ht="21" x14ac:dyDescent="0.4">
      <c r="D29" s="147"/>
      <c r="E29" s="147"/>
      <c r="F29" s="148"/>
      <c r="G29" s="147"/>
    </row>
    <row r="30" spans="4:8" ht="21" x14ac:dyDescent="0.4">
      <c r="D30" s="147"/>
      <c r="E30" s="147"/>
      <c r="F30" s="148"/>
      <c r="G30" s="147"/>
    </row>
    <row r="31" spans="4:8" ht="21" x14ac:dyDescent="0.4">
      <c r="D31" s="147"/>
      <c r="E31" s="147"/>
      <c r="F31" s="148"/>
      <c r="G31" s="147"/>
    </row>
    <row r="32" spans="4:8" ht="21" x14ac:dyDescent="0.4">
      <c r="D32" s="147"/>
      <c r="E32" s="147"/>
      <c r="F32" s="148"/>
      <c r="G32" s="147"/>
    </row>
    <row r="33" spans="4:7" ht="21" x14ac:dyDescent="0.4">
      <c r="D33" s="147"/>
      <c r="E33" s="147"/>
      <c r="F33" s="148"/>
      <c r="G33" s="147"/>
    </row>
    <row r="34" spans="4:7" ht="21" x14ac:dyDescent="0.4">
      <c r="D34" s="147"/>
      <c r="E34" s="147"/>
      <c r="F34" s="148"/>
      <c r="G34" s="147"/>
    </row>
  </sheetData>
  <sheetProtection algorithmName="SHA-512" hashValue="Kp8R3ROem1LuCI2VxVDI5kiBYAsMb3iJJIUjh/8KcAVGtXWYiKUKOyizwck+LHmq9U9uVzzZC9Kg8VTUkDV3gw==" saltValue="6LmE5b8shO8LtmBmHzZ4Cw==" spinCount="100000" sheet="1" formatCells="0" formatColumns="0" formatRows="0"/>
  <customSheetViews>
    <customSheetView guid="{C3F58662-020B-4E56-B390-38D4A953D070}" scale="90" showPageBreaks="1" showGridLines="0" printArea="1" view="pageBreakPreview">
      <selection activeCell="AE46" sqref="AE46"/>
      <colBreaks count="2" manualBreakCount="2">
        <brk id="9" min="3" max="59" man="1"/>
        <brk id="17" min="3" max="59" man="1"/>
      </colBreaks>
      <pageMargins left="0" right="0" top="0" bottom="0" header="0" footer="0"/>
      <pageSetup paperSize="9" scale="61" fitToWidth="3" orientation="portrait" horizontalDpi="0" verticalDpi="0" r:id="rId1"/>
      <headerFooter>
        <oddHeader>&amp;F</oddHeader>
        <oddFooter>&amp;C&amp;A&amp;R&amp;P/&amp;N</oddFooter>
      </headerFooter>
    </customSheetView>
  </customSheetViews>
  <mergeCells count="2">
    <mergeCell ref="D16:D17"/>
    <mergeCell ref="D18:D22"/>
  </mergeCells>
  <conditionalFormatting sqref="E7:G7">
    <cfRule type="cellIs" dxfId="22" priority="313" operator="equal">
      <formula>0</formula>
    </cfRule>
  </conditionalFormatting>
  <conditionalFormatting sqref="E11">
    <cfRule type="cellIs" dxfId="21" priority="9" operator="lessThan">
      <formula>0</formula>
    </cfRule>
  </conditionalFormatting>
  <conditionalFormatting sqref="G7">
    <cfRule type="cellIs" dxfId="20" priority="8" operator="greaterThan">
      <formula>0</formula>
    </cfRule>
  </conditionalFormatting>
  <conditionalFormatting sqref="E9">
    <cfRule type="cellIs" dxfId="19" priority="5" operator="notEqual">
      <formula>TAB4_TOTAL_RW</formula>
    </cfRule>
  </conditionalFormatting>
  <conditionalFormatting sqref="G9">
    <cfRule type="cellIs" dxfId="18" priority="2" operator="greaterThan">
      <formula>$E$9</formula>
    </cfRule>
  </conditionalFormatting>
  <conditionalFormatting sqref="G19:G21">
    <cfRule type="cellIs" dxfId="17" priority="1" operator="lessThan">
      <formula>0</formula>
    </cfRule>
  </conditionalFormatting>
  <dataValidations xWindow="758" yWindow="679" count="2">
    <dataValidation allowBlank="1" showErrorMessage="1" prompt="Encodez dans la cellule C23 le montant justifié par les/les  DC remise(s) précemement (à compléter uniqument si vous avez introduit des DC intermédiaires)." sqref="G16" xr:uid="{6FDCA354-A71C-4189-BF45-E45BC42AF28C}"/>
    <dataValidation allowBlank="1" showInputMessage="1" showErrorMessage="1" prompt="Encodez dans la cellule C24 le montant liquidé par les/les  DC remise(s) précemement (à compléter uniqument si vous avez introduit des DC intermédiaires)." sqref="G17" xr:uid="{2CB54BC9-97D5-4BDA-BBFE-66577D7E5B13}"/>
  </dataValidations>
  <pageMargins left="0.19685039370078741" right="0.19685039370078741" top="0.39370078740157483" bottom="0.39370078740157483" header="0" footer="0"/>
  <pageSetup paperSize="9" scale="69" orientation="landscape" horizontalDpi="300" verticalDpi="300" r:id="rId2"/>
  <headerFooter>
    <oddHeader>&amp;F</oddHeader>
    <oddFooter>&amp;C&amp;A&amp;R&amp;P/&amp;N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C3">
    <tabColor rgb="FF33CCFF"/>
  </sheetPr>
  <dimension ref="B1:AZ61"/>
  <sheetViews>
    <sheetView showGridLines="0" topLeftCell="B15" zoomScaleNormal="100" zoomScaleSheetLayoutView="100" workbookViewId="0">
      <selection activeCell="D39" sqref="D39"/>
    </sheetView>
  </sheetViews>
  <sheetFormatPr baseColWidth="10" defaultColWidth="10.6640625" defaultRowHeight="15.6" x14ac:dyDescent="0.3"/>
  <cols>
    <col min="1" max="1" width="16.6640625" style="7" customWidth="1"/>
    <col min="2" max="2" width="17.33203125" style="7" customWidth="1"/>
    <col min="3" max="3" width="11.44140625" style="7" customWidth="1"/>
    <col min="4" max="4" width="11.6640625" style="7" customWidth="1"/>
    <col min="5" max="5" width="7.33203125" style="7" customWidth="1"/>
    <col min="6" max="6" width="12.33203125" style="7" customWidth="1"/>
    <col min="7" max="7" width="10.6640625" style="7" customWidth="1"/>
    <col min="8" max="8" width="11.6640625" style="7" customWidth="1"/>
    <col min="9" max="9" width="11.33203125" style="7" customWidth="1"/>
    <col min="10" max="10" width="8.33203125" style="7" customWidth="1"/>
    <col min="11" max="12" width="11.44140625" style="7"/>
    <col min="13" max="13" width="1.6640625" style="7"/>
    <col min="14" max="14" width="2.6640625" style="7" customWidth="1"/>
    <col min="15" max="25" width="1.6640625" style="7"/>
    <col min="26" max="26" width="1.6640625" style="51"/>
    <col min="27" max="28" width="1.6640625" style="51" customWidth="1"/>
    <col min="29" max="52" width="10.6640625" style="51"/>
    <col min="53" max="16384" width="10.6640625" style="7"/>
  </cols>
  <sheetData>
    <row r="1" spans="2:14" x14ac:dyDescent="0.3">
      <c r="B1" s="17"/>
      <c r="C1" s="17"/>
      <c r="D1" s="17"/>
      <c r="E1" s="17"/>
      <c r="F1" s="17"/>
      <c r="G1" s="17"/>
      <c r="H1" s="17"/>
      <c r="I1" s="18"/>
      <c r="J1" s="18" t="s">
        <v>97</v>
      </c>
    </row>
    <row r="2" spans="2:14" ht="10.5" customHeight="1" x14ac:dyDescent="0.3">
      <c r="B2" s="17"/>
      <c r="C2" s="17"/>
      <c r="D2" s="17"/>
      <c r="E2" s="17"/>
      <c r="F2" s="17"/>
      <c r="G2" s="17"/>
      <c r="H2" s="17"/>
      <c r="I2" s="18"/>
      <c r="J2" s="18" t="s">
        <v>98</v>
      </c>
    </row>
    <row r="3" spans="2:14" ht="6" customHeight="1" thickBot="1" x14ac:dyDescent="0.35">
      <c r="B3" s="17"/>
      <c r="C3" s="17"/>
      <c r="D3" s="17"/>
      <c r="E3" s="17"/>
      <c r="F3" s="17"/>
      <c r="G3" s="17"/>
      <c r="H3" s="17"/>
      <c r="I3" s="17"/>
      <c r="J3" s="19"/>
      <c r="M3" s="8"/>
      <c r="N3" s="8"/>
    </row>
    <row r="4" spans="2:14" ht="27" customHeight="1" thickTop="1" thickBot="1" x14ac:dyDescent="0.35">
      <c r="B4" s="413" t="s">
        <v>99</v>
      </c>
      <c r="C4" s="414"/>
      <c r="D4" s="414"/>
      <c r="E4" s="414"/>
      <c r="F4" s="414"/>
      <c r="G4" s="414"/>
      <c r="H4" s="414"/>
      <c r="I4" s="414"/>
      <c r="J4" s="415"/>
      <c r="K4" s="3"/>
      <c r="L4" s="3"/>
      <c r="M4" s="3"/>
    </row>
    <row r="5" spans="2:14" ht="6" hidden="1" customHeight="1" thickTop="1" x14ac:dyDescent="0.3">
      <c r="B5" s="20"/>
      <c r="C5" s="20"/>
      <c r="D5" s="20"/>
      <c r="E5" s="20"/>
      <c r="F5" s="20"/>
      <c r="G5" s="20"/>
      <c r="H5" s="20"/>
      <c r="I5" s="20"/>
      <c r="J5" s="19"/>
      <c r="K5" s="3"/>
      <c r="L5" s="3"/>
      <c r="M5" s="3"/>
    </row>
    <row r="6" spans="2:14" ht="17.25" customHeight="1" thickTop="1" x14ac:dyDescent="0.3">
      <c r="B6" s="16" t="s">
        <v>100</v>
      </c>
      <c r="C6" s="21"/>
      <c r="D6" s="21"/>
      <c r="E6" s="21"/>
      <c r="F6" s="21"/>
      <c r="G6" s="21"/>
      <c r="H6" s="21"/>
      <c r="I6" s="21"/>
      <c r="J6" s="19"/>
      <c r="K6" s="4"/>
      <c r="L6" s="4"/>
      <c r="M6" s="4"/>
    </row>
    <row r="7" spans="2:14" ht="15" customHeight="1" x14ac:dyDescent="0.3">
      <c r="B7" s="22" t="s">
        <v>101</v>
      </c>
      <c r="C7" s="417" t="str">
        <f>IF('1-Identification'!B4="","",'1-Identification'!B4)</f>
        <v/>
      </c>
      <c r="D7" s="418"/>
      <c r="E7" s="17"/>
      <c r="F7" s="23" t="s">
        <v>102</v>
      </c>
      <c r="G7" s="23" t="s">
        <v>103</v>
      </c>
      <c r="H7" s="17"/>
      <c r="I7" s="24" t="s">
        <v>104</v>
      </c>
      <c r="J7" s="17"/>
    </row>
    <row r="8" spans="2:14" ht="15" customHeight="1" x14ac:dyDescent="0.3">
      <c r="B8" s="22" t="s">
        <v>105</v>
      </c>
      <c r="C8" s="417" t="e">
        <f>IF('1-Identification'!B14="","",'1-Identification'!B14)</f>
        <v>#N/A</v>
      </c>
      <c r="D8" s="418"/>
      <c r="E8" s="17"/>
      <c r="F8" s="17"/>
      <c r="G8" s="17"/>
      <c r="H8" s="24"/>
      <c r="I8" s="24"/>
      <c r="J8" s="17"/>
    </row>
    <row r="9" spans="2:14" ht="15" customHeight="1" x14ac:dyDescent="0.3">
      <c r="B9" s="25" t="s">
        <v>106</v>
      </c>
      <c r="C9" s="417" t="e">
        <f>IF('1-Identification'!B5="","",'1-Identification'!B5)</f>
        <v>#N/A</v>
      </c>
      <c r="D9" s="418"/>
      <c r="E9" s="17"/>
      <c r="F9" s="17"/>
      <c r="G9" s="17"/>
      <c r="H9" s="26"/>
      <c r="I9" s="24"/>
      <c r="J9" s="17"/>
    </row>
    <row r="10" spans="2:14" ht="15" customHeight="1" x14ac:dyDescent="0.3">
      <c r="B10" s="25" t="str">
        <f>'4-Déclaration de créance'!A26</f>
        <v>IBAN :</v>
      </c>
      <c r="C10" s="417" t="e">
        <f>IF('4-Déclaration de créance'!B26="","",'4-Déclaration de créance'!B26)</f>
        <v>#N/A</v>
      </c>
      <c r="D10" s="418"/>
      <c r="E10" s="17"/>
      <c r="F10" s="22" t="s">
        <v>107</v>
      </c>
      <c r="G10" s="46" t="str">
        <f>IF('1-Identification'!F15="","",'1-Identification'!F15)</f>
        <v/>
      </c>
      <c r="H10" s="27" t="s">
        <v>89</v>
      </c>
      <c r="I10" s="47" t="str">
        <f>IF('1-Identification'!F16="","",'1-Identification'!F16)</f>
        <v/>
      </c>
      <c r="J10" s="17"/>
    </row>
    <row r="11" spans="2:14" ht="15" customHeight="1" x14ac:dyDescent="0.3">
      <c r="B11" s="25" t="str">
        <f>'4-Déclaration de créance'!A27</f>
        <v>BIC :</v>
      </c>
      <c r="C11" s="417">
        <f>IF('4-Déclaration de créance'!B27="","",'4-Déclaration de créance'!B27)</f>
        <v>0</v>
      </c>
      <c r="D11" s="418"/>
      <c r="E11" s="17"/>
      <c r="F11" s="28"/>
      <c r="G11" s="17"/>
      <c r="H11" s="17"/>
      <c r="I11" s="29"/>
      <c r="J11" s="17"/>
    </row>
    <row r="12" spans="2:14" ht="15" customHeight="1" x14ac:dyDescent="0.3">
      <c r="B12" s="25" t="s">
        <v>108</v>
      </c>
      <c r="C12" s="423">
        <f>IF('4-Déclaration de créance'!B28="","",'4-Déclaration de créance'!B28)</f>
        <v>0</v>
      </c>
      <c r="D12" s="424"/>
      <c r="E12" s="17"/>
      <c r="F12" s="426" t="s">
        <v>109</v>
      </c>
      <c r="G12" s="426"/>
      <c r="H12" s="426"/>
      <c r="I12" s="98">
        <f>DC_TOT_DECL</f>
        <v>0</v>
      </c>
    </row>
    <row r="13" spans="2:14" ht="15" customHeight="1" x14ac:dyDescent="0.3">
      <c r="B13" s="25" t="str">
        <f>'4-Déclaration de créance'!A29</f>
        <v>ouvert au nom de :</v>
      </c>
      <c r="C13" s="420">
        <f>IF('4-Déclaration de créance'!B29="","",'4-Déclaration de créance'!B29)</f>
        <v>0</v>
      </c>
      <c r="D13" s="420"/>
      <c r="E13" s="420"/>
      <c r="F13" s="17"/>
      <c r="G13" s="24"/>
      <c r="H13" s="24"/>
      <c r="I13" s="24"/>
      <c r="J13" s="17"/>
    </row>
    <row r="14" spans="2:14" ht="6" customHeight="1" x14ac:dyDescent="0.3">
      <c r="B14" s="29"/>
      <c r="C14" s="29"/>
      <c r="D14" s="17"/>
      <c r="E14" s="29"/>
      <c r="F14" s="17"/>
      <c r="G14" s="29"/>
      <c r="H14" s="17"/>
      <c r="I14" s="17"/>
      <c r="J14" s="17"/>
    </row>
    <row r="15" spans="2:14" ht="18.75" customHeight="1" x14ac:dyDescent="0.3">
      <c r="B15" s="29"/>
      <c r="C15" s="30" t="s">
        <v>110</v>
      </c>
      <c r="D15" s="235" t="s">
        <v>760</v>
      </c>
      <c r="F15" s="30"/>
      <c r="G15" s="30"/>
      <c r="H15" s="30"/>
      <c r="I15" s="30"/>
    </row>
    <row r="16" spans="2:14" ht="13.5" customHeight="1" x14ac:dyDescent="0.3">
      <c r="B16" s="22" t="s">
        <v>111</v>
      </c>
      <c r="C16" s="70" t="e">
        <f>'1-Identification'!B20</f>
        <v>#N/A</v>
      </c>
      <c r="D16" s="45" t="e">
        <f>IDENTIF_ENGAGEMENT_JURIDIQUE</f>
        <v>#N/A</v>
      </c>
    </row>
    <row r="17" spans="2:52" ht="15" customHeight="1" x14ac:dyDescent="0.3">
      <c r="B17" s="31"/>
      <c r="C17" s="31"/>
      <c r="D17" s="31"/>
      <c r="E17" s="31"/>
      <c r="F17" s="17"/>
      <c r="G17" s="31"/>
      <c r="H17" s="31"/>
      <c r="I17" s="31"/>
      <c r="J17" s="17"/>
    </row>
    <row r="18" spans="2:52" s="9" customFormat="1" ht="23.25" customHeight="1" x14ac:dyDescent="0.3">
      <c r="B18" s="22" t="s">
        <v>112</v>
      </c>
      <c r="C18" s="100"/>
      <c r="D18" s="101" t="s">
        <v>479</v>
      </c>
      <c r="E18" s="32"/>
      <c r="F18" s="22" t="s">
        <v>114</v>
      </c>
      <c r="G18" s="48"/>
      <c r="H18" s="27" t="s">
        <v>115</v>
      </c>
      <c r="I18" s="416"/>
      <c r="J18" s="416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</row>
    <row r="19" spans="2:52" s="9" customFormat="1" ht="23.25" customHeight="1" x14ac:dyDescent="0.3">
      <c r="B19" s="33" t="s">
        <v>116</v>
      </c>
      <c r="C19" s="427" t="s">
        <v>117</v>
      </c>
      <c r="D19" s="427"/>
      <c r="E19" s="32"/>
      <c r="F19" s="32"/>
      <c r="G19" s="32"/>
      <c r="H19" s="32"/>
      <c r="I19" s="28"/>
      <c r="J19" s="3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</row>
    <row r="20" spans="2:52" ht="9" customHeight="1" x14ac:dyDescent="0.3">
      <c r="B20" s="17"/>
      <c r="C20" s="17"/>
      <c r="D20" s="17"/>
      <c r="E20" s="17"/>
      <c r="F20" s="17"/>
      <c r="G20" s="17"/>
      <c r="H20" s="17"/>
      <c r="I20" s="17"/>
      <c r="J20" s="17"/>
    </row>
    <row r="21" spans="2:52" ht="19.5" customHeight="1" x14ac:dyDescent="0.3">
      <c r="B21" s="34" t="s">
        <v>118</v>
      </c>
      <c r="C21" s="35"/>
      <c r="D21" s="32"/>
      <c r="E21" s="32"/>
      <c r="F21" s="32"/>
      <c r="G21" s="32"/>
      <c r="H21" s="32"/>
      <c r="I21" s="32"/>
      <c r="J21" s="17"/>
    </row>
    <row r="22" spans="2:52" ht="13.5" customHeight="1" x14ac:dyDescent="0.3">
      <c r="B22" s="422" t="s">
        <v>119</v>
      </c>
      <c r="C22" s="422"/>
      <c r="D22" s="422"/>
      <c r="E22" s="422"/>
      <c r="F22" s="422"/>
      <c r="G22" s="422"/>
      <c r="H22" s="422"/>
      <c r="I22" s="422"/>
      <c r="J22" s="422"/>
    </row>
    <row r="23" spans="2:52" ht="15" customHeight="1" x14ac:dyDescent="0.3">
      <c r="B23" s="32"/>
      <c r="C23" s="32"/>
      <c r="D23" s="36" t="s">
        <v>120</v>
      </c>
      <c r="E23" s="17"/>
      <c r="F23" s="17"/>
      <c r="G23" s="17"/>
      <c r="H23" s="425"/>
      <c r="I23" s="425"/>
      <c r="J23" s="17"/>
    </row>
    <row r="24" spans="2:52" ht="22.5" customHeight="1" x14ac:dyDescent="0.3">
      <c r="B24" s="419" t="s">
        <v>121</v>
      </c>
      <c r="C24" s="419"/>
      <c r="D24" s="61"/>
      <c r="E24" s="17"/>
      <c r="F24" s="17"/>
      <c r="G24" s="17"/>
      <c r="H24" s="17"/>
      <c r="I24" s="17"/>
      <c r="J24" s="17"/>
    </row>
    <row r="25" spans="2:52" ht="35.25" customHeight="1" x14ac:dyDescent="0.3">
      <c r="B25" s="419" t="s">
        <v>122</v>
      </c>
      <c r="C25" s="419"/>
      <c r="D25" s="61"/>
      <c r="E25" s="37"/>
      <c r="F25" s="17"/>
      <c r="G25" s="17"/>
      <c r="H25" s="17"/>
      <c r="I25" s="17"/>
      <c r="J25" s="17"/>
    </row>
    <row r="26" spans="2:52" ht="27.75" customHeight="1" x14ac:dyDescent="0.3">
      <c r="B26" s="421" t="s">
        <v>123</v>
      </c>
      <c r="C26" s="421"/>
      <c r="D26" s="61"/>
      <c r="E26" s="17"/>
      <c r="F26" s="17"/>
      <c r="G26" s="17"/>
      <c r="H26" s="17"/>
      <c r="I26" s="17"/>
      <c r="J26" s="17"/>
    </row>
    <row r="27" spans="2:52" ht="3.75" customHeight="1" x14ac:dyDescent="0.3">
      <c r="B27" s="17"/>
      <c r="C27" s="17"/>
      <c r="D27" s="17"/>
      <c r="E27" s="17"/>
      <c r="F27" s="17"/>
      <c r="G27" s="17"/>
      <c r="H27" s="17"/>
      <c r="I27" s="32"/>
      <c r="J27" s="17"/>
    </row>
    <row r="28" spans="2:52" ht="3.75" customHeight="1" x14ac:dyDescent="0.3">
      <c r="B28" s="17"/>
      <c r="C28" s="17"/>
      <c r="D28" s="17"/>
      <c r="E28" s="17"/>
      <c r="F28" s="17"/>
      <c r="G28" s="17"/>
      <c r="H28" s="17"/>
      <c r="I28" s="32"/>
      <c r="J28" s="17"/>
    </row>
    <row r="29" spans="2:52" ht="4.5" customHeight="1" x14ac:dyDescent="0.3">
      <c r="B29" s="17"/>
      <c r="C29" s="17"/>
      <c r="D29" s="17"/>
      <c r="E29" s="17"/>
      <c r="F29" s="17"/>
      <c r="G29" s="17"/>
      <c r="H29" s="17"/>
      <c r="I29" s="32"/>
      <c r="J29" s="17"/>
    </row>
    <row r="30" spans="2:52" x14ac:dyDescent="0.3">
      <c r="B30" s="34" t="s">
        <v>124</v>
      </c>
      <c r="C30" s="32"/>
      <c r="D30" s="32"/>
      <c r="E30" s="32"/>
      <c r="F30" s="32"/>
      <c r="G30" s="32"/>
      <c r="H30" s="32"/>
      <c r="I30" s="32"/>
      <c r="J30" s="17"/>
    </row>
    <row r="31" spans="2:52" ht="58.5" customHeight="1" x14ac:dyDescent="0.3">
      <c r="B31" s="432" t="s">
        <v>125</v>
      </c>
      <c r="C31" s="432"/>
      <c r="D31" s="432"/>
      <c r="E31" s="38" t="s">
        <v>126</v>
      </c>
      <c r="F31" s="433" t="s">
        <v>1551</v>
      </c>
      <c r="G31" s="433"/>
      <c r="H31" s="433"/>
      <c r="I31" s="433"/>
      <c r="J31" s="433"/>
    </row>
    <row r="32" spans="2:52" x14ac:dyDescent="0.3">
      <c r="B32" s="17"/>
      <c r="C32" s="17"/>
      <c r="D32" s="17"/>
      <c r="E32" s="17"/>
      <c r="F32" s="17"/>
      <c r="G32" s="17"/>
      <c r="H32" s="17"/>
      <c r="I32" s="17"/>
      <c r="J32" s="17"/>
    </row>
    <row r="33" spans="2:52" x14ac:dyDescent="0.3">
      <c r="B33" s="33" t="s">
        <v>127</v>
      </c>
      <c r="C33" s="416"/>
      <c r="D33" s="416"/>
      <c r="E33" s="416"/>
      <c r="F33" s="416"/>
      <c r="G33" s="416"/>
      <c r="H33" s="416"/>
      <c r="I33" s="416"/>
      <c r="J33" s="416"/>
    </row>
    <row r="34" spans="2:52" customFormat="1" ht="14.4" x14ac:dyDescent="0.3">
      <c r="B34" s="17"/>
      <c r="C34" s="17"/>
      <c r="D34" s="17"/>
      <c r="E34" s="17"/>
      <c r="F34" s="17"/>
      <c r="G34" s="17"/>
      <c r="H34" s="17"/>
      <c r="I34" s="17"/>
      <c r="J34" s="17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</row>
    <row r="35" spans="2:52" customFormat="1" ht="14.4" x14ac:dyDescent="0.3">
      <c r="B35" s="39" t="s">
        <v>128</v>
      </c>
      <c r="C35" s="17"/>
      <c r="D35" s="17"/>
      <c r="E35" s="17"/>
      <c r="F35" s="39" t="s">
        <v>129</v>
      </c>
      <c r="G35" s="17"/>
      <c r="H35" s="17"/>
      <c r="I35" s="17"/>
      <c r="J35" s="17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</row>
    <row r="36" spans="2:52" ht="24" customHeight="1" x14ac:dyDescent="0.3">
      <c r="B36" s="40"/>
      <c r="C36" s="38" t="s">
        <v>130</v>
      </c>
      <c r="D36" s="428" t="s">
        <v>131</v>
      </c>
      <c r="E36" s="428"/>
      <c r="F36" s="17"/>
      <c r="G36" s="17"/>
      <c r="H36" s="17"/>
      <c r="I36" s="17"/>
      <c r="J36" s="17"/>
    </row>
    <row r="37" spans="2:52" ht="18.75" customHeight="1" x14ac:dyDescent="0.3">
      <c r="B37" s="41" t="s">
        <v>111</v>
      </c>
      <c r="C37" s="44" t="e">
        <f>IF('1-Identification'!$B23="","",'1-Identification'!$B$23)</f>
        <v>#N/A</v>
      </c>
      <c r="D37" s="80" t="e">
        <f>SYNTH_MONTANT_LIQUIDE</f>
        <v>#N/A</v>
      </c>
      <c r="E37" s="17"/>
      <c r="F37" s="42" t="s">
        <v>132</v>
      </c>
      <c r="G37" s="69" t="e">
        <f>SYNTH_SOLDE_SUBV</f>
        <v>#N/A</v>
      </c>
      <c r="H37" s="49"/>
      <c r="I37" s="50"/>
      <c r="J37" s="17"/>
    </row>
    <row r="38" spans="2:52" ht="17.25" customHeight="1" x14ac:dyDescent="0.3">
      <c r="B38" s="17"/>
      <c r="C38" s="17"/>
      <c r="D38" s="60"/>
      <c r="E38" s="17"/>
      <c r="F38" s="428" t="s">
        <v>133</v>
      </c>
      <c r="G38" s="428"/>
      <c r="H38" s="428"/>
      <c r="I38" s="428"/>
      <c r="J38" s="428"/>
    </row>
    <row r="39" spans="2:52" ht="26.25" customHeight="1" x14ac:dyDescent="0.3">
      <c r="B39" s="431" t="s">
        <v>134</v>
      </c>
      <c r="C39" s="431"/>
      <c r="D39" s="68">
        <f>SYNTH_TOT_DC_ACC_2</f>
        <v>0</v>
      </c>
      <c r="E39" s="17"/>
      <c r="F39" s="428"/>
      <c r="G39" s="428"/>
      <c r="H39" s="428"/>
      <c r="I39" s="428"/>
      <c r="J39" s="428"/>
    </row>
    <row r="40" spans="2:52" ht="2.25" customHeight="1" x14ac:dyDescent="0.3">
      <c r="B40" s="17"/>
      <c r="C40" s="32"/>
      <c r="D40" s="43"/>
      <c r="E40" s="17"/>
      <c r="F40" s="428"/>
      <c r="G40" s="428"/>
      <c r="H40" s="428"/>
      <c r="I40" s="428"/>
      <c r="J40" s="428"/>
    </row>
    <row r="41" spans="2:52" ht="2.25" customHeight="1" x14ac:dyDescent="0.3">
      <c r="B41" s="17"/>
      <c r="C41" s="17"/>
      <c r="D41" s="17"/>
      <c r="E41" s="17"/>
      <c r="F41" s="17"/>
      <c r="G41" s="17"/>
      <c r="H41" s="17"/>
      <c r="I41" s="17"/>
      <c r="J41" s="17"/>
    </row>
    <row r="42" spans="2:52" x14ac:dyDescent="0.3">
      <c r="B42" s="39" t="s">
        <v>135</v>
      </c>
      <c r="C42" s="32"/>
      <c r="D42" s="32"/>
      <c r="E42" s="32"/>
      <c r="F42" s="17"/>
      <c r="G42" s="17"/>
      <c r="H42" s="17"/>
      <c r="I42" s="17"/>
      <c r="J42" s="17"/>
    </row>
    <row r="43" spans="2:52" ht="18.75" customHeight="1" x14ac:dyDescent="0.3">
      <c r="B43" s="32" t="s">
        <v>136</v>
      </c>
      <c r="C43" s="17"/>
      <c r="D43" s="17"/>
      <c r="E43" s="17"/>
      <c r="F43" s="17"/>
      <c r="G43" s="17"/>
      <c r="H43" s="17"/>
      <c r="I43" s="17"/>
      <c r="J43" s="17"/>
    </row>
    <row r="44" spans="2:52" ht="24.75" customHeight="1" x14ac:dyDescent="0.3">
      <c r="B44" s="33" t="s">
        <v>137</v>
      </c>
      <c r="C44" s="430" t="str">
        <f>D18</f>
        <v xml:space="preserve">Gestionnaire  </v>
      </c>
      <c r="D44" s="430"/>
      <c r="E44" s="32"/>
      <c r="F44" s="37"/>
      <c r="G44" s="37" t="s">
        <v>138</v>
      </c>
      <c r="H44" s="17"/>
      <c r="I44" s="32"/>
      <c r="J44" s="17"/>
    </row>
    <row r="45" spans="2:52" ht="39" customHeight="1" x14ac:dyDescent="0.3">
      <c r="B45" s="33" t="s">
        <v>139</v>
      </c>
      <c r="C45" s="429"/>
      <c r="D45" s="429"/>
      <c r="E45" s="32"/>
      <c r="F45" s="32"/>
      <c r="G45" s="32"/>
      <c r="H45" s="32"/>
      <c r="I45" s="32"/>
      <c r="J45" s="17"/>
    </row>
    <row r="60" spans="2:52" s="10" customFormat="1" x14ac:dyDescent="0.3">
      <c r="B60" s="1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</row>
    <row r="61" spans="2:52" s="10" customFormat="1" x14ac:dyDescent="0.3">
      <c r="B61" s="1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</row>
  </sheetData>
  <sheetProtection sheet="1" formatColumns="0" formatRows="0"/>
  <customSheetViews>
    <customSheetView guid="{C3F58662-020B-4E56-B390-38D4A953D070}" fitToPage="1">
      <selection activeCell="I31" sqref="I31"/>
      <pageMargins left="0" right="0" top="0" bottom="0" header="0" footer="0"/>
      <printOptions horizontalCentered="1"/>
      <pageSetup paperSize="9" scale="69" orientation="portrait" horizontalDpi="0" verticalDpi="0" r:id="rId1"/>
      <headerFooter>
        <oddHeader>&amp;F</oddHeader>
        <oddFooter>&amp;C&amp;A &amp;P/&amp;N</oddFooter>
      </headerFooter>
    </customSheetView>
  </customSheetViews>
  <mergeCells count="24">
    <mergeCell ref="C19:D19"/>
    <mergeCell ref="F38:J40"/>
    <mergeCell ref="C45:D45"/>
    <mergeCell ref="C44:D44"/>
    <mergeCell ref="B39:C39"/>
    <mergeCell ref="B31:D31"/>
    <mergeCell ref="F31:J31"/>
    <mergeCell ref="D36:E36"/>
    <mergeCell ref="B4:J4"/>
    <mergeCell ref="C33:J33"/>
    <mergeCell ref="C10:D10"/>
    <mergeCell ref="B24:C24"/>
    <mergeCell ref="C13:E13"/>
    <mergeCell ref="C7:D7"/>
    <mergeCell ref="C8:D8"/>
    <mergeCell ref="B26:C26"/>
    <mergeCell ref="B25:C25"/>
    <mergeCell ref="B22:J22"/>
    <mergeCell ref="C11:D11"/>
    <mergeCell ref="C12:D12"/>
    <mergeCell ref="C9:D9"/>
    <mergeCell ref="H23:I23"/>
    <mergeCell ref="F12:H12"/>
    <mergeCell ref="I18:J18"/>
  </mergeCells>
  <dataValidations count="2">
    <dataValidation type="list" showInputMessage="1" showErrorMessage="1" sqref="C19" xr:uid="{00000000-0002-0000-0800-000000000000}">
      <formula1>LISTE_AG_COMPTA</formula1>
    </dataValidation>
    <dataValidation type="list" allowBlank="1" showInputMessage="1" showErrorMessage="1" sqref="C44:D44" xr:uid="{FF975B19-B222-4461-9F7F-90EED3418CCB}">
      <formula1>LISTE_AG_TECH</formula1>
    </dataValidation>
  </dataValidations>
  <printOptions horizontalCentered="1" verticalCentered="1"/>
  <pageMargins left="0" right="0" top="0" bottom="0" header="0" footer="0"/>
  <pageSetup paperSize="9" scale="96" orientation="portrait" blackAndWhite="1" horizontalDpi="1200" verticalDpi="1200" r:id="rId2"/>
  <headerFooter scaleWithDoc="0">
    <oddHeader>&amp;C&amp;8&amp;A - &amp;F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5" name="Check Box 1">
              <controlPr defaultSize="0" autoFill="0" autoLine="0" autoPict="0">
                <anchor moveWithCells="1">
                  <from>
                    <xdr:col>7</xdr:col>
                    <xdr:colOff>60960</xdr:colOff>
                    <xdr:row>6</xdr:row>
                    <xdr:rowOff>22860</xdr:rowOff>
                  </from>
                  <to>
                    <xdr:col>7</xdr:col>
                    <xdr:colOff>365760</xdr:colOff>
                    <xdr:row>7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6" name="Check Box 2">
              <controlPr defaultSize="0" autoFill="0" autoLine="0" autoPict="0">
                <anchor moveWithCells="1">
                  <from>
                    <xdr:col>9</xdr:col>
                    <xdr:colOff>0</xdr:colOff>
                    <xdr:row>6</xdr:row>
                    <xdr:rowOff>22860</xdr:rowOff>
                  </from>
                  <to>
                    <xdr:col>9</xdr:col>
                    <xdr:colOff>304800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1</xdr:col>
                    <xdr:colOff>0</xdr:colOff>
                    <xdr:row>24</xdr:row>
                    <xdr:rowOff>144780</xdr:rowOff>
                  </from>
                  <to>
                    <xdr:col>1</xdr:col>
                    <xdr:colOff>304800</xdr:colOff>
                    <xdr:row>24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8" name="Check Box 6">
              <controlPr defaultSize="0" autoFill="0" autoLine="0" autoPict="0">
                <anchor moveWithCells="1">
                  <from>
                    <xdr:col>1</xdr:col>
                    <xdr:colOff>22860</xdr:colOff>
                    <xdr:row>25</xdr:row>
                    <xdr:rowOff>22860</xdr:rowOff>
                  </from>
                  <to>
                    <xdr:col>1</xdr:col>
                    <xdr:colOff>327660</xdr:colOff>
                    <xdr:row>25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9" name="Check Box 7">
              <controlPr defaultSize="0" autoFill="0" autoLine="0" autoPict="0">
                <anchor moveWithCells="1">
                  <from>
                    <xdr:col>1</xdr:col>
                    <xdr:colOff>22860</xdr:colOff>
                    <xdr:row>30</xdr:row>
                    <xdr:rowOff>266700</xdr:rowOff>
                  </from>
                  <to>
                    <xdr:col>1</xdr:col>
                    <xdr:colOff>327660</xdr:colOff>
                    <xdr:row>30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0" name="Check Box 8">
              <controlPr defaultSize="0" autoFill="0" autoLine="0" autoPict="0">
                <anchor moveWithCells="1">
                  <from>
                    <xdr:col>5</xdr:col>
                    <xdr:colOff>106680</xdr:colOff>
                    <xdr:row>30</xdr:row>
                    <xdr:rowOff>137160</xdr:rowOff>
                  </from>
                  <to>
                    <xdr:col>5</xdr:col>
                    <xdr:colOff>106680</xdr:colOff>
                    <xdr:row>30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1" name="Check Box 15">
              <controlPr defaultSize="0" autoFill="0" autoLine="0" autoPict="0">
                <anchor moveWithCells="1">
                  <from>
                    <xdr:col>1</xdr:col>
                    <xdr:colOff>22860</xdr:colOff>
                    <xdr:row>23</xdr:row>
                    <xdr:rowOff>30480</xdr:rowOff>
                  </from>
                  <to>
                    <xdr:col>1</xdr:col>
                    <xdr:colOff>327660</xdr:colOff>
                    <xdr:row>24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12" name="Check Box 18">
              <controlPr defaultSize="0" autoFill="0" autoLine="0" autoPict="0">
                <anchor moveWithCells="1">
                  <from>
                    <xdr:col>5</xdr:col>
                    <xdr:colOff>76200</xdr:colOff>
                    <xdr:row>30</xdr:row>
                    <xdr:rowOff>190500</xdr:rowOff>
                  </from>
                  <to>
                    <xdr:col>5</xdr:col>
                    <xdr:colOff>381000</xdr:colOff>
                    <xdr:row>30</xdr:row>
                    <xdr:rowOff>495300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7ED722-A58B-4487-A8DA-097835184E56}">
          <x14:formula1>
            <xm:f>LISTE!$I:$I</xm:f>
          </x14:formula1>
          <xm:sqref>D18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_ORDO">
    <tabColor rgb="FF33CCFF"/>
  </sheetPr>
  <dimension ref="B1:P37"/>
  <sheetViews>
    <sheetView showGridLines="0" zoomScale="90" zoomScaleNormal="90" zoomScaleSheetLayoutView="90" workbookViewId="0">
      <selection activeCell="C8" sqref="C8"/>
    </sheetView>
  </sheetViews>
  <sheetFormatPr baseColWidth="10" defaultColWidth="10.6640625" defaultRowHeight="14.4" x14ac:dyDescent="0.3"/>
  <cols>
    <col min="1" max="1" width="0.44140625" customWidth="1"/>
    <col min="2" max="2" width="25.6640625" customWidth="1"/>
    <col min="3" max="18" width="14.33203125" customWidth="1"/>
  </cols>
  <sheetData>
    <row r="1" spans="2:16" ht="23.25" customHeight="1" x14ac:dyDescent="0.3">
      <c r="B1" s="434" t="s">
        <v>140</v>
      </c>
      <c r="C1" s="435"/>
      <c r="D1" s="435"/>
      <c r="E1" s="435"/>
      <c r="F1" s="435"/>
      <c r="G1" s="435"/>
      <c r="H1" s="435"/>
      <c r="I1" s="435"/>
      <c r="J1" s="435"/>
      <c r="K1" s="435"/>
      <c r="L1" s="435"/>
      <c r="P1" s="2" t="s">
        <v>59</v>
      </c>
    </row>
    <row r="2" spans="2:16" ht="23.25" customHeight="1" thickBot="1" x14ac:dyDescent="0.35">
      <c r="B2" s="53"/>
      <c r="C2" s="54" t="s">
        <v>141</v>
      </c>
    </row>
    <row r="3" spans="2:16" ht="15" customHeight="1" x14ac:dyDescent="0.3">
      <c r="B3" s="55" t="s">
        <v>142</v>
      </c>
      <c r="C3" s="56" t="e">
        <f>IDENTIF_N_VISA</f>
        <v>#N/A</v>
      </c>
      <c r="P3" s="1" t="s">
        <v>143</v>
      </c>
    </row>
    <row r="4" spans="2:16" ht="15" customHeight="1" x14ac:dyDescent="0.3">
      <c r="B4" s="260" t="s">
        <v>1527</v>
      </c>
      <c r="C4" s="261" t="e">
        <f>IDENTIF_ENGAGEMENT_JURIDIQUE</f>
        <v>#N/A</v>
      </c>
      <c r="P4" s="1"/>
    </row>
    <row r="5" spans="2:16" ht="15" customHeight="1" thickBot="1" x14ac:dyDescent="0.35">
      <c r="B5" s="57" t="s">
        <v>144</v>
      </c>
      <c r="C5" s="58">
        <f>'1-Identification'!B4</f>
        <v>0</v>
      </c>
      <c r="P5" s="1"/>
    </row>
    <row r="6" spans="2:16" ht="15" customHeight="1" thickBot="1" x14ac:dyDescent="0.35">
      <c r="B6" s="59" t="s">
        <v>145</v>
      </c>
      <c r="C6" s="73" t="e">
        <f>'1-Identification'!B20</f>
        <v>#N/A</v>
      </c>
      <c r="P6" s="1"/>
    </row>
    <row r="7" spans="2:16" ht="15" customHeight="1" thickBot="1" x14ac:dyDescent="0.35">
      <c r="B7" s="55" t="s">
        <v>1554</v>
      </c>
      <c r="C7" s="74" t="e">
        <f>'1-Identification'!B21</f>
        <v>#N/A</v>
      </c>
      <c r="P7" s="1"/>
    </row>
    <row r="8" spans="2:16" ht="15" customHeight="1" x14ac:dyDescent="0.3">
      <c r="B8" s="55" t="s">
        <v>1555</v>
      </c>
      <c r="C8" s="75" t="e">
        <f>'Synthèse-SPW'!E13</f>
        <v>#N/A</v>
      </c>
      <c r="P8" s="1"/>
    </row>
    <row r="11" spans="2:16" ht="9" customHeight="1" x14ac:dyDescent="0.3"/>
    <row r="12" spans="2:16" x14ac:dyDescent="0.3">
      <c r="B12" s="5"/>
      <c r="C12" s="5"/>
      <c r="D12" s="5"/>
      <c r="E12" s="5"/>
      <c r="F12" s="5"/>
      <c r="G12" s="5"/>
    </row>
    <row r="13" spans="2:16" x14ac:dyDescent="0.3">
      <c r="B13" s="5"/>
      <c r="C13" s="5"/>
      <c r="D13" s="5"/>
      <c r="E13" s="5"/>
      <c r="F13" s="5"/>
      <c r="G13" s="5"/>
    </row>
    <row r="14" spans="2:16" x14ac:dyDescent="0.3">
      <c r="B14" s="5"/>
      <c r="C14" s="5"/>
      <c r="D14" s="5"/>
    </row>
    <row r="15" spans="2:16" x14ac:dyDescent="0.3">
      <c r="B15" s="5"/>
      <c r="C15" s="5"/>
      <c r="D15" s="5"/>
    </row>
    <row r="16" spans="2:16" x14ac:dyDescent="0.3">
      <c r="B16" s="5"/>
      <c r="C16" s="5"/>
      <c r="D16" s="5"/>
    </row>
    <row r="17" spans="2:9" x14ac:dyDescent="0.3">
      <c r="B17" s="5"/>
      <c r="C17" s="5"/>
      <c r="D17" s="5"/>
      <c r="E17" s="5"/>
    </row>
    <row r="18" spans="2:9" x14ac:dyDescent="0.3">
      <c r="B18" s="5"/>
      <c r="C18" s="5"/>
      <c r="D18" s="5"/>
      <c r="E18" s="5"/>
    </row>
    <row r="19" spans="2:9" x14ac:dyDescent="0.3">
      <c r="B19" s="5"/>
      <c r="C19" s="5"/>
      <c r="D19" s="5"/>
      <c r="E19" s="5"/>
    </row>
    <row r="20" spans="2:9" x14ac:dyDescent="0.3">
      <c r="B20" s="5"/>
      <c r="C20" s="5"/>
      <c r="D20" s="5"/>
      <c r="E20" s="5"/>
    </row>
    <row r="21" spans="2:9" x14ac:dyDescent="0.3">
      <c r="B21" s="5"/>
      <c r="C21" s="5"/>
      <c r="D21" s="5"/>
      <c r="E21" s="5"/>
    </row>
    <row r="22" spans="2:9" x14ac:dyDescent="0.3">
      <c r="B22" s="5"/>
      <c r="C22" s="5"/>
      <c r="D22" s="5"/>
      <c r="E22" s="5"/>
    </row>
    <row r="23" spans="2:9" x14ac:dyDescent="0.3">
      <c r="B23" s="5"/>
      <c r="C23" s="5"/>
      <c r="D23" s="5"/>
      <c r="E23" s="5"/>
    </row>
    <row r="24" spans="2:9" x14ac:dyDescent="0.3">
      <c r="B24" s="5"/>
      <c r="C24" s="5"/>
      <c r="D24" s="5"/>
      <c r="E24" s="5"/>
    </row>
    <row r="25" spans="2:9" x14ac:dyDescent="0.3">
      <c r="B25" s="5"/>
      <c r="C25" s="5"/>
      <c r="D25" s="5"/>
      <c r="E25" s="5"/>
    </row>
    <row r="26" spans="2:9" x14ac:dyDescent="0.3">
      <c r="B26" s="5"/>
      <c r="C26" s="5"/>
      <c r="D26" s="5"/>
      <c r="E26" s="5"/>
    </row>
    <row r="27" spans="2:9" x14ac:dyDescent="0.3">
      <c r="B27" s="5"/>
      <c r="C27" s="5"/>
      <c r="D27" s="5"/>
      <c r="E27" s="5"/>
    </row>
    <row r="28" spans="2:9" x14ac:dyDescent="0.3">
      <c r="B28" s="5"/>
      <c r="C28" s="5"/>
      <c r="D28" s="5"/>
      <c r="E28" s="5"/>
    </row>
    <row r="29" spans="2:9" x14ac:dyDescent="0.3">
      <c r="B29" s="5"/>
      <c r="C29" s="5"/>
      <c r="D29" s="5"/>
      <c r="E29" s="5"/>
      <c r="I29" s="12"/>
    </row>
    <row r="30" spans="2:9" x14ac:dyDescent="0.3">
      <c r="B30" s="13">
        <v>40179</v>
      </c>
      <c r="C30" s="13">
        <v>40544</v>
      </c>
      <c r="D30" s="13">
        <v>42005</v>
      </c>
      <c r="E30" s="13">
        <v>42370</v>
      </c>
      <c r="F30" s="13">
        <v>42736</v>
      </c>
      <c r="G30" s="12"/>
      <c r="H30" s="12"/>
      <c r="I30" s="12"/>
    </row>
    <row r="31" spans="2:9" x14ac:dyDescent="0.3">
      <c r="B31" s="13">
        <v>40543</v>
      </c>
      <c r="C31" s="13">
        <v>40908</v>
      </c>
      <c r="D31" s="13">
        <v>42369</v>
      </c>
      <c r="E31" s="13">
        <v>42735</v>
      </c>
      <c r="F31" s="13">
        <v>43100</v>
      </c>
      <c r="G31" s="12"/>
      <c r="H31" s="12"/>
    </row>
    <row r="32" spans="2:9" x14ac:dyDescent="0.3">
      <c r="B32" s="5"/>
      <c r="C32" s="5"/>
      <c r="D32" s="5"/>
      <c r="E32" s="5"/>
    </row>
    <row r="33" spans="2:5" x14ac:dyDescent="0.3">
      <c r="B33" s="5"/>
      <c r="C33" s="5"/>
      <c r="D33" s="5"/>
      <c r="E33" s="5"/>
    </row>
    <row r="34" spans="2:5" x14ac:dyDescent="0.3">
      <c r="E34" s="5"/>
    </row>
    <row r="35" spans="2:5" x14ac:dyDescent="0.3">
      <c r="E35" s="5"/>
    </row>
    <row r="36" spans="2:5" x14ac:dyDescent="0.3">
      <c r="E36" s="5"/>
    </row>
    <row r="37" spans="2:5" x14ac:dyDescent="0.3">
      <c r="E37" s="5"/>
    </row>
  </sheetData>
  <sheetProtection algorithmName="SHA-512" hashValue="XiRbb+TE7GHNUdxKdo7LFSxpNJofCCTrmxz8ddRTfw/P998TNCFj3Y7G8PL6uubXnawMI936eKVLMBXVQmClXw==" saltValue="fKk4ehLCJy0O4llojD5cMw==" spinCount="100000" sheet="1" formatColumns="0" formatRows="0"/>
  <customSheetViews>
    <customSheetView guid="{C3F58662-020B-4E56-B390-38D4A953D070}" scale="90" showGridLines="0">
      <selection activeCell="I31" sqref="I31"/>
      <pageMargins left="0" right="0" top="0" bottom="0" header="0" footer="0"/>
      <pageSetup paperSize="9" scale="85" orientation="landscape" horizontalDpi="0" verticalDpi="0" r:id="rId1"/>
    </customSheetView>
  </customSheetViews>
  <mergeCells count="1">
    <mergeCell ref="B1:L1"/>
  </mergeCells>
  <phoneticPr fontId="50" type="noConversion"/>
  <pageMargins left="0.19685039370078741" right="0.19685039370078741" top="0.74803149606299213" bottom="0.74803149606299213" header="0.31496062992125984" footer="0.31496062992125984"/>
  <pageSetup paperSize="9" scale="65" orientation="landscape" r:id="rId2"/>
  <colBreaks count="1" manualBreakCount="1">
    <brk id="12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9A65A2DD5DF44A80A654981849549B" ma:contentTypeVersion="18" ma:contentTypeDescription="Crée un document." ma:contentTypeScope="" ma:versionID="28e23cc3a681c515576c43da351f9e13">
  <xsd:schema xmlns:xsd="http://www.w3.org/2001/XMLSchema" xmlns:xs="http://www.w3.org/2001/XMLSchema" xmlns:p="http://schemas.microsoft.com/office/2006/metadata/properties" xmlns:ns2="c1a3df3e-33cb-4260-8132-609fc1ecef07" xmlns:ns3="db7435c9-3aa2-4ddd-a3fd-7413ce4a853b" targetNamespace="http://schemas.microsoft.com/office/2006/metadata/properties" ma:root="true" ma:fieldsID="d30dcce89bba5ce87255e50c83a74176" ns2:_="" ns3:_="">
    <xsd:import namespace="c1a3df3e-33cb-4260-8132-609fc1ecef07"/>
    <xsd:import namespace="db7435c9-3aa2-4ddd-a3fd-7413ce4a8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a3df3e-33cb-4260-8132-609fc1ecef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Balises d’images" ma:readOnly="false" ma:fieldId="{5cf76f15-5ced-4ddc-b409-7134ff3c332f}" ma:taxonomyMulti="true" ma:sspId="cc4018d8-b214-4a48-af45-02710e18d6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7435c9-3aa2-4ddd-a3fd-7413ce4a8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88778c9c-666d-4ff1-a670-db9690eff8b8}" ma:internalName="TaxCatchAll" ma:showField="CatchAllData" ma:web="db7435c9-3aa2-4ddd-a3fd-7413ce4a8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a3df3e-33cb-4260-8132-609fc1ecef07">
      <Terms xmlns="http://schemas.microsoft.com/office/infopath/2007/PartnerControls"/>
    </lcf76f155ced4ddcb4097134ff3c332f>
    <TaxCatchAll xmlns="db7435c9-3aa2-4ddd-a3fd-7413ce4a853b" xsi:nil="true"/>
  </documentManagement>
</p:properties>
</file>

<file path=customXml/itemProps1.xml><?xml version="1.0" encoding="utf-8"?>
<ds:datastoreItem xmlns:ds="http://schemas.openxmlformats.org/officeDocument/2006/customXml" ds:itemID="{478D3050-A94F-4CAD-AF8E-73360D36EF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a3df3e-33cb-4260-8132-609fc1ecef07"/>
    <ds:schemaRef ds:uri="db7435c9-3aa2-4ddd-a3fd-7413ce4a85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A07C846-057A-4351-A773-4C8E877715C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6BE80B-17BF-4683-9231-F9B3439CA542}">
  <ds:schemaRefs>
    <ds:schemaRef ds:uri="c1a3df3e-33cb-4260-8132-609fc1ecef07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http://purl.org/dc/elements/1.1/"/>
    <ds:schemaRef ds:uri="http://purl.org/dc/dcmitype/"/>
    <ds:schemaRef ds:uri="db7435c9-3aa2-4ddd-a3fd-7413ce4a853b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74</vt:i4>
      </vt:variant>
    </vt:vector>
  </HeadingPairs>
  <TitlesOfParts>
    <vt:vector size="87" baseType="lpstr">
      <vt:lpstr>INFOS</vt:lpstr>
      <vt:lpstr>1-Identification</vt:lpstr>
      <vt:lpstr>2-CPC</vt:lpstr>
      <vt:lpstr>3-Frais de personnel</vt:lpstr>
      <vt:lpstr>4-Déclaration de créance</vt:lpstr>
      <vt:lpstr>5-Synthèse</vt:lpstr>
      <vt:lpstr>Synthèse-SPW</vt:lpstr>
      <vt:lpstr>C3</vt:lpstr>
      <vt:lpstr>Plan ord.</vt:lpstr>
      <vt:lpstr>C5</vt:lpstr>
      <vt:lpstr>PUBLI</vt:lpstr>
      <vt:lpstr>bénéficiaires_P22</vt:lpstr>
      <vt:lpstr>LISTE</vt:lpstr>
      <vt:lpstr>DATE_DEB_CONV</vt:lpstr>
      <vt:lpstr>DATE_FIN_CONV</vt:lpstr>
      <vt:lpstr>DC_N°</vt:lpstr>
      <vt:lpstr>DC_TOT_DECL</vt:lpstr>
      <vt:lpstr>'2-CPC'!ETP</vt:lpstr>
      <vt:lpstr>GT</vt:lpstr>
      <vt:lpstr>IDENTIF_ADRESSE</vt:lpstr>
      <vt:lpstr>IDENTIF_ADRESSE_CP</vt:lpstr>
      <vt:lpstr>IDENTIF_ADRESSE_LOC</vt:lpstr>
      <vt:lpstr>IDENTIF_AGT_CIV</vt:lpstr>
      <vt:lpstr>IDENTIF_AGT_EMAIL</vt:lpstr>
      <vt:lpstr>IDENTIF_AGT_NOM</vt:lpstr>
      <vt:lpstr>IDENTIF_AGT_SERVICE</vt:lpstr>
      <vt:lpstr>IDENTIF_AGT_TEL</vt:lpstr>
      <vt:lpstr>IDENTIF_BCE</vt:lpstr>
      <vt:lpstr>IDENTIF_BUDG_AB_CONV</vt:lpstr>
      <vt:lpstr>IDENTIF_BUDG_PROGRAMME_CONV</vt:lpstr>
      <vt:lpstr>IDENTIF_COMPTE_BIC</vt:lpstr>
      <vt:lpstr>IDENTIF_COMPTE_COM</vt:lpstr>
      <vt:lpstr>IDENTIF_COMPTE_N°IBAN</vt:lpstr>
      <vt:lpstr>IDENTIF_COMPTE_OUVERT_NOM_DE</vt:lpstr>
      <vt:lpstr>IDENTIF_DEB_DC</vt:lpstr>
      <vt:lpstr>IDENTIF_ENGAGEMENT_JURIDIQUE</vt:lpstr>
      <vt:lpstr>IDENTIF_FIN_DC</vt:lpstr>
      <vt:lpstr>IDENTIF_LEGALE</vt:lpstr>
      <vt:lpstr>IDENTIF_MONTANT_SUBSIDE</vt:lpstr>
      <vt:lpstr>IDENTIF_N_VISA</vt:lpstr>
      <vt:lpstr>IDENTIF_NOM_PROJET</vt:lpstr>
      <vt:lpstr>IDENTIF_NOM_REQUERANT</vt:lpstr>
      <vt:lpstr>IDENTIF_TAUX_DE_FINANCEMENT</vt:lpstr>
      <vt:lpstr>l_beneficiaires_p22</vt:lpstr>
      <vt:lpstr>l_personnel</vt:lpstr>
      <vt:lpstr>LISTE_AG_TECH</vt:lpstr>
      <vt:lpstr>LISTE_CIV</vt:lpstr>
      <vt:lpstr>LISTE_EMAIL_GT</vt:lpstr>
      <vt:lpstr>LISTE_FINALE</vt:lpstr>
      <vt:lpstr>LISTE_MOIS</vt:lpstr>
      <vt:lpstr>LISTE_N_DC</vt:lpstr>
      <vt:lpstr>LISTE_OUI_NON</vt:lpstr>
      <vt:lpstr>LISTE_RUBRIQUE_FONCT_NV</vt:lpstr>
      <vt:lpstr>LISTE_TVA</vt:lpstr>
      <vt:lpstr>LISTE_V_S</vt:lpstr>
      <vt:lpstr>MONTANT_DC_C3_FONDS_ROULEMENT_JUSTIFIE</vt:lpstr>
      <vt:lpstr>MONTANT_DC_C3_SOLDE_DESENGAGE</vt:lpstr>
      <vt:lpstr>MONTANT_DC_C3_TOT_LIQUIDE</vt:lpstr>
      <vt:lpstr>MONTANT_TOT_PERSO_ACC</vt:lpstr>
      <vt:lpstr>MONTANT_TOT_PERSO_DECL</vt:lpstr>
      <vt:lpstr>PL_ORDO_DC1</vt:lpstr>
      <vt:lpstr>SYNT_A_REMBOURSER</vt:lpstr>
      <vt:lpstr>SYNT_BUDGET_100</vt:lpstr>
      <vt:lpstr>SYNT_FR_OLD</vt:lpstr>
      <vt:lpstr>SYNT_MONTANT_TOT_LIQUIDE</vt:lpstr>
      <vt:lpstr>SYNTH_ACC_100</vt:lpstr>
      <vt:lpstr>SYNTH_DECL_100</vt:lpstr>
      <vt:lpstr>SYNTH_DIFF_ACC_DECL</vt:lpstr>
      <vt:lpstr>SYNTH_FR_JUSTIF</vt:lpstr>
      <vt:lpstr>SYNTH_FR_liquidé</vt:lpstr>
      <vt:lpstr>SYNTH_FR_NON_JUSTIF</vt:lpstr>
      <vt:lpstr>SYNTH_FR_SOLDE</vt:lpstr>
      <vt:lpstr>SYNTH_MONTANT_LIQUIDE</vt:lpstr>
      <vt:lpstr>SYNTH_SOLDE_SUBV</vt:lpstr>
      <vt:lpstr>SYNTH_SUBSIDE</vt:lpstr>
      <vt:lpstr>SYNTH_TOT_DC_ACC_2</vt:lpstr>
      <vt:lpstr>SYNTH_TOT_DC_DECL_2</vt:lpstr>
      <vt:lpstr>TVA</vt:lpstr>
      <vt:lpstr>VOS_REF</vt:lpstr>
      <vt:lpstr>'1-Identification'!Zone_d_impression</vt:lpstr>
      <vt:lpstr>'3-Frais de personnel'!Zone_d_impression</vt:lpstr>
      <vt:lpstr>'4-Déclaration de créance'!Zone_d_impression</vt:lpstr>
      <vt:lpstr>'5-Synthèse'!Zone_d_impression</vt:lpstr>
      <vt:lpstr>'C3'!Zone_d_impression</vt:lpstr>
      <vt:lpstr>'C5'!Zone_d_impression</vt:lpstr>
      <vt:lpstr>'Plan ord.'!Zone_d_impression</vt:lpstr>
      <vt:lpstr>'Synthèse-SPW'!Zone_d_impression</vt:lpstr>
    </vt:vector>
  </TitlesOfParts>
  <Manager/>
  <Company>Service Public Wallon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135432</dc:creator>
  <cp:keywords/>
  <dc:description/>
  <cp:lastModifiedBy>CAMPION Guillaume</cp:lastModifiedBy>
  <cp:revision/>
  <cp:lastPrinted>2024-01-04T14:41:40Z</cp:lastPrinted>
  <dcterms:created xsi:type="dcterms:W3CDTF">2013-02-14T10:32:48Z</dcterms:created>
  <dcterms:modified xsi:type="dcterms:W3CDTF">2024-12-03T13:14:31Z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0x010100559A65A2DD5DF44A80A654981849549B</vt:lpwstr>
  </property>
  <property fmtid="{D5CDD505-2E9C-101B-9397-08002B2CF9AE}" pid="3" name="MediaServiceImageTags">
    <vt:lpwstr/>
  </property>
  <property fmtid="{D5CDD505-2E9C-101B-9397-08002B2CF9AE}" pid="4" name="MSIP_Label_8903f633-4a78-4eed-bb49-365e45b1f3e8_Enabled">
    <vt:lpwstr>true</vt:lpwstr>
  </property>
  <property fmtid="{D5CDD505-2E9C-101B-9397-08002B2CF9AE}" pid="5" name="MSIP_Label_8903f633-4a78-4eed-bb49-365e45b1f3e8_SetDate">
    <vt:lpwstr>2023-08-31T13:14:12Z</vt:lpwstr>
  </property>
  <property fmtid="{D5CDD505-2E9C-101B-9397-08002B2CF9AE}" pid="6" name="MSIP_Label_8903f633-4a78-4eed-bb49-365e45b1f3e8_Method">
    <vt:lpwstr>Privileged</vt:lpwstr>
  </property>
  <property fmtid="{D5CDD505-2E9C-101B-9397-08002B2CF9AE}" pid="7" name="MSIP_Label_8903f633-4a78-4eed-bb49-365e45b1f3e8_Name">
    <vt:lpwstr>8903f633-4a78-4eed-bb49-365e45b1f3e8</vt:lpwstr>
  </property>
  <property fmtid="{D5CDD505-2E9C-101B-9397-08002B2CF9AE}" pid="8" name="MSIP_Label_8903f633-4a78-4eed-bb49-365e45b1f3e8_SiteId">
    <vt:lpwstr>1f816a84-7aa6-4a56-b22a-7b3452fa8681</vt:lpwstr>
  </property>
  <property fmtid="{D5CDD505-2E9C-101B-9397-08002B2CF9AE}" pid="9" name="MSIP_Label_8903f633-4a78-4eed-bb49-365e45b1f3e8_ActionId">
    <vt:lpwstr>629f8c54-5f80-4c38-80b0-02010e387a71</vt:lpwstr>
  </property>
  <property fmtid="{D5CDD505-2E9C-101B-9397-08002B2CF9AE}" pid="10" name="MSIP_Label_8903f633-4a78-4eed-bb49-365e45b1f3e8_ContentBits">
    <vt:lpwstr>0</vt:lpwstr>
  </property>
</Properties>
</file>