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ctrlProps/ctrlProp12.xml" ContentType="application/vnd.ms-excel.controlpropertie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lloniegov.sharepoint.com/sites/POLLEC-EquipedeCoordination/Documents partages/- Suivis des appels/Suivi-SUBV_P-20-21-22/1_Créa_Form_GPL/"/>
    </mc:Choice>
  </mc:AlternateContent>
  <xr:revisionPtr revIDLastSave="460" documentId="8_{77E3DEC3-A8FC-4694-8F47-8B870DCAC09D}" xr6:coauthVersionLast="47" xr6:coauthVersionMax="47" xr10:uidLastSave="{385EFF13-8833-40BD-9BA2-61F6CC6ACB44}"/>
  <workbookProtection workbookAlgorithmName="SHA-512" workbookHashValue="h2RSKVsZoN8RTssf28DQRfpT6zmXRQpc6qGWE6g+SkI4lJ+7LnZwvhiLsQWTneEJZc0b7yt1bDgKR8MKF/81Aw==" workbookSaltValue="hKECnvg+s5fBDj48V1/Ggg==" workbookSpinCount="100000" lockStructure="1"/>
  <bookViews>
    <workbookView xWindow="-120" yWindow="-120" windowWidth="25440" windowHeight="15270" tabRatio="935" xr2:uid="{00000000-000D-0000-FFFF-FFFF00000000}"/>
  </bookViews>
  <sheets>
    <sheet name="INFOS" sheetId="16" r:id="rId1"/>
    <sheet name="1-Identification" sheetId="1" r:id="rId2"/>
    <sheet name="2-Frais de personnel" sheetId="4" r:id="rId3"/>
    <sheet name="3-Sous-traitance" sheetId="5" r:id="rId4"/>
    <sheet name="4-Déclaration de créance" sheetId="8" r:id="rId5"/>
    <sheet name="5-Synthèse" sheetId="10" r:id="rId6"/>
    <sheet name="C3" sheetId="13" state="hidden" r:id="rId7"/>
    <sheet name="Plan ord." sheetId="12" state="hidden" r:id="rId8"/>
    <sheet name="C5" sheetId="30" state="hidden" r:id="rId9"/>
    <sheet name="PUBLI" sheetId="33" state="hidden" r:id="rId10"/>
    <sheet name="infos bénéficiaires" sheetId="35" state="hidden" r:id="rId11"/>
    <sheet name="LISTE" sheetId="19" state="hidden" r:id="rId12"/>
  </sheets>
  <definedNames>
    <definedName name="_xlnm._FilterDatabase" localSheetId="2" hidden="1">'2-Frais de personnel'!$A$11:$BF$47</definedName>
    <definedName name="_xlnm._FilterDatabase" localSheetId="3" hidden="1">'3-Sous-traitance'!#REF!</definedName>
    <definedName name="_xlnm._FilterDatabase" localSheetId="10" hidden="1">'infos bénéficiaires'!$A$1:$P$184</definedName>
    <definedName name="BENEFICIAIRE" localSheetId="10">'infos bénéficiaires'!$A:$A</definedName>
    <definedName name="DATE_DEB_CONV">'1-Identification'!$B$15</definedName>
    <definedName name="DATE_FIN_CONV">'1-Identification'!$B$16</definedName>
    <definedName name="DC_N°">'1-Identification'!$F$14</definedName>
    <definedName name="DC_TOT_DECL">'4-Déclaration de créance'!$D$23</definedName>
    <definedName name="ETP">'2-Frais de personnel'!$A$2</definedName>
    <definedName name="GT">'C3'!$D$18</definedName>
    <definedName name="IDENTIF_ADRESSE">'1-Identification'!$F$5</definedName>
    <definedName name="IDENTIF_ADRESSE_CP">'1-Identification'!$F$6</definedName>
    <definedName name="IDENTIF_ADRESSE_LOC">'1-Identification'!$F$7</definedName>
    <definedName name="IDENTIF_AGT_CIV">'1-Identification'!$F$20</definedName>
    <definedName name="IDENTIF_AGT_EMAIL">'1-Identification'!$F$24</definedName>
    <definedName name="IDENTIF_AGT_NOM">'1-Identification'!$F$22</definedName>
    <definedName name="IDENTIF_AGT_SERVICE">'1-Identification'!$F$25</definedName>
    <definedName name="IDENTIF_AGT_TEL">'1-Identification'!$F$23</definedName>
    <definedName name="IDENTIF_BCE">'1-Identification'!$B$5</definedName>
    <definedName name="IDENTIF_BUDG_AB_CONV">'1-Identification'!$E$28</definedName>
    <definedName name="IDENTIF_BUDG_PROGRAMME_CONV">'1-Identification'!$F$28</definedName>
    <definedName name="IDENTIF_COMPTE_BIC">'1-Identification'!$B$7</definedName>
    <definedName name="IDENTIF_COMPTE_COM">'1-Identification'!$B$8</definedName>
    <definedName name="IDENTIF_COMPTE_N°IBAN">'1-Identification'!$B$6</definedName>
    <definedName name="IDENTIF_COMPTE_OUVERT_NOM_DE">'1-Identification'!$B$9</definedName>
    <definedName name="IDENTIF_DEB_DC">'1-Identification'!$F$15</definedName>
    <definedName name="IDENTIF_FIN_DC">'1-Identification'!$F$16</definedName>
    <definedName name="IDENTIF_LEGALE">'1-Identification'!$B$22</definedName>
    <definedName name="IDENTIF_MONTANT_SUBSIDE">'1-Identification'!$B$20</definedName>
    <definedName name="IDENTIF_NOM_PROJET">'1-Identification'!$B$14</definedName>
    <definedName name="IDENTIF_NOM_REQUERANT">'1-Identification'!$B$4</definedName>
    <definedName name="IDENTIF_TAUX_DE_FINANCEMENT">'1-Identification'!$B$17</definedName>
    <definedName name="IDENTIF_VISA_CONV">'1-Identification'!$B$23</definedName>
    <definedName name="LISTE_AG_TECH">LISTE!$E$2:$E$4</definedName>
    <definedName name="LISTE_CIV">LISTE!$C$2:$C$4</definedName>
    <definedName name="LISTE_EMAIL_GT">LISTE!$J$2:$J$4</definedName>
    <definedName name="LISTE_EMAIL_GT_1">LISTE!$J$3</definedName>
    <definedName name="LISTE_EMAIL_GT_2">LISTE!$J$4</definedName>
    <definedName name="LISTE_FINALE">LISTE!$F$4</definedName>
    <definedName name="Liste_GT_1">LISTE!$E$3</definedName>
    <definedName name="LISTE_GT_2">LISTE!$E$4</definedName>
    <definedName name="LISTE_MOIS">LISTE!$I$2:$I$14</definedName>
    <definedName name="LISTE_NON">LISTE!$D$4</definedName>
    <definedName name="LISTE_OUI">LISTE!$D$3</definedName>
    <definedName name="LISTE_OUI_NON">LISTE!$D$2:$D$4</definedName>
    <definedName name="LISTE_PERSO">'2-Frais de personnel'!$A$2:$A$6</definedName>
    <definedName name="LISTE_RI_RF">LISTE!$F$2:$F$4</definedName>
    <definedName name="LISTE_RUBRIQUE_FONCT_NV">LISTE!$G$2</definedName>
    <definedName name="LISTE_TVA">LISTE!$H$2:$H$4</definedName>
    <definedName name="LISTE_V_S">LISTE!$A$2:$A$6</definedName>
    <definedName name="MONTANT_DC_C3_FONDS_ROULEMENT_JUSTIFIE">'C3'!$D$39</definedName>
    <definedName name="MONTANT_DC_C3_SOLDE_DESENGAGE">'C3'!$G$37</definedName>
    <definedName name="MONTANT_DC_C3_TOT_LIQUIDE">'C3'!$D$37</definedName>
    <definedName name="MONTANT_TOT_PERSO_ACC">'2-Frais de personnel'!$S$48</definedName>
    <definedName name="MONTANT_TOT_PERSO_DECL">'2-Frais de personnel'!$K$48</definedName>
    <definedName name="MONTANT_TOT_SSTRAIT_ACC">'3-Sous-traitance'!$L$16</definedName>
    <definedName name="MONTANT_TOT_SSTRAIT_DECL">'3-Sous-traitance'!$F$16</definedName>
    <definedName name="PL_ORDO_DC1">'Plan ord.'!$C$7</definedName>
    <definedName name="PL_ORDO_DC2">'Plan ord.'!$C$8</definedName>
    <definedName name="SYNT_A_REMBOURSER">'C5'!$G$19</definedName>
    <definedName name="SYNT_BUDGET_100">'5-Synthèse'!$E$11</definedName>
    <definedName name="SYNT_FR_OLD">'5-Synthèse'!$F$23</definedName>
    <definedName name="SYNT_MONTANT_TOT_LIQUIDE">'5-Synthèse'!$F$28</definedName>
    <definedName name="SYNTH_ACC_1_100">'5-Synthèse'!#REF!</definedName>
    <definedName name="SYNTH_ACC_2_100">'5-Synthèse'!$G$11</definedName>
    <definedName name="SYNTH_DECL_1_100">'5-Synthèse'!#REF!</definedName>
    <definedName name="SYNTH_DECL_2_100">'5-Synthèse'!$F$11</definedName>
    <definedName name="SYNTH_DIFF_1">'5-Synthèse'!#REF!</definedName>
    <definedName name="SYNTH_DIFF_2">'5-Synthèse'!$G$16</definedName>
    <definedName name="SYNTH_DIFF_TOT">'5-Synthèse'!#REF!</definedName>
    <definedName name="SYNTH_FR">'5-Synthèse'!$E$20</definedName>
    <definedName name="SYNTH_FR_JUSTIF_2">'5-Synthèse'!$G$21</definedName>
    <definedName name="SYNTH_FR_NON_JUSTIF">'5-Synthèse'!$F$27</definedName>
    <definedName name="SYNTH_FR_SOLDE_2">'5-Synthèse'!#REF!</definedName>
    <definedName name="SYNTH_MONTANT_LIQUIDE_2">'5-Synthèse'!$G$18</definedName>
    <definedName name="SYNTH_Montant_liquidé_OLD">'5-Synthèse'!$F$24</definedName>
    <definedName name="SYNTH_PERSO_ACC_2">'5-Synthèse'!$G$8</definedName>
    <definedName name="SYNTH_PERSO_DECL_2">'5-Synthèse'!$F$8</definedName>
    <definedName name="SYNTH_SOLDE_SUBV">'5-Synthèse'!$F$29</definedName>
    <definedName name="SYNTH_SST_ACC_2">'5-Synthèse'!$G$10</definedName>
    <definedName name="SYNTH_SST_DECL_2">'5-Synthèse'!$F$10</definedName>
    <definedName name="SYNTH_SUBSIDE">'5-Synthèse'!$E$14</definedName>
    <definedName name="SYNTH_TOT_DC_ACC_2">'5-Synthèse'!$G$14</definedName>
    <definedName name="SYNTH_TOT_DC_DECL_2">'5-Synthèse'!$F$14</definedName>
    <definedName name="TVA">'1-Identification'!$B$10</definedName>
    <definedName name="VOS_REF">'4-Déclaration de créance'!$B$12</definedName>
    <definedName name="Z_C3F58662_020B_4E56_B390_38D4A953D070_.wvu.PrintArea" localSheetId="1" hidden="1">'1-Identification'!$A$1:$F$30</definedName>
    <definedName name="Z_C3F58662_020B_4E56_B390_38D4A953D070_.wvu.PrintArea" localSheetId="2" hidden="1">'2-Frais de personnel'!$A$9:$H$9,'2-Frais de personnel'!$A$11:$U$47</definedName>
    <definedName name="Z_C3F58662_020B_4E56_B390_38D4A953D070_.wvu.PrintArea" localSheetId="3" hidden="1">'3-Sous-traitance'!$A$1:$J$15,'3-Sous-traitance'!#REF!</definedName>
    <definedName name="Z_C3F58662_020B_4E56_B390_38D4A953D070_.wvu.PrintArea" localSheetId="4" hidden="1">'4-Déclaration de créance'!$A$1:$E$45</definedName>
    <definedName name="Z_C3F58662_020B_4E56_B390_38D4A953D070_.wvu.PrintArea" localSheetId="5" hidden="1">'5-Synthèse'!$D$1:$I$25</definedName>
    <definedName name="Z_C3F58662_020B_4E56_B390_38D4A953D070_.wvu.PrintArea" localSheetId="6" hidden="1">'C3'!$B$1:$J$45</definedName>
    <definedName name="_xlnm.Print_Area" localSheetId="1">'1-Identification'!$A$1:$F$30</definedName>
    <definedName name="_xlnm.Print_Area" localSheetId="2">'2-Frais de personnel'!$A$9:$H$9</definedName>
    <definedName name="_xlnm.Print_Area" localSheetId="3">'3-Sous-traitance'!$A$1:$J$15,'3-Sous-traitance'!#REF!</definedName>
    <definedName name="_xlnm.Print_Area" localSheetId="4">'4-Déclaration de créance'!$A$1:$E$45</definedName>
    <definedName name="_xlnm.Print_Area" localSheetId="5">'5-Synthèse'!$D$1:$I$25</definedName>
    <definedName name="_xlnm.Print_Area" localSheetId="6">'C3'!$B$1:$J$45</definedName>
    <definedName name="_xlnm.Print_Area" localSheetId="8">'C5'!$A$1:$J$26</definedName>
    <definedName name="_xlnm.Print_Area" localSheetId="7">'Plan ord.'!$A$1:$L$11</definedName>
  </definedNames>
  <calcPr calcId="191028" fullPrecision="0"/>
  <customWorkbookViews>
    <customWorkbookView name="dc1" guid="{C3F58662-020B-4E56-B390-38D4A953D070}" includeHiddenRowCol="0" maximized="1" xWindow="1" yWindow="1" windowWidth="1596" windowHeight="675" tabRatio="674" activeSheetId="1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37" i="13"/>
  <c r="N12" i="4" l="1"/>
  <c r="B14" i="1" l="1"/>
  <c r="B16" i="1" s="1"/>
  <c r="F7" i="1"/>
  <c r="F6" i="1"/>
  <c r="F5" i="1"/>
  <c r="B24" i="1"/>
  <c r="B18" i="8" s="1"/>
  <c r="B23" i="1"/>
  <c r="B20" i="1"/>
  <c r="B5" i="1"/>
  <c r="D3" i="35"/>
  <c r="D4" i="35"/>
  <c r="D5" i="35"/>
  <c r="D6" i="35"/>
  <c r="D7" i="35"/>
  <c r="D8" i="35"/>
  <c r="D9" i="35"/>
  <c r="D10" i="35"/>
  <c r="D11" i="35"/>
  <c r="D13" i="35"/>
  <c r="D14" i="35"/>
  <c r="D15" i="35"/>
  <c r="D18" i="35"/>
  <c r="D19" i="35"/>
  <c r="D20" i="35"/>
  <c r="D21" i="35"/>
  <c r="D23" i="35"/>
  <c r="D24" i="35"/>
  <c r="D25" i="35"/>
  <c r="D26" i="35"/>
  <c r="D28" i="35"/>
  <c r="D29" i="35"/>
  <c r="D30" i="35"/>
  <c r="D31" i="35"/>
  <c r="D34" i="35"/>
  <c r="D35" i="35"/>
  <c r="D36" i="35"/>
  <c r="D37" i="35"/>
  <c r="D38" i="35"/>
  <c r="D39" i="35"/>
  <c r="D41" i="35"/>
  <c r="D42" i="35"/>
  <c r="D43" i="35"/>
  <c r="D44" i="35"/>
  <c r="D45" i="35"/>
  <c r="D46" i="35"/>
  <c r="D47" i="35"/>
  <c r="D48" i="35"/>
  <c r="D49" i="35"/>
  <c r="D50" i="35"/>
  <c r="D52" i="35"/>
  <c r="D53" i="35"/>
  <c r="D54" i="35"/>
  <c r="D55" i="35"/>
  <c r="D56" i="35"/>
  <c r="D57" i="35"/>
  <c r="D60" i="35"/>
  <c r="D61" i="35"/>
  <c r="D62" i="35"/>
  <c r="D63" i="35"/>
  <c r="D64" i="35"/>
  <c r="D66" i="35"/>
  <c r="D67" i="35"/>
  <c r="D68" i="35"/>
  <c r="D69" i="35"/>
  <c r="D70" i="35"/>
  <c r="D71" i="35"/>
  <c r="D72" i="35"/>
  <c r="D73" i="35"/>
  <c r="D74" i="35"/>
  <c r="D75" i="35"/>
  <c r="D76" i="35"/>
  <c r="D77" i="35"/>
  <c r="D79" i="35"/>
  <c r="D80" i="35"/>
  <c r="D82" i="35"/>
  <c r="D83" i="35"/>
  <c r="D84" i="35"/>
  <c r="D85" i="35"/>
  <c r="D86" i="35"/>
  <c r="D87" i="35"/>
  <c r="D88" i="35"/>
  <c r="D90" i="35"/>
  <c r="D91" i="35"/>
  <c r="D92" i="35"/>
  <c r="D93" i="35"/>
  <c r="D94" i="35"/>
  <c r="D95" i="35"/>
  <c r="D96" i="35"/>
  <c r="D97" i="35"/>
  <c r="D100" i="35"/>
  <c r="D101" i="35"/>
  <c r="D102" i="35"/>
  <c r="D103" i="35"/>
  <c r="D104" i="35"/>
  <c r="D105" i="35"/>
  <c r="D106" i="35"/>
  <c r="D107" i="35"/>
  <c r="D108" i="35"/>
  <c r="D109" i="35"/>
  <c r="D110" i="35"/>
  <c r="D111" i="35"/>
  <c r="D112" i="35"/>
  <c r="D113" i="35"/>
  <c r="D114" i="35"/>
  <c r="D115" i="35"/>
  <c r="D116" i="35"/>
  <c r="D117" i="35"/>
  <c r="D118" i="35"/>
  <c r="D119" i="35"/>
  <c r="D123" i="35"/>
  <c r="D124" i="35"/>
  <c r="D125" i="35"/>
  <c r="D126" i="35"/>
  <c r="D127" i="35"/>
  <c r="D128" i="35"/>
  <c r="D129" i="35"/>
  <c r="D130" i="35"/>
  <c r="D131" i="35"/>
  <c r="D132" i="35"/>
  <c r="D133" i="35"/>
  <c r="D134" i="35"/>
  <c r="D135" i="35"/>
  <c r="D136" i="35"/>
  <c r="D137" i="35"/>
  <c r="D138" i="35"/>
  <c r="D139" i="35"/>
  <c r="D140" i="35"/>
  <c r="D141" i="35"/>
  <c r="D142" i="35"/>
  <c r="D143" i="35"/>
  <c r="D144" i="35"/>
  <c r="D145" i="35"/>
  <c r="D147" i="35"/>
  <c r="D149" i="35"/>
  <c r="D151" i="35"/>
  <c r="D152" i="35"/>
  <c r="D153" i="35"/>
  <c r="D155" i="35"/>
  <c r="D156" i="35"/>
  <c r="D157" i="35"/>
  <c r="D158" i="35"/>
  <c r="D159" i="35"/>
  <c r="D160" i="35"/>
  <c r="D161" i="35"/>
  <c r="D162" i="35"/>
  <c r="D164" i="35"/>
  <c r="D165" i="35"/>
  <c r="D166" i="35"/>
  <c r="D168" i="35"/>
  <c r="D169" i="35"/>
  <c r="D170" i="35"/>
  <c r="D171" i="35"/>
  <c r="D172" i="35"/>
  <c r="D174" i="35"/>
  <c r="D176" i="35"/>
  <c r="D178" i="35"/>
  <c r="D179" i="35"/>
  <c r="D180" i="35"/>
  <c r="D181" i="35"/>
  <c r="D182" i="35"/>
  <c r="D183" i="35"/>
  <c r="D2" i="35"/>
  <c r="D184" i="35"/>
  <c r="D167" i="35"/>
  <c r="D154" i="35"/>
  <c r="D150" i="35"/>
  <c r="D148" i="35"/>
  <c r="D146" i="35"/>
  <c r="D122" i="35"/>
  <c r="D121" i="35"/>
  <c r="D120" i="35"/>
  <c r="D99" i="35"/>
  <c r="D78" i="35"/>
  <c r="D65" i="35"/>
  <c r="D59" i="35"/>
  <c r="D40" i="35"/>
  <c r="D33" i="35"/>
  <c r="D177" i="35"/>
  <c r="B21" i="1" s="1"/>
  <c r="E20" i="10" s="1"/>
  <c r="F28" i="10" s="1"/>
  <c r="D175" i="35"/>
  <c r="D173" i="35"/>
  <c r="D163" i="35"/>
  <c r="D98" i="35"/>
  <c r="D89" i="35"/>
  <c r="D81" i="35"/>
  <c r="D58" i="35"/>
  <c r="D51" i="35"/>
  <c r="D32" i="35"/>
  <c r="D27" i="35"/>
  <c r="D22" i="35"/>
  <c r="D17" i="35"/>
  <c r="D16" i="35"/>
  <c r="D12" i="35"/>
  <c r="F25" i="10" l="1"/>
  <c r="B15" i="1"/>
  <c r="P12" i="35"/>
  <c r="P16" i="35"/>
  <c r="P17" i="35"/>
  <c r="P22" i="35"/>
  <c r="P27" i="35"/>
  <c r="P32" i="35"/>
  <c r="P33" i="35"/>
  <c r="P40" i="35"/>
  <c r="P51" i="35"/>
  <c r="P58" i="35"/>
  <c r="P59" i="35"/>
  <c r="P65" i="35"/>
  <c r="P78" i="35"/>
  <c r="P81" i="35"/>
  <c r="P89" i="35"/>
  <c r="P98" i="35"/>
  <c r="P99" i="35"/>
  <c r="P120" i="35"/>
  <c r="P121" i="35"/>
  <c r="P122" i="35"/>
  <c r="P146" i="35"/>
  <c r="P148" i="35"/>
  <c r="P150" i="35"/>
  <c r="P154" i="35"/>
  <c r="P163" i="35"/>
  <c r="P167" i="35"/>
  <c r="P173" i="35"/>
  <c r="P175" i="35"/>
  <c r="P177" i="35"/>
  <c r="P184" i="35"/>
  <c r="P183" i="35" l="1"/>
  <c r="P182" i="35"/>
  <c r="P181" i="35"/>
  <c r="P180" i="35"/>
  <c r="P179" i="35"/>
  <c r="P178" i="35"/>
  <c r="P176" i="35"/>
  <c r="P174" i="35"/>
  <c r="P172" i="35"/>
  <c r="P171" i="35"/>
  <c r="P170" i="35"/>
  <c r="P169" i="35"/>
  <c r="P168" i="35"/>
  <c r="P166" i="35"/>
  <c r="P165" i="35"/>
  <c r="P164" i="35"/>
  <c r="P162" i="35"/>
  <c r="P161" i="35"/>
  <c r="P160" i="35"/>
  <c r="P159" i="35"/>
  <c r="P158" i="35"/>
  <c r="P157" i="35"/>
  <c r="P156" i="35"/>
  <c r="P155" i="35"/>
  <c r="P153" i="35"/>
  <c r="P152" i="35"/>
  <c r="P151" i="35"/>
  <c r="P149" i="35"/>
  <c r="P147" i="35"/>
  <c r="P145" i="35"/>
  <c r="P144" i="35"/>
  <c r="P143" i="35"/>
  <c r="P142" i="35"/>
  <c r="P141" i="35"/>
  <c r="P140" i="35"/>
  <c r="P139" i="35"/>
  <c r="P138" i="35"/>
  <c r="P137" i="35"/>
  <c r="P136" i="35"/>
  <c r="P135" i="35"/>
  <c r="P134" i="35"/>
  <c r="P133" i="35"/>
  <c r="P132" i="35"/>
  <c r="P131" i="35"/>
  <c r="P130" i="35"/>
  <c r="P129" i="35"/>
  <c r="P128" i="35"/>
  <c r="P127" i="35"/>
  <c r="P126" i="35"/>
  <c r="P125" i="35"/>
  <c r="P124" i="35"/>
  <c r="P123" i="35"/>
  <c r="P119" i="35"/>
  <c r="P118" i="35"/>
  <c r="P117" i="35"/>
  <c r="P116" i="35"/>
  <c r="P115" i="35"/>
  <c r="P114" i="35"/>
  <c r="P113" i="35"/>
  <c r="P112" i="35"/>
  <c r="P111" i="35"/>
  <c r="P110" i="35"/>
  <c r="P109" i="35"/>
  <c r="P108" i="35"/>
  <c r="P107" i="35"/>
  <c r="P106" i="35"/>
  <c r="P105" i="35"/>
  <c r="P104" i="35"/>
  <c r="P103" i="35"/>
  <c r="P102" i="35"/>
  <c r="P101" i="35"/>
  <c r="P100" i="35"/>
  <c r="P97" i="35"/>
  <c r="P96" i="35"/>
  <c r="P95" i="35"/>
  <c r="P94" i="35"/>
  <c r="P93" i="35"/>
  <c r="P92" i="35"/>
  <c r="P91" i="35"/>
  <c r="P90" i="35"/>
  <c r="P88" i="35"/>
  <c r="P87" i="35"/>
  <c r="P86" i="35"/>
  <c r="P85" i="35"/>
  <c r="P84" i="35"/>
  <c r="P83" i="35"/>
  <c r="P82" i="35"/>
  <c r="P80" i="35"/>
  <c r="P79" i="35"/>
  <c r="P77" i="35"/>
  <c r="P76" i="35"/>
  <c r="P75" i="35"/>
  <c r="P74" i="35"/>
  <c r="P73" i="35"/>
  <c r="P72" i="35"/>
  <c r="P71" i="35"/>
  <c r="P70" i="35"/>
  <c r="P69" i="35"/>
  <c r="P68" i="35"/>
  <c r="P67" i="35"/>
  <c r="P66" i="35"/>
  <c r="P64" i="35"/>
  <c r="P63" i="35"/>
  <c r="P62" i="35"/>
  <c r="P61" i="35"/>
  <c r="P60" i="35"/>
  <c r="P57" i="35"/>
  <c r="P56" i="35"/>
  <c r="P55" i="35"/>
  <c r="P54" i="35"/>
  <c r="P53" i="35"/>
  <c r="P52" i="35"/>
  <c r="P50" i="35"/>
  <c r="P49" i="35"/>
  <c r="P48" i="35"/>
  <c r="P47" i="35"/>
  <c r="P46" i="35"/>
  <c r="P45" i="35"/>
  <c r="P44" i="35"/>
  <c r="P43" i="35"/>
  <c r="P42" i="35"/>
  <c r="P41" i="35"/>
  <c r="P39" i="35"/>
  <c r="P38" i="35"/>
  <c r="P37" i="35"/>
  <c r="P36" i="35"/>
  <c r="P35" i="35"/>
  <c r="P34" i="35"/>
  <c r="P31" i="35"/>
  <c r="P30" i="35"/>
  <c r="P29" i="35"/>
  <c r="P28" i="35"/>
  <c r="P26" i="35"/>
  <c r="P25" i="35"/>
  <c r="P24" i="35"/>
  <c r="P23" i="35"/>
  <c r="P21" i="35"/>
  <c r="P20" i="35"/>
  <c r="P19" i="35"/>
  <c r="P18" i="35"/>
  <c r="P15" i="35"/>
  <c r="P14" i="35"/>
  <c r="P13" i="35"/>
  <c r="P11" i="35"/>
  <c r="P10" i="35"/>
  <c r="P9" i="35"/>
  <c r="P8" i="35"/>
  <c r="P7" i="35"/>
  <c r="P6" i="35"/>
  <c r="P5" i="35"/>
  <c r="P4" i="35"/>
  <c r="P3" i="35"/>
  <c r="P2" i="35"/>
  <c r="B22" i="1" l="1"/>
  <c r="Q12" i="4"/>
  <c r="B22" i="8"/>
  <c r="B29" i="8"/>
  <c r="L6" i="5"/>
  <c r="M12" i="4"/>
  <c r="CC2" i="33"/>
  <c r="CH2" i="33"/>
  <c r="CG2" i="33"/>
  <c r="CF2" i="33"/>
  <c r="L5" i="5"/>
  <c r="CB2" i="33" l="1"/>
  <c r="BC2" i="33"/>
  <c r="BB2" i="33"/>
  <c r="B28" i="8"/>
  <c r="B24" i="8"/>
  <c r="B14" i="8"/>
  <c r="D16" i="8"/>
  <c r="B16" i="8"/>
  <c r="CE2" i="33" l="1"/>
  <c r="CD2" i="33"/>
  <c r="O16" i="5"/>
  <c r="AB2" i="33"/>
  <c r="AA2" i="33"/>
  <c r="Z2" i="33"/>
  <c r="V2" i="33"/>
  <c r="T2" i="33"/>
  <c r="S2" i="33"/>
  <c r="Q2" i="33"/>
  <c r="P2" i="33"/>
  <c r="O2" i="33"/>
  <c r="N2" i="33"/>
  <c r="L2" i="33"/>
  <c r="K2" i="33"/>
  <c r="J2" i="33"/>
  <c r="I2" i="33"/>
  <c r="H2" i="33"/>
  <c r="C2" i="33"/>
  <c r="B2" i="33"/>
  <c r="A2" i="33"/>
  <c r="AF2" i="33"/>
  <c r="C44" i="13" l="1"/>
  <c r="F3" i="10"/>
  <c r="F1" i="10"/>
  <c r="F10" i="10"/>
  <c r="BL2" i="33" s="1"/>
  <c r="F16" i="5"/>
  <c r="AI2" i="33" l="1"/>
  <c r="BK2" i="33"/>
  <c r="E2" i="33"/>
  <c r="A8" i="8"/>
  <c r="G2" i="33"/>
  <c r="F2" i="33"/>
  <c r="A9" i="8" l="1"/>
  <c r="A10" i="8"/>
  <c r="K13" i="4" l="1"/>
  <c r="F17" i="1" l="1"/>
  <c r="U2" i="33" s="1"/>
  <c r="E11" i="10"/>
  <c r="W2" i="33"/>
  <c r="X2" i="33" l="1"/>
  <c r="B17" i="8"/>
  <c r="AC2" i="33"/>
  <c r="B31" i="8"/>
  <c r="M2" i="33"/>
  <c r="B19" i="8"/>
  <c r="E14" i="10"/>
  <c r="F29" i="10" s="1"/>
  <c r="AN2" i="33"/>
  <c r="C11" i="30"/>
  <c r="C16" i="13"/>
  <c r="C4" i="12"/>
  <c r="G37" i="13" l="1"/>
  <c r="G18" i="30"/>
  <c r="BM2" i="33"/>
  <c r="AV2" i="33"/>
  <c r="C5" i="12"/>
  <c r="B27" i="8" l="1"/>
  <c r="R2" i="33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R12" i="4"/>
  <c r="E48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12" i="4"/>
  <c r="E7" i="4"/>
  <c r="K48" i="4" l="1"/>
  <c r="AG2" i="33" s="1"/>
  <c r="D11" i="30"/>
  <c r="D22" i="30"/>
  <c r="C8" i="12"/>
  <c r="AL2" i="33" s="1"/>
  <c r="C7" i="12"/>
  <c r="AK2" i="33" s="1"/>
  <c r="C6" i="12"/>
  <c r="D16" i="13"/>
  <c r="C13" i="13"/>
  <c r="M13" i="4"/>
  <c r="M14" i="4"/>
  <c r="N5" i="5"/>
  <c r="W5" i="5" s="1"/>
  <c r="N6" i="5"/>
  <c r="W6" i="5" s="1"/>
  <c r="M32" i="4"/>
  <c r="M5" i="5"/>
  <c r="O12" i="4"/>
  <c r="P13" i="4"/>
  <c r="I6" i="19"/>
  <c r="E3" i="10"/>
  <c r="E1" i="10"/>
  <c r="F13" i="10"/>
  <c r="G13" i="10"/>
  <c r="N7" i="5"/>
  <c r="W7" i="5" s="1"/>
  <c r="N8" i="5"/>
  <c r="W8" i="5" s="1"/>
  <c r="N9" i="5"/>
  <c r="W9" i="5" s="1"/>
  <c r="N10" i="5"/>
  <c r="W10" i="5" s="1"/>
  <c r="N11" i="5"/>
  <c r="W11" i="5" s="1"/>
  <c r="N12" i="5"/>
  <c r="W12" i="5" s="1"/>
  <c r="L15" i="5"/>
  <c r="M15" i="5" s="1"/>
  <c r="L14" i="5"/>
  <c r="M14" i="5" s="1"/>
  <c r="D8" i="30"/>
  <c r="D7" i="30"/>
  <c r="L7" i="5"/>
  <c r="M7" i="5" s="1"/>
  <c r="L8" i="5"/>
  <c r="M8" i="5" s="1"/>
  <c r="L9" i="5"/>
  <c r="M9" i="5" s="1"/>
  <c r="L10" i="5"/>
  <c r="M10" i="5" s="1"/>
  <c r="L11" i="5"/>
  <c r="M11" i="5" s="1"/>
  <c r="L12" i="5"/>
  <c r="M12" i="5" s="1"/>
  <c r="L13" i="5"/>
  <c r="M13" i="5" s="1"/>
  <c r="C3" i="12"/>
  <c r="P12" i="4"/>
  <c r="E13" i="10"/>
  <c r="X6" i="5"/>
  <c r="X7" i="5"/>
  <c r="X8" i="5"/>
  <c r="X9" i="5"/>
  <c r="X10" i="5"/>
  <c r="X11" i="5"/>
  <c r="X12" i="5"/>
  <c r="X13" i="5"/>
  <c r="X14" i="5"/>
  <c r="X15" i="5"/>
  <c r="X5" i="5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13" i="4"/>
  <c r="V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F46" i="4"/>
  <c r="BF47" i="4"/>
  <c r="BE13" i="4"/>
  <c r="BE16" i="4"/>
  <c r="BE17" i="4"/>
  <c r="BE20" i="4"/>
  <c r="BE21" i="4"/>
  <c r="BE24" i="4"/>
  <c r="BE25" i="4"/>
  <c r="BE28" i="4"/>
  <c r="BE29" i="4"/>
  <c r="BE32" i="4"/>
  <c r="BE33" i="4"/>
  <c r="BE36" i="4"/>
  <c r="BE37" i="4"/>
  <c r="BE40" i="4"/>
  <c r="BE41" i="4"/>
  <c r="BE44" i="4"/>
  <c r="BE45" i="4"/>
  <c r="BF12" i="4"/>
  <c r="BE12" i="4"/>
  <c r="N13" i="4"/>
  <c r="N14" i="4"/>
  <c r="S14" i="4" s="1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S29" i="4" s="1"/>
  <c r="N30" i="4"/>
  <c r="N31" i="4"/>
  <c r="N32" i="4"/>
  <c r="S32" i="4" s="1"/>
  <c r="N33" i="4"/>
  <c r="N34" i="4"/>
  <c r="N35" i="4"/>
  <c r="N36" i="4"/>
  <c r="N37" i="4"/>
  <c r="S37" i="4" s="1"/>
  <c r="N38" i="4"/>
  <c r="N39" i="4"/>
  <c r="N40" i="4"/>
  <c r="N41" i="4"/>
  <c r="N42" i="4"/>
  <c r="N43" i="4"/>
  <c r="N44" i="4"/>
  <c r="N45" i="4"/>
  <c r="S45" i="4" s="1"/>
  <c r="N46" i="4"/>
  <c r="N47" i="4"/>
  <c r="C12" i="13"/>
  <c r="C11" i="13"/>
  <c r="C10" i="13"/>
  <c r="O13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14" i="4"/>
  <c r="P14" i="4"/>
  <c r="O15" i="4"/>
  <c r="P15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C37" i="13"/>
  <c r="I10" i="13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N13" i="5"/>
  <c r="W13" i="5" s="1"/>
  <c r="N14" i="5"/>
  <c r="N15" i="5"/>
  <c r="W15" i="5" s="1"/>
  <c r="BE48" i="4"/>
  <c r="C9" i="13"/>
  <c r="B10" i="13"/>
  <c r="B11" i="13"/>
  <c r="B13" i="13"/>
  <c r="G10" i="13"/>
  <c r="C8" i="13"/>
  <c r="C7" i="13"/>
  <c r="F8" i="10" l="1"/>
  <c r="F11" i="10" s="1"/>
  <c r="S21" i="4"/>
  <c r="BF2" i="33"/>
  <c r="M6" i="5"/>
  <c r="L16" i="5"/>
  <c r="G10" i="10" s="1"/>
  <c r="BJ2" i="33" s="1"/>
  <c r="S12" i="4"/>
  <c r="T12" i="4" s="1"/>
  <c r="S15" i="4"/>
  <c r="S13" i="4"/>
  <c r="S44" i="4"/>
  <c r="S36" i="4"/>
  <c r="S28" i="4"/>
  <c r="S20" i="4"/>
  <c r="S43" i="4"/>
  <c r="S35" i="4"/>
  <c r="S27" i="4"/>
  <c r="S19" i="4"/>
  <c r="S42" i="4"/>
  <c r="S34" i="4"/>
  <c r="S26" i="4"/>
  <c r="S18" i="4"/>
  <c r="S41" i="4"/>
  <c r="S33" i="4"/>
  <c r="S25" i="4"/>
  <c r="S17" i="4"/>
  <c r="S40" i="4"/>
  <c r="S24" i="4"/>
  <c r="S47" i="4"/>
  <c r="S39" i="4"/>
  <c r="S31" i="4"/>
  <c r="S23" i="4"/>
  <c r="S46" i="4"/>
  <c r="S38" i="4"/>
  <c r="S30" i="4"/>
  <c r="S22" i="4"/>
  <c r="S16" i="4"/>
  <c r="O48" i="4"/>
  <c r="N48" i="4"/>
  <c r="P48" i="4"/>
  <c r="BE14" i="4"/>
  <c r="BE18" i="4"/>
  <c r="BE22" i="4"/>
  <c r="BE26" i="4"/>
  <c r="BE30" i="4"/>
  <c r="BE34" i="4"/>
  <c r="BE38" i="4"/>
  <c r="BE42" i="4"/>
  <c r="BE46" i="4"/>
  <c r="BE15" i="4"/>
  <c r="BE19" i="4"/>
  <c r="BE23" i="4"/>
  <c r="BE27" i="4"/>
  <c r="BE31" i="4"/>
  <c r="BE35" i="4"/>
  <c r="BE39" i="4"/>
  <c r="BE43" i="4"/>
  <c r="BE47" i="4"/>
  <c r="W14" i="5"/>
  <c r="AR2" i="33" l="1"/>
  <c r="F14" i="10"/>
  <c r="BG2" i="33"/>
  <c r="AJ2" i="33"/>
  <c r="BI2" i="33"/>
  <c r="CA2" i="33"/>
  <c r="S48" i="4"/>
  <c r="AH2" i="33" s="1"/>
  <c r="D23" i="8" l="1"/>
  <c r="BU2" i="33"/>
  <c r="BZ2" i="33"/>
  <c r="G8" i="10"/>
  <c r="BD2" i="33"/>
  <c r="AQ2" i="33"/>
  <c r="T33" i="4"/>
  <c r="T16" i="4"/>
  <c r="T32" i="4"/>
  <c r="T15" i="4"/>
  <c r="T31" i="4"/>
  <c r="T47" i="4"/>
  <c r="T14" i="4"/>
  <c r="T30" i="4"/>
  <c r="T45" i="4"/>
  <c r="T24" i="4"/>
  <c r="T40" i="4"/>
  <c r="T22" i="4"/>
  <c r="T38" i="4"/>
  <c r="T20" i="4"/>
  <c r="T36" i="4"/>
  <c r="T35" i="4"/>
  <c r="T29" i="4"/>
  <c r="T46" i="4"/>
  <c r="T28" i="4"/>
  <c r="T44" i="4"/>
  <c r="T27" i="4"/>
  <c r="T43" i="4"/>
  <c r="T26" i="4"/>
  <c r="T42" i="4"/>
  <c r="T21" i="4"/>
  <c r="T25" i="4"/>
  <c r="T23" i="4"/>
  <c r="T39" i="4"/>
  <c r="T19" i="4"/>
  <c r="T34" i="4"/>
  <c r="T18" i="4"/>
  <c r="T37" i="4"/>
  <c r="T41" i="4"/>
  <c r="T17" i="4"/>
  <c r="G11" i="10" l="1"/>
  <c r="G14" i="10" s="1"/>
  <c r="BE2" i="33"/>
  <c r="BX2" i="33"/>
  <c r="AO2" i="33"/>
  <c r="BY2" i="33"/>
  <c r="T13" i="4"/>
  <c r="G21" i="10" l="1"/>
  <c r="F26" i="10" s="1"/>
  <c r="G17" i="30" s="1"/>
  <c r="AP2" i="33"/>
  <c r="BT2" i="33"/>
  <c r="D2" i="33"/>
  <c r="T48" i="4"/>
  <c r="F27" i="10" l="1"/>
  <c r="G19" i="30" s="1"/>
  <c r="D39" i="13"/>
  <c r="BV2" i="33"/>
  <c r="AS2" i="33"/>
  <c r="BR2" i="33"/>
  <c r="G16" i="10"/>
  <c r="BQ2" i="33"/>
  <c r="I12" i="13"/>
  <c r="BO2" i="33" l="1"/>
  <c r="AW2" i="33"/>
  <c r="BS2" i="33"/>
  <c r="AY2" i="33" l="1"/>
  <c r="AD2" i="33" l="1"/>
  <c r="AX2" i="33"/>
  <c r="AT2" i="33"/>
  <c r="AU2" i="33"/>
  <c r="BP2" i="33"/>
  <c r="AZ2" i="33" l="1"/>
  <c r="BA2" i="33"/>
  <c r="BN2" i="33"/>
  <c r="AM2" i="33" l="1"/>
  <c r="AE2" i="33"/>
  <c r="BH2" i="33"/>
  <c r="BW2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tc={E160BAD6-CB8B-4428-9920-9CA783AEF9B8}</author>
  </authors>
  <commentList>
    <comment ref="G37" authorId="0" shapeId="0" xr:uid="{E160BAD6-CB8B-4428-9920-9CA783AEF9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Montant à modifier si il ne s'agit pas de la DC finale</t>
      </text>
    </comment>
  </commentList>
</comments>
</file>

<file path=xl/sharedStrings.xml><?xml version="1.0" encoding="utf-8"?>
<sst xmlns="http://schemas.openxmlformats.org/spreadsheetml/2006/main" count="2752" uniqueCount="1341">
  <si>
    <t>Rapport financier</t>
  </si>
  <si>
    <t>RH</t>
  </si>
  <si>
    <t>Version</t>
  </si>
  <si>
    <t>Comment compléter ce fichier ?</t>
  </si>
  <si>
    <t xml:space="preserve">1) Renommez le fichier de la façon suivante (en adaptant à votre situation les parties en italique): </t>
  </si>
  <si>
    <t>2) Complétez les feuilles jaunes du fichier dans l'odre croissant</t>
  </si>
  <si>
    <t>Les cellules bleues sont complétées par le SPW</t>
  </si>
  <si>
    <t>Les cellules grises contiennent des formules</t>
  </si>
  <si>
    <r>
      <t xml:space="preserve">4) Télécharchez les documents suivants sur le </t>
    </r>
    <r>
      <rPr>
        <b/>
        <u/>
        <sz val="11"/>
        <rFont val="Calibri"/>
        <family val="2"/>
      </rPr>
      <t xml:space="preserve"> guichet des pouvoirs locaux (https://guichet.pouvoirslocaux.wallonie.be/)</t>
    </r>
  </si>
  <si>
    <r>
      <t>le rapport financier en format</t>
    </r>
    <r>
      <rPr>
        <sz val="11"/>
        <color rgb="FFFF0000"/>
        <rFont val="Calibri"/>
        <family val="2"/>
      </rPr>
      <t xml:space="preserve"> Excel  </t>
    </r>
  </si>
  <si>
    <t>le rapport d'activité complété et ses annexes</t>
  </si>
  <si>
    <t>Pour rappel, vous trouverez le guide des dépenses éligibles pour le Volet 1 RH ici:</t>
  </si>
  <si>
    <t>Volet 1 RH : Guide des dépenses éligibles</t>
  </si>
  <si>
    <t>INFORMATIONS GÉNÉRALES SUR LE PROJET</t>
  </si>
  <si>
    <t>Nom du projet :</t>
  </si>
  <si>
    <t>Déclaration de créance n° :</t>
  </si>
  <si>
    <t>Veuillez sélectionner</t>
  </si>
  <si>
    <t>Période des dépenses du :</t>
  </si>
  <si>
    <t>au :</t>
  </si>
  <si>
    <t xml:space="preserve">Taux de financement </t>
  </si>
  <si>
    <r>
      <t xml:space="preserve">BÉNÉFICIAIRE 
</t>
    </r>
    <r>
      <rPr>
        <b/>
        <i/>
        <u/>
        <sz val="11"/>
        <color theme="0" tint="-0.499984740745262"/>
        <rFont val="Calibri"/>
        <family val="2"/>
      </rPr>
      <t>* merci de vérifier les informations pré-encodées s'affichant une fois le nom du bénéficiaire sélectionné</t>
    </r>
  </si>
  <si>
    <t>COORDONNÉES DU CORRESPONDANT COMPTABLE </t>
  </si>
  <si>
    <t>Nom du bénéficiaire :</t>
  </si>
  <si>
    <t>Sélectionner Commune/Supra</t>
  </si>
  <si>
    <t>Civilité :</t>
  </si>
  <si>
    <t>N° BCE* :</t>
  </si>
  <si>
    <t>Nom  :</t>
  </si>
  <si>
    <t>N° de compte IBAN* :</t>
  </si>
  <si>
    <t>Téléphone :</t>
  </si>
  <si>
    <t>N° de compte BIC :</t>
  </si>
  <si>
    <t>Email :</t>
  </si>
  <si>
    <t>Communication sur le compte :</t>
  </si>
  <si>
    <t>Service :</t>
  </si>
  <si>
    <t>ouvert au nom de :</t>
  </si>
  <si>
    <t>Remarque éventuelle :</t>
  </si>
  <si>
    <r>
      <t xml:space="preserve">ADRESSE
</t>
    </r>
    <r>
      <rPr>
        <b/>
        <i/>
        <u/>
        <sz val="11"/>
        <color theme="1" tint="0.499984740745262"/>
        <rFont val="Calibri"/>
        <family val="2"/>
      </rPr>
      <t>* merci de vérifier les informations pré-encodées s'affichant une fois le nom du bénéficiaire sélectionné</t>
    </r>
  </si>
  <si>
    <t>Montant du subside* :</t>
  </si>
  <si>
    <t>adresse* :</t>
  </si>
  <si>
    <t>Base légale* :</t>
  </si>
  <si>
    <t>CP* :</t>
  </si>
  <si>
    <t>N° Visa* :</t>
  </si>
  <si>
    <t>Localité* :</t>
  </si>
  <si>
    <t>Nom, Prénom</t>
  </si>
  <si>
    <t xml:space="preserve"> Fonction telle que reprise dans votre contrat de travail</t>
  </si>
  <si>
    <t>Date début nouveau  contrat ou de l'avenant</t>
  </si>
  <si>
    <t>Type de contrat (en Équivalent temps plein : 1= 1 temps plein, 0.5 un mi-temps…, ) y compris les missions hors POLLEC))</t>
  </si>
  <si>
    <t>Tableau détaillé des frais de personnel</t>
  </si>
  <si>
    <t>Tableau de vérification des frais de personnel (réservé au SPW)</t>
  </si>
  <si>
    <t>NOM Prénom</t>
  </si>
  <si>
    <t>Mois</t>
  </si>
  <si>
    <t>Année</t>
  </si>
  <si>
    <t>Taux d'occupation  mensuel* (%)</t>
  </si>
  <si>
    <t>Brut Soumis
ONSS**</t>
  </si>
  <si>
    <t>Arrièrés</t>
  </si>
  <si>
    <t>****Avantages extra-légaux</t>
  </si>
  <si>
    <t>*****Indemnités perçues</t>
  </si>
  <si>
    <t xml:space="preserve">TOTAL  DÉCLARÉ </t>
  </si>
  <si>
    <t>COMMENTAIRE</t>
  </si>
  <si>
    <t>Taux d'occupation  mensuel*(%)</t>
  </si>
  <si>
    <t>Brut total* *</t>
  </si>
  <si>
    <t>TOTAL ACCEPTÉ</t>
  </si>
  <si>
    <t>Différence Tot.  accepté et déclaré</t>
  </si>
  <si>
    <t>Raison de la révision</t>
  </si>
  <si>
    <t>critère</t>
  </si>
  <si>
    <t xml:space="preserve">  Prénom NOM*</t>
  </si>
  <si>
    <t>Veuillez sélectionner :</t>
  </si>
  <si>
    <t>Sous-traitance</t>
  </si>
  <si>
    <t>Tableau de vérification  des dépenses (réservé au SPW)</t>
  </si>
  <si>
    <t>Sous-rubrique budgétaire</t>
  </si>
  <si>
    <t>Jutification de la dépense</t>
  </si>
  <si>
    <t>N° attribué à la pièce justificative dans la DC</t>
  </si>
  <si>
    <t xml:space="preserve"> TVAC ou HTVA?</t>
  </si>
  <si>
    <t>Facture du 
(Date JJ/MM/AA)</t>
  </si>
  <si>
    <t xml:space="preserve">TOTAL DÉCLARÉ </t>
  </si>
  <si>
    <t>Commentaire bénéficiaire</t>
  </si>
  <si>
    <t>Différence Tot. accepté et déclaré</t>
  </si>
  <si>
    <t>Requalification sous-rubrique</t>
  </si>
  <si>
    <t xml:space="preserve">Raison de la révision </t>
  </si>
  <si>
    <t>critère 2</t>
  </si>
  <si>
    <t>SOUS-TRAITANCE</t>
  </si>
  <si>
    <t xml:space="preserve">Veuillez sélectionner : </t>
  </si>
  <si>
    <t xml:space="preserve">Modèle de déclaration de créance </t>
  </si>
  <si>
    <t>Département de l'Energie et du Bâtiment durable 
Direction de la Promotion de l'Energie durable</t>
  </si>
  <si>
    <t>Rue des brigades d'Irlande, 1</t>
  </si>
  <si>
    <t>5100 JAMBES</t>
  </si>
  <si>
    <t>Vos Réf. :</t>
  </si>
  <si>
    <t>Objet :</t>
  </si>
  <si>
    <t xml:space="preserve"> DECLARATION DE CREANCE</t>
  </si>
  <si>
    <t xml:space="preserve">Dossier </t>
  </si>
  <si>
    <t>Pour la période du :</t>
  </si>
  <si>
    <t xml:space="preserve">au </t>
  </si>
  <si>
    <t xml:space="preserve">Visa n° : </t>
  </si>
  <si>
    <t>Référence légale</t>
  </si>
  <si>
    <t>Je soussigné (Prénom, Nom),</t>
  </si>
  <si>
    <t>(Fonction) :</t>
  </si>
  <si>
    <t xml:space="preserve">déclare par la présente qu’il est dû à </t>
  </si>
  <si>
    <t xml:space="preserve">(Nom de l'organisme) </t>
  </si>
  <si>
    <t>par la Région wallonne, le montant de  (€) :</t>
  </si>
  <si>
    <t xml:space="preserve">pour </t>
  </si>
  <si>
    <t xml:space="preserve">Cette somme est payable au compte : </t>
  </si>
  <si>
    <t>IBAN :</t>
  </si>
  <si>
    <t>BIC :</t>
  </si>
  <si>
    <t xml:space="preserve">  </t>
  </si>
  <si>
    <t>Numéro d'entreprise (BCE)</t>
  </si>
  <si>
    <t>Certifié sincère et véritable à la somme de (Montant en lettres) :</t>
  </si>
  <si>
    <t xml:space="preserve">Fait à </t>
  </si>
  <si>
    <t xml:space="preserve"> le</t>
  </si>
  <si>
    <t>Signature</t>
  </si>
  <si>
    <t>Annexes :</t>
  </si>
  <si>
    <t>Voir la liste des annexes requises dans le Rapport d'activité</t>
  </si>
  <si>
    <t>Période du</t>
  </si>
  <si>
    <t>au</t>
  </si>
  <si>
    <t xml:space="preserve">TABLEAU RÉCAPITULATIF DC </t>
  </si>
  <si>
    <t>BUDGET subside</t>
  </si>
  <si>
    <t>RUBRIQUES BUDGÉTAIRES</t>
  </si>
  <si>
    <t>MONTANTS DECLARES</t>
  </si>
  <si>
    <t>MONTANTS ACCEPTES</t>
  </si>
  <si>
    <t>1: PERSONNEL</t>
  </si>
  <si>
    <t>2 : SOUS-TRAITANCE</t>
  </si>
  <si>
    <t>TOTAL GENERAL</t>
  </si>
  <si>
    <t>Taux de subventionnement</t>
  </si>
  <si>
    <t>MONTANT SUBVENTIONNE PAR LE SPW</t>
  </si>
  <si>
    <t>Différence total accepté/déclaré :</t>
  </si>
  <si>
    <t>Montant total liquidé par DC :</t>
  </si>
  <si>
    <t>Fonds de roulement liquidé :</t>
  </si>
  <si>
    <t>Note à Muriel Hoogtoel</t>
  </si>
  <si>
    <t>Correspondante budgétaire</t>
  </si>
  <si>
    <t xml:space="preserve"> RAPPORT DE VÉRIFICATION TECHNIQUE (À JOINDRE À LA DÉCLARATION DE CRÉANCE ET TABLEAU D’ANALYSE POUR LES SUBVENTIONS)</t>
  </si>
  <si>
    <t xml:space="preserve">I: INFORMATIONS GÉNÉRALES </t>
  </si>
  <si>
    <t>Nom du requérant :</t>
  </si>
  <si>
    <t xml:space="preserve">Type :        </t>
  </si>
  <si>
    <t xml:space="preserve"> Subvention   </t>
  </si>
  <si>
    <t>Marché</t>
  </si>
  <si>
    <t>Nom du projet :</t>
  </si>
  <si>
    <t>N° BCE :</t>
  </si>
  <si>
    <t>DC  du</t>
  </si>
  <si>
    <t>Communication :</t>
  </si>
  <si>
    <t xml:space="preserve">d’un montant déclaré de :                       </t>
  </si>
  <si>
    <t>Budget</t>
  </si>
  <si>
    <t xml:space="preserve">N° Visa  </t>
  </si>
  <si>
    <t>Convention :</t>
  </si>
  <si>
    <t>Gestionnaire technique :</t>
  </si>
  <si>
    <t>Zélie Mulders</t>
  </si>
  <si>
    <t>Transmis à l’agent traitant le:</t>
  </si>
  <si>
    <t>Échéance:</t>
  </si>
  <si>
    <t>Agent comptable :</t>
  </si>
  <si>
    <t>Isabelle PIERRARD</t>
  </si>
  <si>
    <t>II : ANALYSE TECHNIQUE</t>
  </si>
  <si>
    <t xml:space="preserve">Les documents suivants, prévus par l'arrêté, la convention ou le bon de commande ont été remis et approuvés </t>
  </si>
  <si>
    <t>en date du :</t>
  </si>
  <si>
    <t xml:space="preserve"> Rapport d'activité</t>
  </si>
  <si>
    <t>Pièces jutificatives</t>
  </si>
  <si>
    <t>Livrables prévus dans l'AM</t>
  </si>
  <si>
    <t>III : ANALYSE FINANCIÈRE</t>
  </si>
  <si>
    <t>La facture / déclaration de créance est conforme au bon de commande</t>
  </si>
  <si>
    <t xml:space="preserve">ou </t>
  </si>
  <si>
    <r>
      <t>Le gestionnaire technique a examiné les pièces justificatives et déclare que leur objet et leur montant sont conformes aux indications de l'arrêté ou de la convention</t>
    </r>
    <r>
      <rPr>
        <b/>
        <sz val="9"/>
        <color theme="1"/>
        <rFont val="Calibri"/>
        <family val="2"/>
      </rPr>
      <t xml:space="preserve"> et joint le formulaire C4 (=Synthèse)</t>
    </r>
  </si>
  <si>
    <t>Remarques :</t>
  </si>
  <si>
    <t>IV : LIQUIDATION(S)</t>
  </si>
  <si>
    <t>V : DÉSENGAGEMENT</t>
  </si>
  <si>
    <t xml:space="preserve">N° de visa </t>
  </si>
  <si>
    <t xml:space="preserve">Montant à liquider </t>
  </si>
  <si>
    <t xml:space="preserve">Un solde de </t>
  </si>
  <si>
    <t>sera à désengager si le bénéficiaire ne se manifeste pas dans le mois à dater de la réception  du rapport de vérification comptable.</t>
  </si>
  <si>
    <t>Fonds de roulement justifié :</t>
  </si>
  <si>
    <t>IV : PLAN D'ORDONANCEMENT</t>
  </si>
  <si>
    <t>Le plan d'ordonancement est transmis dans un tableau en annexe</t>
  </si>
  <si>
    <t>Agent traitant :</t>
  </si>
  <si>
    <t>Directeur : Frédéric DOUILLET</t>
  </si>
  <si>
    <t xml:space="preserve">Date + signature : </t>
  </si>
  <si>
    <t>RECAPITULATIF POUR LE PLAN D'ORDONNANCEMENT</t>
  </si>
  <si>
    <t>Visa initial</t>
  </si>
  <si>
    <t>N° visa</t>
  </si>
  <si>
    <t xml:space="preserve">Pascal LEHANCE </t>
  </si>
  <si>
    <t>Nom des bénéficiaires</t>
  </si>
  <si>
    <t xml:space="preserve">Total de la subvention </t>
  </si>
  <si>
    <t>Fonds de roulement</t>
  </si>
  <si>
    <t>DC1</t>
  </si>
  <si>
    <t>DC2</t>
  </si>
  <si>
    <t>Objet : Clôture dossier comptable- C5-désengagement/remboursement</t>
  </si>
  <si>
    <r>
      <t xml:space="preserve"> </t>
    </r>
    <r>
      <rPr>
        <u/>
        <sz val="11"/>
        <color theme="1"/>
        <rFont val="Calibri"/>
        <family val="2"/>
      </rPr>
      <t>et déclare :</t>
    </r>
  </si>
  <si>
    <t>Que des justificatifs on été founis pour un montant total de :</t>
  </si>
  <si>
    <t xml:space="preserve">Qu'un montant de </t>
  </si>
  <si>
    <r>
      <t xml:space="preserve"> doit être </t>
    </r>
    <r>
      <rPr>
        <u/>
        <sz val="11"/>
        <color theme="1"/>
        <rFont val="Calibri"/>
        <family val="2"/>
      </rPr>
      <t>désengagé</t>
    </r>
  </si>
  <si>
    <r>
      <t xml:space="preserve"> doit être </t>
    </r>
    <r>
      <rPr>
        <u/>
        <sz val="11"/>
        <color theme="1"/>
        <rFont val="Calibri"/>
        <family val="2"/>
      </rPr>
      <t>récupéré</t>
    </r>
  </si>
  <si>
    <t xml:space="preserve">Signature : </t>
  </si>
  <si>
    <t>Transmis à la compta  le:</t>
  </si>
  <si>
    <t>DATE_DEB_CONV</t>
  </si>
  <si>
    <t>DATE_FIN_CONV</t>
  </si>
  <si>
    <t>DC_N°</t>
  </si>
  <si>
    <t>DC_TOT_DECL</t>
  </si>
  <si>
    <t>IDENTIF_ADRESSE</t>
  </si>
  <si>
    <t>IDENTIF_ADRESSE_CP</t>
  </si>
  <si>
    <t>IDENTIF_ADRESSE_LOC</t>
  </si>
  <si>
    <t>IDENTIF_AGT_CIV</t>
  </si>
  <si>
    <t>IDENTIF_AGT_EMAIL</t>
  </si>
  <si>
    <t>IDENTIF_AGT_NOM</t>
  </si>
  <si>
    <t>IDENTIF_AGT_SERVICE</t>
  </si>
  <si>
    <t>IDENTIF_AGT_TEL</t>
  </si>
  <si>
    <t>IDENTIF_BCE</t>
  </si>
  <si>
    <t>IDENTIF_BUDG_AB_CONV</t>
  </si>
  <si>
    <t>IDENTIF_BUDG_PROGRAMME_CONV</t>
  </si>
  <si>
    <t>IDENTIF_COMPTE_BIC</t>
  </si>
  <si>
    <t>IDENTIF_COMPTE_COM</t>
  </si>
  <si>
    <t>IDENTIF_COMPTE_N°IBAN</t>
  </si>
  <si>
    <t>IDENTIF_COMPTE_OUVERT_NOM_DE</t>
  </si>
  <si>
    <t>IDENTIF_DEB_DC</t>
  </si>
  <si>
    <t>IDENTIF_Durée_de_la_DC_en_mois</t>
  </si>
  <si>
    <t>IDENTIF_FIN_DC</t>
  </si>
  <si>
    <t>IDENTIF_LEGALE</t>
  </si>
  <si>
    <t>IDENTIF_MONTANT_SUBSIDE</t>
  </si>
  <si>
    <t>IDENTIF_NOM_PROJET</t>
  </si>
  <si>
    <t>IDENTIF_NOM_REQUERANT</t>
  </si>
  <si>
    <t>IDENTIF_TAUX_DE_FINANCEMENT</t>
  </si>
  <si>
    <t>IDENTIF_VISA_CONV</t>
  </si>
  <si>
    <t>MONTANT_DC_C3_FONDS_ROULEMENT_JUSTIFIE</t>
  </si>
  <si>
    <t>MONTANT_DC_C3_SOLDE_DESENGAGE</t>
  </si>
  <si>
    <t>MONTANT_DC_C3_TOT_LIQUIDE</t>
  </si>
  <si>
    <t>MONTANT_TOT_PERSO_DECL</t>
  </si>
  <si>
    <t>MONTANT_TOT_PERSO_ACC</t>
  </si>
  <si>
    <t>MONTANT_TOT_SSTRAIT_DECL</t>
  </si>
  <si>
    <t>MONTANT_TOT_SSTRAIT_ACC</t>
  </si>
  <si>
    <t>PL_ORDO_DC1</t>
  </si>
  <si>
    <t>PL_ORDO_DC2</t>
  </si>
  <si>
    <t>SYNT_A_REMBOURSER</t>
  </si>
  <si>
    <t>SYNT_BUDGET_100</t>
  </si>
  <si>
    <t>SYNTH_ACC_1_100</t>
  </si>
  <si>
    <t>SYNTH_ACC_2_100</t>
  </si>
  <si>
    <t>SYNTH_DECL_1_100</t>
  </si>
  <si>
    <t>SYNTH_DECL_2_100</t>
  </si>
  <si>
    <t>SYNTH_DIFF_1</t>
  </si>
  <si>
    <t>SYNTH_DIFF_2</t>
  </si>
  <si>
    <t>SYNTH_DIFF_TOT</t>
  </si>
  <si>
    <t>SYNTH_FR</t>
  </si>
  <si>
    <t>SYNTH_FR_JUSTIF_1</t>
  </si>
  <si>
    <t>SYNTH_FR_JUSTIF_2</t>
  </si>
  <si>
    <t>SYNTH_FR_SOLDE_1</t>
  </si>
  <si>
    <t>SYNTH_FR_SOLDE_1_2</t>
  </si>
  <si>
    <t>SYNTH_FR_SOLDE_2</t>
  </si>
  <si>
    <t>SYNTH_MONTANT_LIQUIDE_1</t>
  </si>
  <si>
    <t>SYNTH_MONTANT_LIQUIDE_2</t>
  </si>
  <si>
    <t>SYNTH_PERSO_ACC_1</t>
  </si>
  <si>
    <t>SYNTH_PERSO_ACC_2</t>
  </si>
  <si>
    <t>SYNTH_PERSO_DECL_1</t>
  </si>
  <si>
    <t>SYNTH_PERSO_DECL_2</t>
  </si>
  <si>
    <t>SYNTH_SOLDE</t>
  </si>
  <si>
    <t>SYNTH_SST_ACC_1</t>
  </si>
  <si>
    <t>SYNTH_SST_ACC_2</t>
  </si>
  <si>
    <t>SYNTH_SST_DECL_1</t>
  </si>
  <si>
    <t>SYNTH_SST_DECL_2</t>
  </si>
  <si>
    <t>SYNTH_SUBSIDE</t>
  </si>
  <si>
    <t>SYNTH_SUBSIDE_SOLDE</t>
  </si>
  <si>
    <t>SYNTH_TOT_ACC_100</t>
  </si>
  <si>
    <t>SYNTH_TOT_DC_ACC</t>
  </si>
  <si>
    <t>SYNTH_TOT_DC_ACC_1</t>
  </si>
  <si>
    <t>SYNTH_TOT_DC_ACC_2</t>
  </si>
  <si>
    <t>SYNTH_TOT_DC_DECL</t>
  </si>
  <si>
    <t>SYNTH_TOT_DC_DECL_1</t>
  </si>
  <si>
    <t>SYNTH_TOT_DC_DECL_2</t>
  </si>
  <si>
    <t>SYNTH_TOT_DECL_100</t>
  </si>
  <si>
    <t>SYNTH_TOT_LIQUIDE_1_2</t>
  </si>
  <si>
    <t>SYNTH_TOT_PERSO_ACC</t>
  </si>
  <si>
    <t>SYNTH_TOT_PERSO_DECL</t>
  </si>
  <si>
    <t>SYNTH_TOT_SST_ACC</t>
  </si>
  <si>
    <t>SYNTH_TOT_SST_DECL</t>
  </si>
  <si>
    <t>TVA</t>
  </si>
  <si>
    <t>VOS_REF</t>
  </si>
  <si>
    <t>raison révision frais de personnel</t>
  </si>
  <si>
    <t>raison révision SS-traitance</t>
  </si>
  <si>
    <t>GT</t>
  </si>
  <si>
    <t>TEL_GT</t>
  </si>
  <si>
    <t>EMAIL</t>
  </si>
  <si>
    <t>='5-Synthèse'!$L$21</t>
  </si>
  <si>
    <t>='5-Synthèse'!$C$11</t>
  </si>
  <si>
    <t>='5-Synthèse'!$E$11</t>
  </si>
  <si>
    <t>='5-Synthèse'!$G$11</t>
  </si>
  <si>
    <t>='5-Synthèse'!$D$11</t>
  </si>
  <si>
    <t>='5-Synthèse'!$F$11</t>
  </si>
  <si>
    <t>='5-Synthèse'!$E$16</t>
  </si>
  <si>
    <t>='5-Synthèse'!$G$16</t>
  </si>
  <si>
    <t>='5-Synthèse'!$J$16</t>
  </si>
  <si>
    <t>='5-Synthèse'!$C$20</t>
  </si>
  <si>
    <t>='5-Synthèse'!$E$21</t>
  </si>
  <si>
    <t>='5-Synthèse'!$G$21</t>
  </si>
  <si>
    <t>='5-Synthèse'!$E$22</t>
  </si>
  <si>
    <t>='5-Synthèse'!$J$21</t>
  </si>
  <si>
    <t>='5-Synthèse'!$G$22</t>
  </si>
  <si>
    <t>='5-Synthèse'!$E$18</t>
  </si>
  <si>
    <t>='5-Synthèse'!$G$18</t>
  </si>
  <si>
    <t>='5-Synthèse'!$E$8</t>
  </si>
  <si>
    <t>='5-Synthèse'!$G$8</t>
  </si>
  <si>
    <t>='5-Synthèse'!$D$8</t>
  </si>
  <si>
    <t>='5-Synthèse'!$F$8</t>
  </si>
  <si>
    <t>='5-Synthèse'!$L$18</t>
  </si>
  <si>
    <t>='5-Synthèse'!$E$10</t>
  </si>
  <si>
    <t>='5-Synthèse'!$G$10</t>
  </si>
  <si>
    <t>='5-Synthèse'!$D$10</t>
  </si>
  <si>
    <t>='5-Synthèse'!$F$10</t>
  </si>
  <si>
    <t>='5-Synthèse'!$C$14</t>
  </si>
  <si>
    <t>='5-Synthèse'!$L$14</t>
  </si>
  <si>
    <t>='5-Synthèse'!$J$11</t>
  </si>
  <si>
    <t>='5-Synthèse'!$J$14</t>
  </si>
  <si>
    <t>='5-Synthèse'!$E$14</t>
  </si>
  <si>
    <t>='5-Synthèse'!$G$14</t>
  </si>
  <si>
    <t>='5-Synthèse'!$I$14</t>
  </si>
  <si>
    <t>='5-Synthèse'!$D$14</t>
  </si>
  <si>
    <t>='5-Synthèse'!$F$14</t>
  </si>
  <si>
    <t>='5-Synthèse'!$I$11</t>
  </si>
  <si>
    <t>='5-Synthèse'!$J$18</t>
  </si>
  <si>
    <t>='5-Synthèse'!$J$8</t>
  </si>
  <si>
    <t>='5-Synthèse'!$I$8</t>
  </si>
  <si>
    <t>='5-Synthèse'!$J$10</t>
  </si>
  <si>
    <t>='5-Synthèse'!$I$10</t>
  </si>
  <si>
    <t>TAB_P20_RH</t>
  </si>
  <si>
    <t>='infos bénéficiaires'!$A$1:$N$155</t>
  </si>
  <si>
    <t>='1-Identification'!$B$15</t>
  </si>
  <si>
    <t>='4-Déclaration de créance'!$B$12</t>
  </si>
  <si>
    <t>Type de candidature</t>
  </si>
  <si>
    <t xml:space="preserve">Montant du subside </t>
  </si>
  <si>
    <t>N° de compte
Volet 1</t>
  </si>
  <si>
    <t>N°BCE</t>
  </si>
  <si>
    <t>AB V1</t>
  </si>
  <si>
    <t>N° AM V1</t>
  </si>
  <si>
    <t>Visa V1</t>
  </si>
  <si>
    <t>adresse</t>
  </si>
  <si>
    <t>CP</t>
  </si>
  <si>
    <t>Localite</t>
  </si>
  <si>
    <t>AM</t>
  </si>
  <si>
    <t>Date AM V1 et v3</t>
  </si>
  <si>
    <t>Ref AM V1</t>
  </si>
  <si>
    <t>Aiseau-Presles</t>
  </si>
  <si>
    <t>BE98 0910 0035 5693</t>
  </si>
  <si>
    <t>0216.690.971</t>
  </si>
  <si>
    <t>I_43.01</t>
  </si>
  <si>
    <t>RH_3</t>
  </si>
  <si>
    <t>20/20494 </t>
  </si>
  <si>
    <t>Rue Président John Kennedy, 150</t>
  </si>
  <si>
    <t>AISEAU-PRESLES</t>
  </si>
  <si>
    <t>Arrêté ministériel POLLEC 2020_</t>
  </si>
  <si>
    <t xml:space="preserve"> du 02-12-2020</t>
  </si>
  <si>
    <t>Amay</t>
  </si>
  <si>
    <t>BE06 0910 1021 3422</t>
  </si>
  <si>
    <t>0207.330.471</t>
  </si>
  <si>
    <t>RH_4</t>
  </si>
  <si>
    <t>20/20496 </t>
  </si>
  <si>
    <t>Chaussée Freddy Terwagne, 76</t>
  </si>
  <si>
    <t>AMAY</t>
  </si>
  <si>
    <t>Andenne</t>
  </si>
  <si>
    <t>BE49 0910 0051 8371</t>
  </si>
  <si>
    <t>0207.258.514</t>
  </si>
  <si>
    <t>RH_1</t>
  </si>
  <si>
    <t>20/20492 </t>
  </si>
  <si>
    <t>Place des Tilleuls, 1</t>
  </si>
  <si>
    <t>ANDENNE</t>
  </si>
  <si>
    <t>Ans</t>
  </si>
  <si>
    <t>BE53 0910 0040 9853</t>
  </si>
  <si>
    <t>0207.338.092</t>
  </si>
  <si>
    <t>Esplanade de l'Hôtel communal, 1</t>
  </si>
  <si>
    <t>ANS</t>
  </si>
  <si>
    <t>Arlon</t>
  </si>
  <si>
    <t>BE82 0910 0049 8668</t>
  </si>
  <si>
    <t>0206.524.876</t>
  </si>
  <si>
    <t>RH_5</t>
  </si>
  <si>
    <t>20/20495 </t>
  </si>
  <si>
    <t>Rue Paul Reuter, 8</t>
  </si>
  <si>
    <t>ARLON</t>
  </si>
  <si>
    <t>Assesse</t>
  </si>
  <si>
    <t>BE67 0910 0051 9987</t>
  </si>
  <si>
    <t xml:space="preserve">0207.350.762 </t>
  </si>
  <si>
    <t>Esplanade des Citoyens, 4</t>
  </si>
  <si>
    <t>ASSESSE</t>
  </si>
  <si>
    <t>Ath</t>
  </si>
  <si>
    <t>BE19 0910 0035 7212</t>
  </si>
  <si>
    <t>0207.281.476</t>
  </si>
  <si>
    <t>Rue de Pintamont, 54</t>
  </si>
  <si>
    <t>ATH</t>
  </si>
  <si>
    <t>Attert</t>
  </si>
  <si>
    <t>BE91 0910 0049 9476</t>
  </si>
  <si>
    <t xml:space="preserve">0207.380.456 </t>
  </si>
  <si>
    <t>voie de la Liberté 107</t>
  </si>
  <si>
    <t>ATTERT</t>
  </si>
  <si>
    <t>Aubange</t>
  </si>
  <si>
    <t>BE36 0910 0049 9981</t>
  </si>
  <si>
    <t xml:space="preserve">0207.380.555 </t>
  </si>
  <si>
    <t>Rue Haute, 22</t>
  </si>
  <si>
    <t>ATHUS</t>
  </si>
  <si>
    <t>Aywaille</t>
  </si>
  <si>
    <t>BE53 0000 0199 3853</t>
  </si>
  <si>
    <t xml:space="preserve">0207.338.686 </t>
  </si>
  <si>
    <t>Parc Louis Thiry - rue de La Heid 8</t>
  </si>
  <si>
    <t>AYWAILLE</t>
  </si>
  <si>
    <t>Bastogne</t>
  </si>
  <si>
    <t>BE78 0910 0050 0486</t>
  </si>
  <si>
    <t>0206.524.975</t>
  </si>
  <si>
    <t>Rue du Vivier, 58</t>
  </si>
  <si>
    <t>BASTOGNE</t>
  </si>
  <si>
    <t>Beaumont</t>
  </si>
  <si>
    <t>BE39 0910 0035 7919</t>
  </si>
  <si>
    <t>0207.298.502</t>
  </si>
  <si>
    <t>Grand Place, 11</t>
  </si>
  <si>
    <t>BEAUMONT</t>
  </si>
  <si>
    <t>Beauraing</t>
  </si>
  <si>
    <t>BE08 0910 0052 2213</t>
  </si>
  <si>
    <t>0207.394.116</t>
  </si>
  <si>
    <t>Place de Seurre 3-5</t>
  </si>
  <si>
    <t>BEAURAING</t>
  </si>
  <si>
    <t>Bernissart</t>
  </si>
  <si>
    <t>BE26 0910 0035 8929</t>
  </si>
  <si>
    <t>0207.279.397</t>
  </si>
  <si>
    <t>rue du Fraity 76</t>
  </si>
  <si>
    <t>BERNISSART</t>
  </si>
  <si>
    <t>Bertogne</t>
  </si>
  <si>
    <t>BE45 0910 0050 0789</t>
  </si>
  <si>
    <t>0207.382.733</t>
  </si>
  <si>
    <t>rue Grande 33 bte 2</t>
  </si>
  <si>
    <t>BERTOGNE</t>
  </si>
  <si>
    <t>Bertrix</t>
  </si>
  <si>
    <t>BE12 0910 0050 1092</t>
  </si>
  <si>
    <t xml:space="preserve">0206.567.042 </t>
  </si>
  <si>
    <t>Rue de la Gare, 38</t>
  </si>
  <si>
    <t>BERTRIX</t>
  </si>
  <si>
    <t>Bouillon</t>
  </si>
  <si>
    <t>BE21 0910 0050 1803</t>
  </si>
  <si>
    <t>0206.544.969</t>
  </si>
  <si>
    <t>Place Ducale, 1</t>
  </si>
  <si>
    <t>BOUILLON</t>
  </si>
  <si>
    <t>Braine-l'Alleud</t>
  </si>
  <si>
    <t>BE04 0910 0013 6031</t>
  </si>
  <si>
    <t xml:space="preserve">0207.312.952 </t>
  </si>
  <si>
    <t>Avenue du 21 juillet, 1</t>
  </si>
  <si>
    <t>BRAINE-L'ALLEUD</t>
  </si>
  <si>
    <t>Braine-le-Château</t>
  </si>
  <si>
    <t>BE44 0910 0013 7445</t>
  </si>
  <si>
    <t xml:space="preserve">0207.315.229 </t>
  </si>
  <si>
    <t>rue de la Libération 9</t>
  </si>
  <si>
    <t>BRAINE-LE-CHATEAU</t>
  </si>
  <si>
    <t>Braives</t>
  </si>
  <si>
    <t>BE98 0910 0041 3893</t>
  </si>
  <si>
    <t xml:space="preserve">0207.375.310 </t>
  </si>
  <si>
    <t>Rue du Cornuchamp 5</t>
  </si>
  <si>
    <t>BRAIVES</t>
  </si>
  <si>
    <t>Brunehaut</t>
  </si>
  <si>
    <t>BE07 0910 0036 2666</t>
  </si>
  <si>
    <t>0216.692.951</t>
  </si>
  <si>
    <t>Rue Wibaut Bouchart, 11</t>
  </si>
  <si>
    <t>BLEHARIES</t>
  </si>
  <si>
    <t>Bureau économique de la Province de Namur</t>
  </si>
  <si>
    <t>BE84 0910 0169 0859</t>
  </si>
  <si>
    <t>0219.802.592</t>
  </si>
  <si>
    <t>I_43.03</t>
  </si>
  <si>
    <t>SUPRA_RH_2</t>
  </si>
  <si>
    <t>20/20490 </t>
  </si>
  <si>
    <t>Avenue du Sergent Vrithoff 2</t>
  </si>
  <si>
    <t>Namur</t>
  </si>
  <si>
    <t>Celles</t>
  </si>
  <si>
    <t>BE71 0910 0036 2969</t>
  </si>
  <si>
    <t xml:space="preserve">0207.308.596 </t>
  </si>
  <si>
    <t>Rue Parfait, 14</t>
  </si>
  <si>
    <t>CELLES</t>
  </si>
  <si>
    <t>Chapelle-lez-Herlaimont</t>
  </si>
  <si>
    <t>BE38 0910 0036 3272</t>
  </si>
  <si>
    <t>0207.284.248</t>
  </si>
  <si>
    <t>Place de l'Hôtel de Ville 16</t>
  </si>
  <si>
    <t>CHAPELLE-LEZ-HERLAIMONT</t>
  </si>
  <si>
    <t>Charleroi</t>
  </si>
  <si>
    <t>BE85 0910 0036 6306</t>
  </si>
  <si>
    <t>0207.310.774</t>
  </si>
  <si>
    <t>place Charles II 14-15</t>
  </si>
  <si>
    <t>CHARLEROI</t>
  </si>
  <si>
    <t>Chaumont-Gistoux</t>
  </si>
  <si>
    <t>BE71 0910 0013 9869</t>
  </si>
  <si>
    <t>0207.274.647</t>
  </si>
  <si>
    <t>Rue Colleau, 2</t>
  </si>
  <si>
    <t>CHAUMONT-GISTOUX</t>
  </si>
  <si>
    <t>Chièvres</t>
  </si>
  <si>
    <t>BE55 0910 0037 0144</t>
  </si>
  <si>
    <t>0207.316.714</t>
  </si>
  <si>
    <t>Rue du Grand Vivier, 2</t>
  </si>
  <si>
    <t>CHIEVRES</t>
  </si>
  <si>
    <t>Chimay</t>
  </si>
  <si>
    <t>BE22 0910 0037 0447</t>
  </si>
  <si>
    <t>0207.300.678</t>
  </si>
  <si>
    <t>Grand-Place, 13</t>
  </si>
  <si>
    <t>CHIMAY</t>
  </si>
  <si>
    <t>Chiny</t>
  </si>
  <si>
    <t>BE63 0910 0050 2308</t>
  </si>
  <si>
    <t>0207.348.584</t>
  </si>
  <si>
    <t>Rue du Faing, 10</t>
  </si>
  <si>
    <t>JAMOIGNE</t>
  </si>
  <si>
    <t>Comines-Warneton</t>
  </si>
  <si>
    <t>BE03 0910 0037 4184</t>
  </si>
  <si>
    <t>0207.293.651</t>
  </si>
  <si>
    <t>Place Sainte-Anne, 21</t>
  </si>
  <si>
    <t>COMINES-WARNETON</t>
  </si>
  <si>
    <t>Commission de gestion du Parc naturel de Gaume</t>
  </si>
  <si>
    <t>BE26 0910 2139 8229</t>
  </si>
  <si>
    <t>0859.743.068</t>
  </si>
  <si>
    <t>Rue Camille Joset, 1</t>
  </si>
  <si>
    <t>ROSSIGNOL</t>
  </si>
  <si>
    <t>Court-Saint-Etienne</t>
  </si>
  <si>
    <t>BE38 0910 0014 0172</t>
  </si>
  <si>
    <t>0206.491.422</t>
  </si>
  <si>
    <t>Rue des Ecoles, 1</t>
  </si>
  <si>
    <t>COURT-SAINT-ETIENNE</t>
  </si>
  <si>
    <t>Couvin</t>
  </si>
  <si>
    <t>BE35 0910 0052 4637</t>
  </si>
  <si>
    <t>0206.626.925</t>
  </si>
  <si>
    <t>avenue de la Libération 2</t>
  </si>
  <si>
    <t>COUVIN</t>
  </si>
  <si>
    <t>Dalhem</t>
  </si>
  <si>
    <t>BE81 0910 0041 6624</t>
  </si>
  <si>
    <t>0207.340.468</t>
  </si>
  <si>
    <t>rue de Maestricht 7</t>
  </si>
  <si>
    <t>BERNEAU</t>
  </si>
  <si>
    <t>Dinant</t>
  </si>
  <si>
    <t>BE77 0910 0052 5142</t>
  </si>
  <si>
    <t>0206.702.050</t>
  </si>
  <si>
    <t>rue Grande 112</t>
  </si>
  <si>
    <t>DINANT</t>
  </si>
  <si>
    <t>Dison</t>
  </si>
  <si>
    <t>BE90 0910 0041 7432</t>
  </si>
  <si>
    <t>0206.644.444</t>
  </si>
  <si>
    <t>RH_2</t>
  </si>
  <si>
    <t>20/20491 </t>
  </si>
  <si>
    <t>Rue Albert Ier, 66</t>
  </si>
  <si>
    <t>DISON</t>
  </si>
  <si>
    <t>Durbuy</t>
  </si>
  <si>
    <t>BE72 0910 0050 3116</t>
  </si>
  <si>
    <t>0207.386.196</t>
  </si>
  <si>
    <t>Basse Cour, 13</t>
  </si>
  <si>
    <t>BARVAUX</t>
  </si>
  <si>
    <t>Ecaussinnes</t>
  </si>
  <si>
    <t>BE19 0910 0037 6612</t>
  </si>
  <si>
    <t>0216.691.961</t>
  </si>
  <si>
    <t>Grand-Place, 3</t>
  </si>
  <si>
    <t>ECAUSSINNES</t>
  </si>
  <si>
    <t>Eghezée</t>
  </si>
  <si>
    <t>BE62 0910 0052 7061</t>
  </si>
  <si>
    <t xml:space="preserve">0207.359.967 </t>
  </si>
  <si>
    <t>Route de Gembloux, 43</t>
  </si>
  <si>
    <t>EGHEZEE</t>
  </si>
  <si>
    <t>Enghien</t>
  </si>
  <si>
    <t>BE72 0910 0037 7016</t>
  </si>
  <si>
    <t>0206.667.606</t>
  </si>
  <si>
    <t>Avenue Reine Astrid, 18b</t>
  </si>
  <si>
    <t>ENGHIEN</t>
  </si>
  <si>
    <t>Engis</t>
  </si>
  <si>
    <t xml:space="preserve">BE88 0910 0041 8341 </t>
  </si>
  <si>
    <t xml:space="preserve">0216.693.743 </t>
  </si>
  <si>
    <t>Rue Reine Astrid 13</t>
  </si>
  <si>
    <t>ENGIS</t>
  </si>
  <si>
    <t>Esneux</t>
  </si>
  <si>
    <t>BE55 0910 0041 8644</t>
  </si>
  <si>
    <t xml:space="preserve">0207.340.963 </t>
  </si>
  <si>
    <t>place Jean d'Ardenne 1</t>
  </si>
  <si>
    <t>ESNEUX</t>
  </si>
  <si>
    <t>Estaimpuis</t>
  </si>
  <si>
    <t>BE81 0910 0037 7824</t>
  </si>
  <si>
    <t xml:space="preserve">0207.309.091 </t>
  </si>
  <si>
    <t>RH_6</t>
  </si>
  <si>
    <t>20/20828</t>
  </si>
  <si>
    <t>rue de Berne 4</t>
  </si>
  <si>
    <t>ESTAIMPUIS</t>
  </si>
  <si>
    <t>Etalle</t>
  </si>
  <si>
    <t>BE48 0910 0050 4227</t>
  </si>
  <si>
    <t>0207.348.782</t>
  </si>
  <si>
    <t>Rue du Moulin 15</t>
  </si>
  <si>
    <t>ETALLE</t>
  </si>
  <si>
    <t>Fauvillers</t>
  </si>
  <si>
    <t>BE15 0910 0050 4530</t>
  </si>
  <si>
    <t xml:space="preserve">0207.383.129 </t>
  </si>
  <si>
    <t>Place Communale 312</t>
  </si>
  <si>
    <t>FAUVILLERS</t>
  </si>
  <si>
    <t>Flémalle</t>
  </si>
  <si>
    <t xml:space="preserve">BE69 0910 0042 2078 </t>
  </si>
  <si>
    <t xml:space="preserve">0216.694.337 </t>
  </si>
  <si>
    <t>Grand'Route, 287</t>
  </si>
  <si>
    <t>FLEMALLE-HAUTE</t>
  </si>
  <si>
    <t>Fleurus</t>
  </si>
  <si>
    <t xml:space="preserve">BE57 0910 0037 8935 </t>
  </si>
  <si>
    <t>0207.313.348</t>
  </si>
  <si>
    <t>Chemin de Mons, 61</t>
  </si>
  <si>
    <t>FLEURUS</t>
  </si>
  <si>
    <t>Florennes</t>
  </si>
  <si>
    <t>BE71 0910 0052 7869</t>
  </si>
  <si>
    <t>0206.703.040</t>
  </si>
  <si>
    <t>Place de l'hôtel de ville, 1</t>
  </si>
  <si>
    <t>FLORENNES</t>
  </si>
  <si>
    <t>Florenville</t>
  </si>
  <si>
    <t>BE90 0910 0050 4732</t>
  </si>
  <si>
    <t>0207.348.980</t>
  </si>
  <si>
    <t>rue du Château 5</t>
  </si>
  <si>
    <t>FLORENVILLE</t>
  </si>
  <si>
    <t>Fontaine-l'Evêque</t>
  </si>
  <si>
    <t>BE11 0910 0038 0248</t>
  </si>
  <si>
    <t>0207.284.347</t>
  </si>
  <si>
    <t>Rue du Château, 1</t>
  </si>
  <si>
    <t>FONTAINE-L'EVÊQUE</t>
  </si>
  <si>
    <t>Frameries</t>
  </si>
  <si>
    <t>BE31 0910 0038 0955</t>
  </si>
  <si>
    <t>0207.287.713</t>
  </si>
  <si>
    <t>Rue Archimède, 1</t>
  </si>
  <si>
    <t>FRAMERIES</t>
  </si>
  <si>
    <t>Frasnes-Lez-Anvaing</t>
  </si>
  <si>
    <t>BE20 0910 0038 1056</t>
  </si>
  <si>
    <t>0216.690.773</t>
  </si>
  <si>
    <t>Place de l'Hôtel de Ville, 1</t>
  </si>
  <si>
    <t>FRASNES-LEZ-ANVAING</t>
  </si>
  <si>
    <t>Gal Pays de l'Ourthe</t>
  </si>
  <si>
    <t>BE22 0682 5095 0747</t>
  </si>
  <si>
    <t>0476.741.538</t>
  </si>
  <si>
    <t>I_33.01</t>
  </si>
  <si>
    <t>SUPRA_RH_1</t>
  </si>
  <si>
    <t>20/21109</t>
  </si>
  <si>
    <t xml:space="preserve">Bardonwez 2 </t>
  </si>
  <si>
    <t>Rendeux</t>
  </si>
  <si>
    <t>Gembloux</t>
  </si>
  <si>
    <t>BE34 0910 0052 9990</t>
  </si>
  <si>
    <t>0216.697.505</t>
  </si>
  <si>
    <t>Parc d'Epinal, 2</t>
  </si>
  <si>
    <t>GEMBLOUX</t>
  </si>
  <si>
    <t>Genappe</t>
  </si>
  <si>
    <t>BE57 0910 0014 6135</t>
  </si>
  <si>
    <t>0207.274.350</t>
  </si>
  <si>
    <t>Espace 2000, 3</t>
  </si>
  <si>
    <t>GENAPPE</t>
  </si>
  <si>
    <t>Gerpinnes</t>
  </si>
  <si>
    <t>BE40 0910 0038 1763</t>
  </si>
  <si>
    <t>0207.282.169</t>
  </si>
  <si>
    <t>Avenue Reine Astrid, 11</t>
  </si>
  <si>
    <t>GERPINNES</t>
  </si>
  <si>
    <t>Gesves</t>
  </si>
  <si>
    <t>BE54 0910 0053 0697</t>
  </si>
  <si>
    <t>0207.362.343</t>
  </si>
  <si>
    <t>chaussée de Gramptinne 112</t>
  </si>
  <si>
    <t>GESVES</t>
  </si>
  <si>
    <t>Gouvy</t>
  </si>
  <si>
    <t>BE35 0910 0050 5237</t>
  </si>
  <si>
    <t>0216.695.525</t>
  </si>
  <si>
    <t>Bovigny, 59</t>
  </si>
  <si>
    <t>GOUVY</t>
  </si>
  <si>
    <t>Grâce-Hollogne</t>
  </si>
  <si>
    <t>BE89 0910 0042 2785</t>
  </si>
  <si>
    <t>0207.691.747</t>
  </si>
  <si>
    <t>Rue de l'Hôtel communal, 2</t>
  </si>
  <si>
    <t>GRÂCE-HOLLOGNE</t>
  </si>
  <si>
    <t>Grez-Doiceau</t>
  </si>
  <si>
    <t>BE88 0910 0014 6741</t>
  </si>
  <si>
    <t>0207.227.731</t>
  </si>
  <si>
    <t>Place Ernest Dubois, 1</t>
  </si>
  <si>
    <t>GREZ-DOICEAU</t>
  </si>
  <si>
    <t>Groupe d'action Local du Pays des condruses</t>
  </si>
  <si>
    <t>BE52 3631 6341 2809</t>
  </si>
  <si>
    <t>0808.647.923</t>
  </si>
  <si>
    <t>Rue de la Charmille 16</t>
  </si>
  <si>
    <t>Modave</t>
  </si>
  <si>
    <t>Groupe d'action Local du Pays des Tiges et Chavée</t>
  </si>
  <si>
    <t>BE94 3630 5929 5314</t>
  </si>
  <si>
    <t>0480.394.379</t>
  </si>
  <si>
    <t>Rue de la pichelotte 9D</t>
  </si>
  <si>
    <t>Habay</t>
  </si>
  <si>
    <t xml:space="preserve">BE02 0910 0050 5540 </t>
  </si>
  <si>
    <t>0216.696.317</t>
  </si>
  <si>
    <t>Rue du Châtelet, 2</t>
  </si>
  <si>
    <t>HABAY-LA-NEUVE</t>
  </si>
  <si>
    <t>Hamoir</t>
  </si>
  <si>
    <t>BE23 0910 0042 3391</t>
  </si>
  <si>
    <t>0207.333.441</t>
  </si>
  <si>
    <t>Rue de Tohogne, 14</t>
  </si>
  <si>
    <t>HAMOIR</t>
  </si>
  <si>
    <t>Hastière</t>
  </si>
  <si>
    <t>BE19 0910 0053 1812</t>
  </si>
  <si>
    <t>0216.696.713</t>
  </si>
  <si>
    <t>Avenue G. Stinglhamber, 6</t>
  </si>
  <si>
    <t>HASTIERE-LAVAUX</t>
  </si>
  <si>
    <t>Havelange</t>
  </si>
  <si>
    <t>BE72 0910 0053 2216</t>
  </si>
  <si>
    <t>0207.396.490</t>
  </si>
  <si>
    <t>Rue de la Station, 99</t>
  </si>
  <si>
    <t>HAVELANGE</t>
  </si>
  <si>
    <t>Herbeumont</t>
  </si>
  <si>
    <t>BE55 0910 0050 5944</t>
  </si>
  <si>
    <t>0206.565.953</t>
  </si>
  <si>
    <t xml:space="preserve">Le Vivy, 13 </t>
  </si>
  <si>
    <t>HERBEUMONT</t>
  </si>
  <si>
    <t>Héron</t>
  </si>
  <si>
    <t>BE30 0910 0042 5011</t>
  </si>
  <si>
    <t>0207.333.738</t>
  </si>
  <si>
    <t>Place Communale, 1</t>
  </si>
  <si>
    <t>COUTHUIN</t>
  </si>
  <si>
    <t>Herve</t>
  </si>
  <si>
    <t>BE97 0910 0042 8849</t>
  </si>
  <si>
    <t>0207.371.647</t>
  </si>
  <si>
    <t>Place Marie-Thérèse, 3</t>
  </si>
  <si>
    <t>HERVE</t>
  </si>
  <si>
    <t>Hotton</t>
  </si>
  <si>
    <t>BE97 0910 0050 6449</t>
  </si>
  <si>
    <t>0206.544.474</t>
  </si>
  <si>
    <t>HOTTON</t>
  </si>
  <si>
    <t>Houffalize</t>
  </si>
  <si>
    <t>BE64 0910 0050 6752</t>
  </si>
  <si>
    <t>0206.700.862</t>
  </si>
  <si>
    <t>HOUFFALIZE</t>
  </si>
  <si>
    <t>IDETA</t>
  </si>
  <si>
    <t>BE98 0910 1956 1693</t>
  </si>
  <si>
    <t>0241.098.844</t>
  </si>
  <si>
    <t>Quai Saint Brice 35</t>
  </si>
  <si>
    <t>Tournai</t>
  </si>
  <si>
    <t xml:space="preserve">in BW </t>
  </si>
  <si>
    <t>BE37 1922 0888 8128</t>
  </si>
  <si>
    <t>0200.362.210</t>
  </si>
  <si>
    <t>NIVELLES</t>
  </si>
  <si>
    <t>Ittre</t>
  </si>
  <si>
    <t>BE72 0910 0015 3916</t>
  </si>
  <si>
    <t>0207.279.793</t>
  </si>
  <si>
    <t>Rue de la Planchette, 2</t>
  </si>
  <si>
    <t>ITTRE</t>
  </si>
  <si>
    <t>Jalhay</t>
  </si>
  <si>
    <t>BE71 0910 0043 0869</t>
  </si>
  <si>
    <t>0207.402.628</t>
  </si>
  <si>
    <t>Rue de la Fagne, 46</t>
  </si>
  <si>
    <t>JALHAY</t>
  </si>
  <si>
    <t>Jodoigne</t>
  </si>
  <si>
    <t>BE33 0910 0015 6946</t>
  </si>
  <si>
    <t>0216.379.185</t>
  </si>
  <si>
    <t>Rue du Château, 13</t>
  </si>
  <si>
    <t>JODOIGNE</t>
  </si>
  <si>
    <t>La Bruyère</t>
  </si>
  <si>
    <t>BE79 0910 0053 3933</t>
  </si>
  <si>
    <t>0216.697.802</t>
  </si>
  <si>
    <t>Rue des Dames Blanches 1</t>
  </si>
  <si>
    <t>RHISNES</t>
  </si>
  <si>
    <t>La Hulpe</t>
  </si>
  <si>
    <t>BE36 0910 0016 0481</t>
  </si>
  <si>
    <t>0207.282.268</t>
  </si>
  <si>
    <t>Rue des Combattants, 59</t>
  </si>
  <si>
    <t>LA HULPE</t>
  </si>
  <si>
    <t>La Louvière</t>
  </si>
  <si>
    <t>BE78 0910 0036 4086</t>
  </si>
  <si>
    <t>0871.429.489</t>
  </si>
  <si>
    <t>LA LOUVIERE</t>
  </si>
  <si>
    <t>La Roche-en-Ardenne</t>
  </si>
  <si>
    <t>BE20 0910 0050 7156</t>
  </si>
  <si>
    <t>0206.578.722</t>
  </si>
  <si>
    <t>Place du Marché, 1</t>
  </si>
  <si>
    <t>LA ROCHE-EN-ARDENNE</t>
  </si>
  <si>
    <t>Lasne</t>
  </si>
  <si>
    <t>BE23 0910 0016 1491</t>
  </si>
  <si>
    <t>0216.689.585</t>
  </si>
  <si>
    <t>Place communale, 1</t>
  </si>
  <si>
    <t>LASNE</t>
  </si>
  <si>
    <t>Lens</t>
  </si>
  <si>
    <t>BE48 0910 0038 7827</t>
  </si>
  <si>
    <t>0207.290.681</t>
  </si>
  <si>
    <t>Place de la Trinité, 1</t>
  </si>
  <si>
    <t>LENS</t>
  </si>
  <si>
    <t>Les Bons Villers</t>
  </si>
  <si>
    <t>BE68 0910 0038 85 34</t>
  </si>
  <si>
    <t xml:space="preserve">0216.691.169 </t>
  </si>
  <si>
    <t>Place de Frasnes, 1</t>
  </si>
  <si>
    <t>FRASNES-LEZ-GOSSELIES</t>
  </si>
  <si>
    <t>Lessines</t>
  </si>
  <si>
    <t>BE86 0910 0039 0150</t>
  </si>
  <si>
    <t xml:space="preserve">0207.297.116 </t>
  </si>
  <si>
    <t>Grand'Place, 12</t>
  </si>
  <si>
    <t>LESSINES</t>
  </si>
  <si>
    <t>Libin</t>
  </si>
  <si>
    <t>BE82 0910 0050 8368</t>
  </si>
  <si>
    <t>0206.564.963</t>
  </si>
  <si>
    <t>Rue du Commerce, 14</t>
  </si>
  <si>
    <t>LIBIN</t>
  </si>
  <si>
    <t>Libramont-Chevigny</t>
  </si>
  <si>
    <t>BE60 0910 0050 8570</t>
  </si>
  <si>
    <t>0216.696.119</t>
  </si>
  <si>
    <t>Place Communale, 9</t>
  </si>
  <si>
    <t>LIBRAMONT-CHEVIGNY</t>
  </si>
  <si>
    <t>Liège</t>
  </si>
  <si>
    <t>BE14 0110 0043 2283</t>
  </si>
  <si>
    <t>0207.343.933</t>
  </si>
  <si>
    <t>Place du Marché, 2</t>
  </si>
  <si>
    <t>LIEGE</t>
  </si>
  <si>
    <t>Limbourg</t>
  </si>
  <si>
    <t>BE57 0910 0043 7135</t>
  </si>
  <si>
    <t>0206.621.183</t>
  </si>
  <si>
    <t>RH_7</t>
  </si>
  <si>
    <t>20/20497</t>
  </si>
  <si>
    <t>Avenue Victor David, 15</t>
  </si>
  <si>
    <t>LIMBOURG</t>
  </si>
  <si>
    <t>Lobbes</t>
  </si>
  <si>
    <t xml:space="preserve">BE84 0910 0039 1059 </t>
  </si>
  <si>
    <t>0207.302.559</t>
  </si>
  <si>
    <t>Rue du pont, 1</t>
  </si>
  <si>
    <t>LOBBES</t>
  </si>
  <si>
    <t>Malmedy</t>
  </si>
  <si>
    <t>BE33 0910 0814 0046</t>
  </si>
  <si>
    <t>0206.700.763</t>
  </si>
  <si>
    <t>Rue Jules Steinbach, 1</t>
  </si>
  <si>
    <t>MALMEDY</t>
  </si>
  <si>
    <t>Martelange</t>
  </si>
  <si>
    <t>BE78 0910 0051 0186</t>
  </si>
  <si>
    <t>0207.381.446</t>
  </si>
  <si>
    <t>chemin du Moulin 1</t>
  </si>
  <si>
    <t>MARTELANGE</t>
  </si>
  <si>
    <t>Meix-devant-Virton</t>
  </si>
  <si>
    <t>BE45 0910 0051 0489</t>
  </si>
  <si>
    <t>0207.391.443</t>
  </si>
  <si>
    <t>Rue de Gérouville, 5</t>
  </si>
  <si>
    <t>MEIX-DEVANT-VIRTON</t>
  </si>
  <si>
    <t>Momignies</t>
  </si>
  <si>
    <t>BE05 0910 0039 2675</t>
  </si>
  <si>
    <t>0207.303.054</t>
  </si>
  <si>
    <t>Grand-Place, 1</t>
  </si>
  <si>
    <t>MOMIGNIES</t>
  </si>
  <si>
    <t>Mons</t>
  </si>
  <si>
    <t xml:space="preserve">BE19 0910 0039 3012 </t>
  </si>
  <si>
    <t>0207.656.808</t>
  </si>
  <si>
    <t>Grand Place 22</t>
  </si>
  <si>
    <t>MONS</t>
  </si>
  <si>
    <t>Mont-Saint-Guibert</t>
  </si>
  <si>
    <t>BE38 0910 0016 9272</t>
  </si>
  <si>
    <t>0206.491.917</t>
  </si>
  <si>
    <t>Grand'Rue, 39</t>
  </si>
  <si>
    <t>MONT-SAINT-GUIBERT</t>
  </si>
  <si>
    <t>Mouscron</t>
  </si>
  <si>
    <t>BE35 0910 0039 8537</t>
  </si>
  <si>
    <t>0207.294.443</t>
  </si>
  <si>
    <t>Rue de Courtrai, 63</t>
  </si>
  <si>
    <t>MOUSCRON</t>
  </si>
  <si>
    <t>Musson</t>
  </si>
  <si>
    <t>BE87 0910 0051 0994</t>
  </si>
  <si>
    <t>0207.391.641</t>
  </si>
  <si>
    <t>Place de l'Abbé Goffinet, 1</t>
  </si>
  <si>
    <t>MUSSON</t>
  </si>
  <si>
    <t>BE79 0910 0618 9033</t>
  </si>
  <si>
    <t>0207.362.739</t>
  </si>
  <si>
    <t>Esplanade de l'Hôtel de Ville, 1</t>
  </si>
  <si>
    <t>NAMUR</t>
  </si>
  <si>
    <t>Nassogne</t>
  </si>
  <si>
    <t>BE54 0910 0051 1297</t>
  </si>
  <si>
    <t>0207.401.935</t>
  </si>
  <si>
    <t>place Communale</t>
  </si>
  <si>
    <t>NASSOGNE</t>
  </si>
  <si>
    <t>Neufchâteau</t>
  </si>
  <si>
    <t xml:space="preserve">BE32 0910 0051 1402 </t>
  </si>
  <si>
    <t>0206.543.781</t>
  </si>
  <si>
    <t>NEUFCHATEAU</t>
  </si>
  <si>
    <t>Neupré</t>
  </si>
  <si>
    <t>BE09 0910 0043 9357</t>
  </si>
  <si>
    <t>0216.694.535</t>
  </si>
  <si>
    <t>rue des Deux Eglises 16</t>
  </si>
  <si>
    <t>ROTHEUX-RIMIERE</t>
  </si>
  <si>
    <t>Orp-Jauche</t>
  </si>
  <si>
    <t>BE23 0910 0017 1191</t>
  </si>
  <si>
    <t>0216.689.783</t>
  </si>
  <si>
    <t>Place Communale 1</t>
  </si>
  <si>
    <t>ORP-JAUCHE</t>
  </si>
  <si>
    <t>Ottignies-Louvain-la-Neuve</t>
  </si>
  <si>
    <t>BE87 0910 0017 1494</t>
  </si>
  <si>
    <t>0216.689.981</t>
  </si>
  <si>
    <t>Espace du Coeur de Ville, 2</t>
  </si>
  <si>
    <t>OTTIGNIES-LOUVAIN-LA-NEUVE</t>
  </si>
  <si>
    <t>Oupeye</t>
  </si>
  <si>
    <t>BE69 0910 0044 1478</t>
  </si>
  <si>
    <t>0207.345.418</t>
  </si>
  <si>
    <t>Rue des Ecoles, 4</t>
  </si>
  <si>
    <t>Oupeye (Haccourt)</t>
  </si>
  <si>
    <t>Paliseul</t>
  </si>
  <si>
    <t xml:space="preserve">BE63 0910 0051 2008 </t>
  </si>
  <si>
    <t>0206.566.052</t>
  </si>
  <si>
    <t>Grand-Place 1</t>
  </si>
  <si>
    <t>PALISEUL</t>
  </si>
  <si>
    <t>Pays de Famenne Asbl</t>
  </si>
  <si>
    <t>BE98 0682 4627 9993</t>
  </si>
  <si>
    <t>0889.964.013</t>
  </si>
  <si>
    <t>Rue Saint Laurent 14</t>
  </si>
  <si>
    <t>Marche-en-Famenne</t>
  </si>
  <si>
    <t>Pecq</t>
  </si>
  <si>
    <t xml:space="preserve">BE33 0910 0039 9446 </t>
  </si>
  <si>
    <t>0207.332.352</t>
  </si>
  <si>
    <t>Rue des Déportés, 10</t>
  </si>
  <si>
    <t>PECQ</t>
  </si>
  <si>
    <t>Péruwelz</t>
  </si>
  <si>
    <t>BE97 0910 0039 9749</t>
  </si>
  <si>
    <t>0207.148.250</t>
  </si>
  <si>
    <t>rue Albert Ier 35</t>
  </si>
  <si>
    <t>PERUWELZ</t>
  </si>
  <si>
    <t>Perwez</t>
  </si>
  <si>
    <t>BE15 0910 0017 4730</t>
  </si>
  <si>
    <t>0206.492.610</t>
  </si>
  <si>
    <t>rue E. de Brabant 2</t>
  </si>
  <si>
    <t>PERWEZ</t>
  </si>
  <si>
    <t>Philippeville</t>
  </si>
  <si>
    <t>BE49 0910 0053 7771</t>
  </si>
  <si>
    <t>0206.626.331</t>
  </si>
  <si>
    <t>Place d'Armes, 12</t>
  </si>
  <si>
    <t>PHILIPPEVILLE</t>
  </si>
  <si>
    <t>Pont-à-celles</t>
  </si>
  <si>
    <t>BE84 0910 0040 0759</t>
  </si>
  <si>
    <t>0207.283.654</t>
  </si>
  <si>
    <t>Place Communale 22</t>
  </si>
  <si>
    <t>PONT-A-CELLES</t>
  </si>
  <si>
    <t>Profondeville</t>
  </si>
  <si>
    <t>BE91 0910 0053 8276</t>
  </si>
  <si>
    <t>0207.372.043</t>
  </si>
  <si>
    <t>Chaussée de Dinant, 2</t>
  </si>
  <si>
    <t>PROFONDEVILLE</t>
  </si>
  <si>
    <t>Province de Hainaut</t>
  </si>
  <si>
    <t>BE17 0910 1073 7121</t>
  </si>
  <si>
    <t>0207.656.610</t>
  </si>
  <si>
    <t>I_43.04</t>
  </si>
  <si>
    <t>SUPRA_RH_3</t>
  </si>
  <si>
    <t>20/20488</t>
  </si>
  <si>
    <t>Rue verte, 13</t>
  </si>
  <si>
    <t>Province de Liège</t>
  </si>
  <si>
    <t>BE36 0910 1013 2081</t>
  </si>
  <si>
    <t xml:space="preserve">0207.725.104 </t>
  </si>
  <si>
    <t>Place Saint-Lambert,18A</t>
  </si>
  <si>
    <t>Province du Luxembourg</t>
  </si>
  <si>
    <t>BE67 0910 0056 8487</t>
  </si>
  <si>
    <t>0207.725.401</t>
  </si>
  <si>
    <t>Place Léopold, 1</t>
  </si>
  <si>
    <t>Quaregnon</t>
  </si>
  <si>
    <t>BE51 0910 0040 1062</t>
  </si>
  <si>
    <t>0207.291.572</t>
  </si>
  <si>
    <t>Grand Place 1</t>
  </si>
  <si>
    <t>QUAREGNON</t>
  </si>
  <si>
    <t>Ramillies</t>
  </si>
  <si>
    <t>BE79 0910 0017 5033</t>
  </si>
  <si>
    <t>0216.690.179</t>
  </si>
  <si>
    <t>Avenue des Déportés, 48</t>
  </si>
  <si>
    <t>GEROMPONT</t>
  </si>
  <si>
    <t>BE30 0910 0051 2311</t>
  </si>
  <si>
    <t>0207.387.978</t>
  </si>
  <si>
    <t>rue de Hotton 1</t>
  </si>
  <si>
    <t>RENDEUX</t>
  </si>
  <si>
    <t>Rixensart</t>
  </si>
  <si>
    <t>BE13 0910 0017 5639</t>
  </si>
  <si>
    <t>0207.277.617</t>
  </si>
  <si>
    <t>avenue de Mérode 75</t>
  </si>
  <si>
    <t>RIXENSART</t>
  </si>
  <si>
    <t>Rochefort</t>
  </si>
  <si>
    <t>BE58 0910 0053 8579</t>
  </si>
  <si>
    <t>0206.706.109</t>
  </si>
  <si>
    <t>place Albert Ier 1</t>
  </si>
  <si>
    <t>ROCHEFORT</t>
  </si>
  <si>
    <t>Rouvroy</t>
  </si>
  <si>
    <t>BE08 0910 0051 2513</t>
  </si>
  <si>
    <t>0216.696.515</t>
  </si>
  <si>
    <t>rue du 8 Septembre 41</t>
  </si>
  <si>
    <t>DAMPICOURT</t>
  </si>
  <si>
    <t>Rumes</t>
  </si>
  <si>
    <t>BE27 0910 0040 2173</t>
  </si>
  <si>
    <t>0207.355.019</t>
  </si>
  <si>
    <t>Place 1</t>
  </si>
  <si>
    <t>RUMES</t>
  </si>
  <si>
    <t>Saint-Georges-sur-Meuse</t>
  </si>
  <si>
    <t>BE64 0910 1187 5152</t>
  </si>
  <si>
    <t>0207.379.466</t>
  </si>
  <si>
    <t>Rue Albert 1er, 16</t>
  </si>
  <si>
    <t>SAINT-GEORGES-SUR-MEUSE</t>
  </si>
  <si>
    <t>Saint-Ghislain</t>
  </si>
  <si>
    <t>BE69 0910 0040 2678</t>
  </si>
  <si>
    <t>0207.292.463</t>
  </si>
  <si>
    <t>Rue de Chièvres, 17</t>
  </si>
  <si>
    <t>TERTRE</t>
  </si>
  <si>
    <t>Saint-Léger</t>
  </si>
  <si>
    <t>BE59 0910 0051 3826</t>
  </si>
  <si>
    <t>0207.392.433</t>
  </si>
  <si>
    <t>Rue du Château 19</t>
  </si>
  <si>
    <t>SAINT-LEGER</t>
  </si>
  <si>
    <t>Sambreville</t>
  </si>
  <si>
    <t>BE65 0910 0052 0896</t>
  </si>
  <si>
    <t>0216.697.109</t>
  </si>
  <si>
    <t>Grand Place</t>
  </si>
  <si>
    <t>SAMBREVILLE</t>
  </si>
  <si>
    <t>Seraing</t>
  </si>
  <si>
    <t>BE06 0910 0044 5522</t>
  </si>
  <si>
    <t>0207.347.002</t>
  </si>
  <si>
    <t>Place Communale 8</t>
  </si>
  <si>
    <t>SERAING</t>
  </si>
  <si>
    <t>Silly</t>
  </si>
  <si>
    <t xml:space="preserve">BE89 0910 0040 3385 </t>
  </si>
  <si>
    <t>0207.410.645</t>
  </si>
  <si>
    <t>Place Communale 18</t>
  </si>
  <si>
    <t>SILLY</t>
  </si>
  <si>
    <t>Sivry-Rance</t>
  </si>
  <si>
    <t>BE98 0910 0040 4193</t>
  </si>
  <si>
    <t>0216.692.753</t>
  </si>
  <si>
    <t>Grand Place 2</t>
  </si>
  <si>
    <t>SIVRY-RANCE</t>
  </si>
  <si>
    <t>Somme-Leuze</t>
  </si>
  <si>
    <t>BE98 0910 0053 9993</t>
  </si>
  <si>
    <t>0207.399.757</t>
  </si>
  <si>
    <t>rue du Centre 1</t>
  </si>
  <si>
    <t>BAILLONVILLE</t>
  </si>
  <si>
    <t>Soumagne</t>
  </si>
  <si>
    <t>BE79 09100044 6633</t>
  </si>
  <si>
    <t>0207.347.396</t>
  </si>
  <si>
    <t>Avenue de la Coopération 38</t>
  </si>
  <si>
    <t>SOUMAGNE</t>
  </si>
  <si>
    <t>Spa</t>
  </si>
  <si>
    <t>BE02 0910 0044 7340</t>
  </si>
  <si>
    <t>0206.768.366</t>
  </si>
  <si>
    <t>Rue de l'Hôtel de Ville 44</t>
  </si>
  <si>
    <t>SPA</t>
  </si>
  <si>
    <t>Sprimont</t>
  </si>
  <si>
    <t>BE75 0910 0044 8451</t>
  </si>
  <si>
    <t>0207.347.495</t>
  </si>
  <si>
    <t>Rue du Centre, 1</t>
  </si>
  <si>
    <t>SPRIMONT</t>
  </si>
  <si>
    <t>Stavelot</t>
  </si>
  <si>
    <t>BE73 0910 0044 9360</t>
  </si>
  <si>
    <t>0207.403.915</t>
  </si>
  <si>
    <t>Place Saint Remacle, 32</t>
  </si>
  <si>
    <t>STAVELOT</t>
  </si>
  <si>
    <t>Stoumont</t>
  </si>
  <si>
    <t>BE40 0910 0044 9663</t>
  </si>
  <si>
    <t>0207.404.014</t>
  </si>
  <si>
    <t>route de l'Amblève 41</t>
  </si>
  <si>
    <t>STOUMONT</t>
  </si>
  <si>
    <t>Tellin</t>
  </si>
  <si>
    <t>BE90 0910 0051 4432</t>
  </si>
  <si>
    <t>0207.391.344</t>
  </si>
  <si>
    <t>rue de la Libération 45</t>
  </si>
  <si>
    <t>TELLIN</t>
  </si>
  <si>
    <t>Thimister-Clermont</t>
  </si>
  <si>
    <t>BE27 0910 0045 0673</t>
  </si>
  <si>
    <t>0216.695.327</t>
  </si>
  <si>
    <t>Centre, 2</t>
  </si>
  <si>
    <t>THIMISTER-CLERMONT</t>
  </si>
  <si>
    <t>Tintigny</t>
  </si>
  <si>
    <t>BE13 0910 0051 5139</t>
  </si>
  <si>
    <t>0207.392.928</t>
  </si>
  <si>
    <t>Grand-Rue 76</t>
  </si>
  <si>
    <t>TINTIGNY</t>
  </si>
  <si>
    <t>BE90 0910 0040 7732</t>
  </si>
  <si>
    <t>0207.354.920</t>
  </si>
  <si>
    <t>rue de l'Enclos Saint-Martin 52</t>
  </si>
  <si>
    <t>TOURNAI</t>
  </si>
  <si>
    <t>Tubize</t>
  </si>
  <si>
    <t>BE23 091 00019 0591</t>
  </si>
  <si>
    <t>0207.314.041</t>
  </si>
  <si>
    <t>TUBIZE</t>
  </si>
  <si>
    <t>Verlaine</t>
  </si>
  <si>
    <t>BE78 0910 0045 1986</t>
  </si>
  <si>
    <t>0207.336.213</t>
  </si>
  <si>
    <t>Vinâve des Stréats 32</t>
  </si>
  <si>
    <t>VERLAINE</t>
  </si>
  <si>
    <t>Verviers</t>
  </si>
  <si>
    <t>BE34 0910 0045 2390</t>
  </si>
  <si>
    <t>0206.644.741</t>
  </si>
  <si>
    <t>place du Marché 55</t>
  </si>
  <si>
    <t>VERVIERS</t>
  </si>
  <si>
    <t>Vielsalm</t>
  </si>
  <si>
    <t>BE44 0910 0051 5745</t>
  </si>
  <si>
    <t>0207.384.812</t>
  </si>
  <si>
    <t>rue de l'Hôtel de Ville 5</t>
  </si>
  <si>
    <t>VIELSALM</t>
  </si>
  <si>
    <t>Villers-la-Ville</t>
  </si>
  <si>
    <t>BE30 0910 0019 2211</t>
  </si>
  <si>
    <t>0207.275.538</t>
  </si>
  <si>
    <t>Rue de Marbais, 37</t>
  </si>
  <si>
    <t>VILLERS-LA-VILLE</t>
  </si>
  <si>
    <t>Villers-le-Bouillet</t>
  </si>
  <si>
    <t>BE17 0910 0045 5121</t>
  </si>
  <si>
    <t>0207.336.708</t>
  </si>
  <si>
    <t>rue des Marronniers 16</t>
  </si>
  <si>
    <t>VILLERS-LE-BOUILLET</t>
  </si>
  <si>
    <t>Virton</t>
  </si>
  <si>
    <t>BE53 0910 0051 6553</t>
  </si>
  <si>
    <t>0206.524.777</t>
  </si>
  <si>
    <t>rue C. Magnette 17</t>
  </si>
  <si>
    <t>VIRTON</t>
  </si>
  <si>
    <t>Waimes</t>
  </si>
  <si>
    <t>BE13 0910 0045 6939</t>
  </si>
  <si>
    <t>0207.403.222</t>
  </si>
  <si>
    <t>place Baudouin 1</t>
  </si>
  <si>
    <t>WAIMES</t>
  </si>
  <si>
    <t>Walhain</t>
  </si>
  <si>
    <t>BE59 0910 0019 3726</t>
  </si>
  <si>
    <t>0216.690.575</t>
  </si>
  <si>
    <t>WALHAIN</t>
  </si>
  <si>
    <t>Waremme</t>
  </si>
  <si>
    <t>BE44 0910 0045 7545</t>
  </si>
  <si>
    <t>0207.380.159</t>
  </si>
  <si>
    <t>Rue Joseph Wauters, 2</t>
  </si>
  <si>
    <t>WAREMME</t>
  </si>
  <si>
    <t>Wasseiges</t>
  </si>
  <si>
    <t>BE42 0910 0045 8454</t>
  </si>
  <si>
    <t>0207.380.258</t>
  </si>
  <si>
    <t>Rue du Baron d'Obin, 219</t>
  </si>
  <si>
    <t>WASSEIGES</t>
  </si>
  <si>
    <t>Waterloo</t>
  </si>
  <si>
    <t>BE48 0910 0019 3827</t>
  </si>
  <si>
    <t>0207.277.122</t>
  </si>
  <si>
    <t>Rue François Libert, 28</t>
  </si>
  <si>
    <t>WATERLOO</t>
  </si>
  <si>
    <t>Wavre</t>
  </si>
  <si>
    <t>BE35 0910 0019 4837</t>
  </si>
  <si>
    <t>0207.316.021</t>
  </si>
  <si>
    <t>place de l'Hôtel de Ville</t>
  </si>
  <si>
    <t>WAVRE</t>
  </si>
  <si>
    <t>Welkenraedt</t>
  </si>
  <si>
    <t>BE20 0910 0045 8656</t>
  </si>
  <si>
    <t>0206.621.975</t>
  </si>
  <si>
    <t>rue de l'Ecole 8</t>
  </si>
  <si>
    <t>WELKENRAEDT</t>
  </si>
  <si>
    <t>Num_visa</t>
  </si>
  <si>
    <t>Rubrique</t>
  </si>
  <si>
    <t>Email GT</t>
  </si>
  <si>
    <t>Madame</t>
  </si>
  <si>
    <t>Oui</t>
  </si>
  <si>
    <t>1_intermédiaire</t>
  </si>
  <si>
    <t>HTVA</t>
  </si>
  <si>
    <t>Janvier</t>
  </si>
  <si>
    <t>zelie.mulders@spw.wallonie.be</t>
  </si>
  <si>
    <t>Monsieur</t>
  </si>
  <si>
    <t>Non</t>
  </si>
  <si>
    <t>Sara Piccirilli</t>
  </si>
  <si>
    <t>2-finale</t>
  </si>
  <si>
    <t>TVAC</t>
  </si>
  <si>
    <t>Février</t>
  </si>
  <si>
    <t>sara.piccirilli@spw.wallonie.be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</si>
  <si>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</si>
  <si>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</si>
  <si>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</si>
  <si>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</si>
  <si>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</si>
  <si>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</si>
  <si>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</si>
  <si>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</si>
  <si>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</si>
  <si>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</si>
  <si>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Vaux-sur-Sûre</t>
  </si>
  <si>
    <t>Beloeil</t>
  </si>
  <si>
    <t>Saint-Nicolas</t>
  </si>
  <si>
    <t>Courcelles</t>
  </si>
  <si>
    <t>Saint-Hubert</t>
  </si>
  <si>
    <t>Onhaye</t>
  </si>
  <si>
    <t>Incourt</t>
  </si>
  <si>
    <t>Wellin</t>
  </si>
  <si>
    <t>Ohey</t>
  </si>
  <si>
    <t>Bassenge</t>
  </si>
  <si>
    <t>Hannut</t>
  </si>
  <si>
    <t>Viroinval</t>
  </si>
  <si>
    <t>Thuin</t>
  </si>
  <si>
    <t>Châtelet</t>
  </si>
  <si>
    <t>Beauvechain</t>
  </si>
  <si>
    <t>Léglise</t>
  </si>
  <si>
    <t>Soignies</t>
  </si>
  <si>
    <t>Boussu</t>
  </si>
  <si>
    <t>Walcourt</t>
  </si>
  <si>
    <t>Burdinne</t>
  </si>
  <si>
    <t>Flobecq</t>
  </si>
  <si>
    <t>Hensies</t>
  </si>
  <si>
    <t>Seneffe</t>
  </si>
  <si>
    <t>Erezée</t>
  </si>
  <si>
    <t>Froidchapelle</t>
  </si>
  <si>
    <t>Visé</t>
  </si>
  <si>
    <t>Floreffe</t>
  </si>
  <si>
    <t>Chaudfontaine</t>
  </si>
  <si>
    <t>Le Roeulx</t>
  </si>
  <si>
    <t>Nivelles</t>
  </si>
  <si>
    <t>0207691846</t>
  </si>
  <si>
    <t>0207309784</t>
  </si>
  <si>
    <t>0207346705</t>
  </si>
  <si>
    <t>0207280387</t>
  </si>
  <si>
    <t>0206564666</t>
  </si>
  <si>
    <t>0206705713</t>
  </si>
  <si>
    <t>0207409457</t>
  </si>
  <si>
    <t>0206565755</t>
  </si>
  <si>
    <t>0207358581</t>
  </si>
  <si>
    <t>0207338884</t>
  </si>
  <si>
    <t>0207376991</t>
  </si>
  <si>
    <t>0216761742</t>
  </si>
  <si>
    <t>0207307311</t>
  </si>
  <si>
    <t>0206628707</t>
  </si>
  <si>
    <t>0207288604</t>
  </si>
  <si>
    <t>0206567339</t>
  </si>
  <si>
    <t>0207298995</t>
  </si>
  <si>
    <t>0207286129</t>
  </si>
  <si>
    <t>0206625935</t>
  </si>
  <si>
    <t>0207353831</t>
  </si>
  <si>
    <t>0207312358</t>
  </si>
  <si>
    <t>0207410546</t>
  </si>
  <si>
    <t>0207283951</t>
  </si>
  <si>
    <t>0207386295</t>
  </si>
  <si>
    <t>0207301767</t>
  </si>
  <si>
    <t>0207369271</t>
  </si>
  <si>
    <t>0207355811</t>
  </si>
  <si>
    <t>0207339973</t>
  </si>
  <si>
    <t>0207297017</t>
  </si>
  <si>
    <t>0206642563</t>
  </si>
  <si>
    <t>Pr 16.31.I_43.01.22</t>
  </si>
  <si>
    <t>P21_RH2</t>
  </si>
  <si>
    <t>P21_RH1</t>
  </si>
  <si>
    <t>21/20653</t>
  </si>
  <si>
    <t>21/20654</t>
  </si>
  <si>
    <t>VAUX-SUR-SURE</t>
  </si>
  <si>
    <t>BELOEIL</t>
  </si>
  <si>
    <t>SAINT-NICOLAS</t>
  </si>
  <si>
    <t>COURCELLES</t>
  </si>
  <si>
    <t>SAINT-HUBERT</t>
  </si>
  <si>
    <t>ONHAYE</t>
  </si>
  <si>
    <t>INCOURT</t>
  </si>
  <si>
    <t>WELLIN</t>
  </si>
  <si>
    <t>OHEY</t>
  </si>
  <si>
    <t>BASSENGE</t>
  </si>
  <si>
    <t>HANNUT</t>
  </si>
  <si>
    <t>VIROINVAL</t>
  </si>
  <si>
    <t>THUIN</t>
  </si>
  <si>
    <t>CHATELET</t>
  </si>
  <si>
    <t>BEAUVECHAIN</t>
  </si>
  <si>
    <t>LEGLISE</t>
  </si>
  <si>
    <t>SOIGNIES</t>
  </si>
  <si>
    <t>BOUSSU</t>
  </si>
  <si>
    <t>WALCOURT</t>
  </si>
  <si>
    <t>BURDINNE</t>
  </si>
  <si>
    <t>FLOBECQ</t>
  </si>
  <si>
    <t>HENSIES</t>
  </si>
  <si>
    <t>SENEFFE</t>
  </si>
  <si>
    <t>EREZEE</t>
  </si>
  <si>
    <t>FROIDCHAPELLE</t>
  </si>
  <si>
    <t>VISE</t>
  </si>
  <si>
    <t>FLOREFFE</t>
  </si>
  <si>
    <t>CHAUDFONTAINE</t>
  </si>
  <si>
    <t>LE ROEULX</t>
  </si>
  <si>
    <t>Arrêté ministériel POLLEC 2021_</t>
  </si>
  <si>
    <t>BE 77 091 0005154 42</t>
  </si>
  <si>
    <t>BE 81 091 0003584 24</t>
  </si>
  <si>
    <t>BE 08 091 0004446 13</t>
  </si>
  <si>
    <t>BE 34 091 0003747 90</t>
  </si>
  <si>
    <t>BE 92 091 0005135 23</t>
  </si>
  <si>
    <t>BE 93 091 0005373 67</t>
  </si>
  <si>
    <t>BE 08 091 0001536 13</t>
  </si>
  <si>
    <t>BE 93 091 0005179 67</t>
  </si>
  <si>
    <t>BE 62 091 0005367 61</t>
  </si>
  <si>
    <t>BE 91 091 0004121 76</t>
  </si>
  <si>
    <t>BE 54 091 0004239 97</t>
  </si>
  <si>
    <t>BE 21 091 0005406 04</t>
  </si>
  <si>
    <t>BE 74 091 0004052 07</t>
  </si>
  <si>
    <t>BE 24 091 0003695 38</t>
  </si>
  <si>
    <t>BE 78 091 0001318 86</t>
  </si>
  <si>
    <t>BE 64 091 0003612 52</t>
  </si>
  <si>
    <t>BE 32 091 0004144 02</t>
  </si>
  <si>
    <t>BE 52 091 0004151 09</t>
  </si>
  <si>
    <t>BE 70 091 0005040 25</t>
  </si>
  <si>
    <t>BE 77 091 0003796 42</t>
  </si>
  <si>
    <t>BE 93 091 0005276 67</t>
  </si>
  <si>
    <t>BE 73 091 0003814 60</t>
  </si>
  <si>
    <t>BE 16 091 0003828 74</t>
  </si>
  <si>
    <t>BE 04 091 0003882 31</t>
  </si>
  <si>
    <t>BE 40 091 0005078 63</t>
  </si>
  <si>
    <t>BE 05 091 0001695 75</t>
  </si>
  <si>
    <t>BE 58 091 0004027 80</t>
  </si>
  <si>
    <t>BE 76 091 0004043 95</t>
  </si>
  <si>
    <t>BE 35 091 0004567 38</t>
  </si>
  <si>
    <t>BE 30 091 0005414 11</t>
  </si>
  <si>
    <t xml:space="preserve">Grand Place 1 </t>
  </si>
  <si>
    <t>6920 Wellin</t>
  </si>
  <si>
    <t>Place de l'Hôtel de Ville 3-5</t>
  </si>
  <si>
    <t>Rue des Récollets 1</t>
  </si>
  <si>
    <t>Parc Communal 1</t>
  </si>
  <si>
    <t>Chaussée de Neufchâteau 36</t>
  </si>
  <si>
    <t>Grand'Rue, 36</t>
  </si>
  <si>
    <t>Place Verte 32</t>
  </si>
  <si>
    <t>Rue Lintermans 21</t>
  </si>
  <si>
    <t>Rue de l'Hôtel Communal 63</t>
  </si>
  <si>
    <t>Place du Marché 1</t>
  </si>
  <si>
    <t>Rue Albert Martin 3</t>
  </si>
  <si>
    <t xml:space="preserve"> Pl. Roi Baudouin 80</t>
  </si>
  <si>
    <t>Pl. Albert Ier 2</t>
  </si>
  <si>
    <t>Rue du Chaudfour 2</t>
  </si>
  <si>
    <t>Grand'Place 1</t>
  </si>
  <si>
    <t xml:space="preserve"> Rue de la Religion 10</t>
  </si>
  <si>
    <t>rue de Brombais 2</t>
  </si>
  <si>
    <t>Rue de Schaerbeek 1</t>
  </si>
  <si>
    <t>Rue des Ecoles 50</t>
  </si>
  <si>
    <t>Rue de Landen 23</t>
  </si>
  <si>
    <t>Place Albert 1er , 38</t>
  </si>
  <si>
    <t>Rue Emile Romedenne 9</t>
  </si>
  <si>
    <t xml:space="preserve">Rue des Frères Gabreau 27 </t>
  </si>
  <si>
    <t>Rue des combattants 15</t>
  </si>
  <si>
    <t>Rue Jean Jaurès,2</t>
  </si>
  <si>
    <t>Avenue du Centenaire, 14</t>
  </si>
  <si>
    <t>Rue Gendebien, 55</t>
  </si>
  <si>
    <t>Rue des Ecoles 3</t>
  </si>
  <si>
    <t>François Dorzée 3</t>
  </si>
  <si>
    <t>Rue J. Wauters 1</t>
  </si>
  <si>
    <t>Place Communale, 3</t>
  </si>
  <si>
    <t>Rue Royale 4</t>
  </si>
  <si>
    <t xml:space="preserve"> du 13-12-2021</t>
  </si>
  <si>
    <t>POLLEC 2020-2021</t>
  </si>
  <si>
    <r>
      <t xml:space="preserve">la déclaration de créance signée </t>
    </r>
    <r>
      <rPr>
        <sz val="11"/>
        <color rgb="FFFF0000"/>
        <rFont val="Calibri"/>
        <family val="2"/>
      </rPr>
      <t>électroniquement</t>
    </r>
    <r>
      <rPr>
        <sz val="11"/>
        <color theme="1"/>
        <rFont val="Calibri"/>
        <family val="2"/>
      </rPr>
      <t xml:space="preserve"> en format PDF </t>
    </r>
  </si>
  <si>
    <t>Date de début possible du subside :</t>
  </si>
  <si>
    <t>Appel</t>
  </si>
  <si>
    <t>Montant_subside</t>
  </si>
  <si>
    <t>VISA</t>
  </si>
  <si>
    <t>Civilité</t>
  </si>
  <si>
    <t>O_N</t>
  </si>
  <si>
    <t xml:space="preserve">Gestionnaire  </t>
  </si>
  <si>
    <t>RI-RF</t>
  </si>
  <si>
    <t>TVAC_HTVA</t>
  </si>
  <si>
    <t>Email-Gestionnaire</t>
  </si>
  <si>
    <t>Date maximale de fin du subside* :</t>
  </si>
  <si>
    <r>
      <t xml:space="preserve">SUBSIDE
</t>
    </r>
    <r>
      <rPr>
        <b/>
        <i/>
        <u/>
        <sz val="11"/>
        <color theme="1" tint="0.499984740745262"/>
        <rFont val="Calibri"/>
        <family val="2"/>
      </rPr>
      <t>*Attention le subside POLLEC 21 ne peut aller au-delà de janvier 2024, si vous bénéficiez d'un subside POLLEC 22.</t>
    </r>
  </si>
  <si>
    <t>Date de fin du contrat (si spécifiée)</t>
  </si>
  <si>
    <r>
      <rPr>
        <b/>
        <sz val="11"/>
        <color theme="0" tint="-0.499984740745262"/>
        <rFont val="Calibri"/>
        <family val="2"/>
      </rPr>
      <t>*</t>
    </r>
    <r>
      <rPr>
        <b/>
        <u/>
        <sz val="11"/>
        <color theme="0" tint="-0.499984740745262"/>
        <rFont val="Calibri"/>
        <family val="2"/>
      </rPr>
      <t xml:space="preserve">Taux d'occupation= rapport ente les prestations  à charge du subside et l'ensemble des prestations. Reprendre le taux d'occupation renseigné dans </t>
    </r>
    <r>
      <rPr>
        <u/>
        <sz val="11"/>
        <color rgb="FFFF0000"/>
        <rFont val="Calibri"/>
        <family val="2"/>
      </rPr>
      <t>la cellule "D50" du fichier Timesheet</t>
    </r>
    <r>
      <rPr>
        <b/>
        <u/>
        <sz val="11"/>
        <color theme="0" tint="-0.499984740745262"/>
        <rFont val="Calibri"/>
        <family val="2"/>
      </rPr>
      <t xml:space="preserve"> transmis au SPW.
</t>
    </r>
    <r>
      <rPr>
        <b/>
        <sz val="11"/>
        <color theme="0" tint="-0.499984740745262"/>
        <rFont val="Calibri"/>
        <family val="2"/>
      </rPr>
      <t>**</t>
    </r>
    <r>
      <rPr>
        <b/>
        <u/>
        <sz val="11"/>
        <color theme="0" tint="-0.499984740745262"/>
        <rFont val="Calibri"/>
        <family val="2"/>
      </rPr>
      <t>Brut total</t>
    </r>
    <r>
      <rPr>
        <sz val="11"/>
        <color theme="0" tint="-0.499984740745262"/>
        <rFont val="Calibri"/>
        <family val="2"/>
      </rPr>
      <t xml:space="preserve"> = brut issu de la fiche de compte individuel ou des fiches de salaire;</t>
    </r>
    <r>
      <rPr>
        <u/>
        <sz val="11"/>
        <color theme="0" tint="-0.499984740745262"/>
        <rFont val="Calibri"/>
        <family val="2"/>
      </rPr>
      <t xml:space="preserve"> ne comprennant pas</t>
    </r>
    <r>
      <rPr>
        <sz val="11"/>
        <color theme="0" tint="-0.499984740745262"/>
        <rFont val="Calibri"/>
        <family val="2"/>
      </rPr>
      <t xml:space="preserve"> le pécule de vacance, la prime de fin d'année, … 
*** </t>
    </r>
    <r>
      <rPr>
        <b/>
        <u/>
        <sz val="11"/>
        <color theme="0" tint="-0.499984740745262"/>
        <rFont val="Calibri"/>
        <family val="2"/>
      </rPr>
      <t>Autres charges=</t>
    </r>
    <r>
      <rPr>
        <sz val="11"/>
        <color theme="0" tint="-0.499984740745262"/>
        <rFont val="Calibri"/>
        <family val="2"/>
      </rPr>
      <t xml:space="preserve"> ONSS, Assurances légales, Pécule de vacances, Prime de fin d'année…
****</t>
    </r>
    <r>
      <rPr>
        <b/>
        <u/>
        <sz val="11"/>
        <color theme="0" tint="-0.499984740745262"/>
        <rFont val="Calibri"/>
        <family val="2"/>
      </rPr>
      <t>Avantages extra-légaux</t>
    </r>
    <r>
      <rPr>
        <sz val="11"/>
        <color theme="0" tint="-0.499984740745262"/>
        <rFont val="Calibri"/>
        <family val="2"/>
      </rPr>
      <t xml:space="preserve"> (attribués à l’ensemble du personnel) : ex. : Chèques repas, assurances-groupe, prime de naissance…
*****</t>
    </r>
    <r>
      <rPr>
        <b/>
        <sz val="11"/>
        <color theme="0" tint="-0.499984740745262"/>
        <rFont val="Calibri"/>
        <family val="2"/>
      </rPr>
      <t xml:space="preserve"> </t>
    </r>
    <r>
      <rPr>
        <b/>
        <u/>
        <sz val="11"/>
        <color theme="0" tint="-0.499984740745262"/>
        <rFont val="Calibri"/>
        <family val="2"/>
      </rPr>
      <t>Indemnités perçues</t>
    </r>
    <r>
      <rPr>
        <b/>
        <sz val="11"/>
        <color theme="0" tint="-0.499984740745262"/>
        <rFont val="Calibri"/>
        <family val="2"/>
      </rPr>
      <t xml:space="preserve"> </t>
    </r>
    <r>
      <rPr>
        <sz val="11"/>
        <color theme="0" tint="-0.499984740745262"/>
        <rFont val="Calibri"/>
        <family val="2"/>
      </rPr>
      <t xml:space="preserve">: ex indemnités APE, autres subsides
</t>
    </r>
  </si>
  <si>
    <t xml:space="preserve">***Autres charges </t>
  </si>
  <si>
    <t>***Autres charges</t>
  </si>
  <si>
    <t>Durée de la DC en mois* :</t>
  </si>
  <si>
    <r>
      <t xml:space="preserve">DÉCLARATION DE CRÉANCE 
</t>
    </r>
    <r>
      <rPr>
        <b/>
        <i/>
        <u/>
        <sz val="11"/>
        <color theme="1" tint="0.499984740745262"/>
        <rFont val="Calibri"/>
        <family val="2"/>
      </rPr>
      <t xml:space="preserve">*Attention le coordinateur POLLEC Communal peut être financé au maximum pour 24 mois ( pas forcément continus) </t>
    </r>
  </si>
  <si>
    <r>
      <rPr>
        <b/>
        <sz val="12"/>
        <color rgb="FFFF5050"/>
        <rFont val="Calibri"/>
        <family val="2"/>
        <scheme val="minor"/>
      </rPr>
      <t>Attention</t>
    </r>
    <r>
      <rPr>
        <sz val="12"/>
        <color theme="1"/>
        <rFont val="Calibri"/>
        <family val="2"/>
        <scheme val="minor"/>
      </rPr>
      <t>:  la déclaration de créance doit être complétée de manière dactylographiée et signée électroniquement (</t>
    </r>
    <r>
      <rPr>
        <sz val="12"/>
        <color rgb="FFFF0000"/>
        <rFont val="Calibri"/>
        <family val="2"/>
        <scheme val="minor"/>
      </rPr>
      <t>sinon celle-ci sera refusée</t>
    </r>
    <r>
      <rPr>
        <sz val="12"/>
        <color theme="1"/>
        <rFont val="Calibri"/>
        <family val="2"/>
        <scheme val="minor"/>
      </rPr>
      <t>)</t>
    </r>
  </si>
  <si>
    <t>DC finale</t>
  </si>
  <si>
    <r>
      <rPr>
        <b/>
        <sz val="11"/>
        <color theme="1"/>
        <rFont val="Calibri"/>
        <family val="2"/>
      </rPr>
      <t xml:space="preserve">Le gestionnaire technique </t>
    </r>
    <r>
      <rPr>
        <sz val="11"/>
        <color theme="1"/>
        <rFont val="Calibri"/>
        <family val="2"/>
      </rPr>
      <t>a examiné l'ensenble des pièces justificatives</t>
    </r>
  </si>
  <si>
    <t xml:space="preserve">le  </t>
  </si>
  <si>
    <t>N° d'engagement juridique * :</t>
  </si>
  <si>
    <t>EJ</t>
  </si>
  <si>
    <t>NA</t>
  </si>
  <si>
    <t>POLLEC 2020-RH</t>
  </si>
  <si>
    <t>POLLEC 2021-RH</t>
  </si>
  <si>
    <t>Fonds de roulement liquidé</t>
  </si>
  <si>
    <t xml:space="preserve">BUDGET
</t>
  </si>
  <si>
    <t>Votre organisme est-il assujetti à la TVA dans le cadre de ce subside ?</t>
  </si>
  <si>
    <t>Cécile Batungwanayo</t>
  </si>
  <si>
    <t>Guillaume Campion</t>
  </si>
  <si>
    <t>Solde subvention</t>
  </si>
  <si>
    <t>Montant total liquidé</t>
  </si>
  <si>
    <t xml:space="preserve">Fonds de roulement  justifié </t>
  </si>
  <si>
    <t xml:space="preserve">Numéro d'engagement juridique </t>
  </si>
  <si>
    <r>
      <t>DC_Finale_POLLEC</t>
    </r>
    <r>
      <rPr>
        <i/>
        <sz val="11"/>
        <color theme="1"/>
        <rFont val="Calibri"/>
        <family val="2"/>
      </rPr>
      <t>XX</t>
    </r>
    <r>
      <rPr>
        <sz val="11"/>
        <color theme="1"/>
        <rFont val="Calibri"/>
        <family val="2"/>
      </rPr>
      <t>_RH_</t>
    </r>
    <r>
      <rPr>
        <i/>
        <sz val="11"/>
        <color theme="1"/>
        <rFont val="Calibri"/>
        <family val="2"/>
      </rPr>
      <t>Nom du bénéficiaire</t>
    </r>
  </si>
  <si>
    <r>
      <rPr>
        <b/>
        <u/>
        <sz val="11"/>
        <color theme="1"/>
        <rFont val="Calibri"/>
        <family val="2"/>
      </rPr>
      <t>ATTENTION</t>
    </r>
    <r>
      <rPr>
        <sz val="11"/>
        <color theme="1"/>
        <rFont val="Calibri"/>
        <family val="2"/>
      </rPr>
      <t xml:space="preserve"> : VOUS NE DEVEZ REMPLIR QUE LES CELLULES</t>
    </r>
    <r>
      <rPr>
        <u/>
        <sz val="11"/>
        <color theme="1"/>
        <rFont val="Calibri"/>
        <family val="2"/>
      </rPr>
      <t xml:space="preserve"> </t>
    </r>
    <r>
      <rPr>
        <b/>
        <u/>
        <sz val="11"/>
        <rFont val="Calibri"/>
        <family val="2"/>
      </rPr>
      <t>JAUNES.</t>
    </r>
    <r>
      <rPr>
        <sz val="11"/>
        <color theme="1"/>
        <rFont val="Calibri"/>
        <family val="2"/>
      </rPr>
      <t xml:space="preserve">
LES CELLULES EN GRIS CONTIENNENT DES FORMULES.
LES CELLULES EN BLEU SONT REMPLIES PAR Le SPW.</t>
    </r>
  </si>
  <si>
    <t>3) Une fois l'ensemble des rubriques complétées, imprimez la déclaration de créance et faites la signer  de manière électronique</t>
  </si>
  <si>
    <t>Informations supplémentaires si vous souhaitez avoir un état des lieux global de votre subside (non obligatoire)</t>
  </si>
  <si>
    <t xml:space="preserve">Fonds de roulement déjà justifié par ancienne(s) DC </t>
  </si>
  <si>
    <t>Montant  liquidé DC précédente(s)</t>
  </si>
  <si>
    <t>Cette DC</t>
  </si>
  <si>
    <t>Ancienne(s) DC</t>
  </si>
  <si>
    <t>Solde Fonds de roulement (justifié avant cette DC )</t>
  </si>
  <si>
    <t>Montant total validé (après cette DC)</t>
  </si>
  <si>
    <t>Solde Fonds de roulement non justifié après cette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</si>
</sst>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(&quot;€&quot;* #,##0.00_);_(&quot;€&quot;* \(#,##0.00\);_(&quot;€&quot;* &quot;-&quot;??_);_(@_)"/>
    <numFmt numFmtId="166" formatCode="#,##0.00\ &quot;€&quot;"/>
    <numFmt numFmtId="167" formatCode="[$-80C]dd\-mmm\-yy;@"/>
    <numFmt numFmtId="168" formatCode="_-* #,##0.00\ [$€-40C]_-;\-* #,##0.00\ [$€-40C]_-;_-* &quot;-&quot;??\ [$€-40C]_-;_-@_-"/>
    <numFmt numFmtId="169" formatCode="_-* #,##0.00\ [$€-80C]_-;\-* #,##0.00\ [$€-80C]_-;_-* &quot;-&quot;??\ [$€-80C]_-;_-@_-"/>
    <numFmt numFmtId="170" formatCode="d/mm/yy;@"/>
  </numFmts>
  <fonts count="8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 tint="0.499984740745262"/>
      <name val="Calibri"/>
      <family val="2"/>
    </font>
    <font>
      <sz val="10"/>
      <color theme="0"/>
      <name val="Calibri"/>
      <family val="2"/>
    </font>
    <font>
      <sz val="10"/>
      <color theme="0" tint="-0.499984740745262"/>
      <name val="Calibri"/>
      <family val="2"/>
    </font>
    <font>
      <b/>
      <u/>
      <sz val="11"/>
      <name val="Calibri"/>
      <family val="2"/>
    </font>
    <font>
      <sz val="11"/>
      <color rgb="FF050000"/>
      <name val="Calibri"/>
      <family val="2"/>
    </font>
    <font>
      <sz val="11"/>
      <color theme="0"/>
      <name val="Calibri"/>
      <family val="2"/>
    </font>
    <font>
      <b/>
      <sz val="18"/>
      <color indexed="8"/>
      <name val="Calibri"/>
      <family val="2"/>
    </font>
    <font>
      <sz val="14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16"/>
      <color theme="1"/>
      <name val="Calibri"/>
      <family val="2"/>
    </font>
    <font>
      <u/>
      <sz val="10"/>
      <name val="Calibri"/>
      <family val="2"/>
    </font>
    <font>
      <sz val="11"/>
      <color theme="0" tint="-0.499984740745262"/>
      <name val="Calibri"/>
      <family val="2"/>
    </font>
    <font>
      <b/>
      <sz val="18"/>
      <color rgb="FF050000"/>
      <name val="Calibri"/>
      <family val="2"/>
    </font>
    <font>
      <sz val="16"/>
      <color theme="1" tint="0.499984740745262"/>
      <name val="Calibri"/>
      <family val="2"/>
    </font>
    <font>
      <sz val="12"/>
      <color theme="0"/>
      <name val="Calibri"/>
      <family val="2"/>
    </font>
    <font>
      <b/>
      <u/>
      <sz val="14"/>
      <color theme="1"/>
      <name val="Calibri"/>
      <family val="2"/>
    </font>
    <font>
      <b/>
      <u/>
      <sz val="14"/>
      <name val="Calibri"/>
      <family val="2"/>
    </font>
    <font>
      <b/>
      <u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b/>
      <sz val="9"/>
      <name val="Calibri"/>
      <family val="2"/>
    </font>
    <font>
      <sz val="9"/>
      <color theme="0" tint="-0.499984740745262"/>
      <name val="Calibri"/>
      <family val="2"/>
    </font>
    <font>
      <sz val="9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9"/>
      <color rgb="FFFF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u/>
      <sz val="11"/>
      <color theme="0" tint="-0.499984740745262"/>
      <name val="Calibri"/>
      <family val="2"/>
    </font>
    <font>
      <u/>
      <sz val="11"/>
      <color theme="0" tint="-0.499984740745262"/>
      <name val="Calibri"/>
      <family val="2"/>
    </font>
    <font>
      <b/>
      <sz val="10"/>
      <color theme="5" tint="-0.249977111117893"/>
      <name val="Calibri"/>
      <family val="2"/>
    </font>
    <font>
      <sz val="10"/>
      <color theme="5" tint="-0.249977111117893"/>
      <name val="Calibri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</font>
    <font>
      <u/>
      <sz val="11"/>
      <color rgb="FFFF0000"/>
      <name val="Calibri"/>
      <family val="2"/>
    </font>
    <font>
      <b/>
      <i/>
      <u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sz val="12"/>
      <color rgb="FFFF505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b/>
      <i/>
      <u/>
      <sz val="11"/>
      <color theme="1" tint="0.499984740745262"/>
      <name val="Calibri"/>
      <family val="2"/>
    </font>
    <font>
      <sz val="11"/>
      <color theme="1" tint="0.34998626667073579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i/>
      <sz val="10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3CCFF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3CD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EBEBFF"/>
        <bgColor indexed="64"/>
      </patternFill>
    </fill>
    <fill>
      <patternFill patternType="solid">
        <fgColor theme="7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thin">
        <color theme="0" tint="-0.14996795556505021"/>
      </bottom>
      <diagonal/>
    </border>
    <border>
      <left/>
      <right/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theme="0" tint="-0.14990691854609822"/>
      </right>
      <top style="medium">
        <color theme="0" tint="-0.14993743705557422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499984740745262"/>
      </left>
      <right style="thick">
        <color theme="0" tint="-0.34998626667073579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rgb="FFD8D8D8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18" fillId="0" borderId="0"/>
    <xf numFmtId="0" fontId="3" fillId="0" borderId="0"/>
    <xf numFmtId="0" fontId="2" fillId="0" borderId="0"/>
    <xf numFmtId="0" fontId="2" fillId="0" borderId="0"/>
    <xf numFmtId="9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Alignment="0" applyProtection="0"/>
  </cellStyleXfs>
  <cellXfs count="488">
    <xf numFmtId="0" fontId="0" fillId="0" borderId="0" xfId="0"/>
    <xf numFmtId="0" fontId="26" fillId="0" borderId="0" xfId="0" applyFont="1" applyAlignment="1">
      <alignment wrapText="1"/>
    </xf>
    <xf numFmtId="0" fontId="26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36" fillId="0" borderId="0" xfId="0" applyFont="1"/>
    <xf numFmtId="165" fontId="36" fillId="0" borderId="0" xfId="0" applyNumberFormat="1" applyFont="1"/>
    <xf numFmtId="0" fontId="26" fillId="0" borderId="0" xfId="0" applyFont="1"/>
    <xf numFmtId="14" fontId="26" fillId="0" borderId="0" xfId="0" applyNumberFormat="1" applyFont="1"/>
    <xf numFmtId="0" fontId="0" fillId="0" borderId="5" xfId="0" applyBorder="1"/>
    <xf numFmtId="0" fontId="0" fillId="0" borderId="7" xfId="0" applyBorder="1"/>
    <xf numFmtId="0" fontId="39" fillId="6" borderId="0" xfId="0" applyFont="1" applyFill="1" applyAlignment="1">
      <alignment horizontal="left" vertical="center"/>
    </xf>
    <xf numFmtId="0" fontId="40" fillId="0" borderId="0" xfId="0" applyFont="1"/>
    <xf numFmtId="0" fontId="40" fillId="0" borderId="0" xfId="0" applyFont="1" applyAlignment="1">
      <alignment horizontal="right" indent="1"/>
    </xf>
    <xf numFmtId="0" fontId="41" fillId="0" borderId="0" xfId="0" applyFont="1" applyAlignment="1">
      <alignment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right" vertical="center" wrapText="1" indent="1"/>
    </xf>
    <xf numFmtId="0" fontId="40" fillId="0" borderId="0" xfId="0" applyFont="1" applyAlignment="1">
      <alignment horizontal="right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horizontal="right" vertical="top" wrapText="1" indent="1"/>
    </xf>
    <xf numFmtId="0" fontId="40" fillId="0" borderId="0" xfId="0" applyFont="1" applyAlignment="1">
      <alignment horizontal="right" vertical="top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wrapTex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 indent="1"/>
    </xf>
    <xf numFmtId="0" fontId="39" fillId="6" borderId="0" xfId="0" applyFont="1" applyFill="1" applyAlignment="1">
      <alignment horizontal="left" vertical="top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39" fillId="6" borderId="0" xfId="0" applyFont="1" applyFill="1" applyAlignment="1">
      <alignment vertical="center"/>
    </xf>
    <xf numFmtId="0" fontId="39" fillId="0" borderId="0" xfId="0" applyFont="1" applyAlignment="1">
      <alignment horizontal="right" vertical="center" indent="1"/>
    </xf>
    <xf numFmtId="0" fontId="29" fillId="0" borderId="0" xfId="0" applyFont="1" applyAlignment="1">
      <alignment horizontal="right" vertical="center" indent="1"/>
    </xf>
    <xf numFmtId="0" fontId="30" fillId="6" borderId="0" xfId="0" applyFont="1" applyFill="1" applyAlignment="1">
      <alignment vertical="center" wrapText="1"/>
    </xf>
    <xf numFmtId="165" fontId="44" fillId="6" borderId="0" xfId="0" applyNumberFormat="1" applyFont="1" applyFill="1" applyAlignment="1">
      <alignment horizontal="left" vertical="center" wrapText="1"/>
    </xf>
    <xf numFmtId="0" fontId="42" fillId="3" borderId="2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167" fontId="40" fillId="3" borderId="2" xfId="0" applyNumberFormat="1" applyFont="1" applyFill="1" applyBorder="1" applyAlignment="1">
      <alignment horizontal="right" vertical="center" wrapText="1"/>
    </xf>
    <xf numFmtId="167" fontId="40" fillId="3" borderId="2" xfId="0" applyNumberFormat="1" applyFont="1" applyFill="1" applyBorder="1" applyAlignment="1">
      <alignment vertical="center" wrapText="1"/>
    </xf>
    <xf numFmtId="14" fontId="40" fillId="8" borderId="2" xfId="0" applyNumberFormat="1" applyFont="1" applyFill="1" applyBorder="1" applyAlignment="1" applyProtection="1">
      <alignment vertical="center" wrapText="1"/>
      <protection locked="0"/>
    </xf>
    <xf numFmtId="0" fontId="40" fillId="8" borderId="9" xfId="0" applyFont="1" applyFill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28" fillId="0" borderId="0" xfId="0" applyFont="1"/>
    <xf numFmtId="0" fontId="10" fillId="0" borderId="53" xfId="0" applyFont="1" applyBorder="1"/>
    <xf numFmtId="0" fontId="10" fillId="0" borderId="53" xfId="0" applyFont="1" applyBorder="1" applyAlignment="1">
      <alignment horizontal="center"/>
    </xf>
    <xf numFmtId="0" fontId="0" fillId="0" borderId="47" xfId="0" applyBorder="1" applyAlignment="1">
      <alignment horizontal="right"/>
    </xf>
    <xf numFmtId="0" fontId="45" fillId="0" borderId="48" xfId="0" applyFont="1" applyBorder="1" applyAlignment="1">
      <alignment horizontal="center" vertical="center"/>
    </xf>
    <xf numFmtId="0" fontId="46" fillId="7" borderId="49" xfId="0" applyFont="1" applyFill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/>
    </xf>
    <xf numFmtId="0" fontId="45" fillId="3" borderId="46" xfId="0" applyFont="1" applyFill="1" applyBorder="1" applyAlignment="1">
      <alignment horizontal="right" vertical="center"/>
    </xf>
    <xf numFmtId="0" fontId="0" fillId="0" borderId="52" xfId="0" applyBorder="1" applyAlignment="1">
      <alignment horizontal="right"/>
    </xf>
    <xf numFmtId="165" fontId="40" fillId="0" borderId="0" xfId="0" applyNumberFormat="1" applyFont="1"/>
    <xf numFmtId="14" fontId="40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44" fillId="3" borderId="2" xfId="0" applyFont="1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0" fillId="3" borderId="9" xfId="0" applyFill="1" applyBorder="1" applyAlignment="1">
      <alignment vertical="top" wrapText="1"/>
    </xf>
    <xf numFmtId="0" fontId="0" fillId="0" borderId="0" xfId="0" applyAlignment="1">
      <alignment horizontal="right"/>
    </xf>
    <xf numFmtId="0" fontId="19" fillId="0" borderId="0" xfId="0" applyFont="1" applyAlignment="1">
      <alignment vertical="center" wrapText="1"/>
    </xf>
    <xf numFmtId="44" fontId="43" fillId="3" borderId="2" xfId="0" applyNumberFormat="1" applyFont="1" applyFill="1" applyBorder="1" applyAlignment="1">
      <alignment horizontal="right" vertical="center" wrapText="1"/>
    </xf>
    <xf numFmtId="44" fontId="42" fillId="8" borderId="3" xfId="0" applyNumberFormat="1" applyFont="1" applyFill="1" applyBorder="1" applyAlignment="1" applyProtection="1">
      <alignment horizontal="center" vertical="center" wrapText="1"/>
      <protection locked="0"/>
    </xf>
    <xf numFmtId="44" fontId="40" fillId="3" borderId="2" xfId="0" applyNumberFormat="1" applyFont="1" applyFill="1" applyBorder="1" applyAlignment="1">
      <alignment horizontal="right" vertical="center" wrapText="1"/>
    </xf>
    <xf numFmtId="0" fontId="40" fillId="3" borderId="9" xfId="0" applyFont="1" applyFill="1" applyBorder="1" applyAlignment="1">
      <alignment horizontal="centerContinuous" vertical="top" wrapText="1"/>
    </xf>
    <xf numFmtId="0" fontId="40" fillId="3" borderId="3" xfId="0" applyFont="1" applyFill="1" applyBorder="1" applyAlignment="1">
      <alignment horizontal="centerContinuous" vertical="top" wrapText="1"/>
    </xf>
    <xf numFmtId="44" fontId="48" fillId="3" borderId="51" xfId="0" applyNumberFormat="1" applyFont="1" applyFill="1" applyBorder="1" applyAlignment="1">
      <alignment horizontal="right" vertical="center" wrapText="1"/>
    </xf>
    <xf numFmtId="44" fontId="0" fillId="0" borderId="48" xfId="0" applyNumberFormat="1" applyBorder="1"/>
    <xf numFmtId="44" fontId="0" fillId="0" borderId="11" xfId="0" applyNumberFormat="1" applyBorder="1"/>
    <xf numFmtId="0" fontId="0" fillId="8" borderId="3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44" fontId="0" fillId="3" borderId="3" xfId="0" applyNumberFormat="1" applyFill="1" applyBorder="1" applyAlignment="1">
      <alignment vertical="top" wrapText="1"/>
    </xf>
    <xf numFmtId="0" fontId="20" fillId="0" borderId="0" xfId="0" applyFont="1" applyAlignment="1">
      <alignment vertical="center" wrapText="1"/>
    </xf>
    <xf numFmtId="168" fontId="42" fillId="3" borderId="2" xfId="0" applyNumberFormat="1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25" fillId="6" borderId="0" xfId="0" applyFont="1" applyFill="1" applyAlignment="1">
      <alignment vertical="center"/>
    </xf>
    <xf numFmtId="0" fontId="25" fillId="6" borderId="7" xfId="0" applyFont="1" applyFill="1" applyBorder="1" applyAlignment="1">
      <alignment vertical="center"/>
    </xf>
    <xf numFmtId="169" fontId="0" fillId="0" borderId="0" xfId="0" applyNumberFormat="1"/>
    <xf numFmtId="14" fontId="0" fillId="0" borderId="0" xfId="0" applyNumberFormat="1"/>
    <xf numFmtId="0" fontId="6" fillId="14" borderId="0" xfId="0" applyFont="1" applyFill="1" applyAlignment="1">
      <alignment vertical="center" wrapText="1"/>
    </xf>
    <xf numFmtId="169" fontId="6" fillId="14" borderId="0" xfId="0" applyNumberFormat="1" applyFont="1" applyFill="1" applyAlignment="1">
      <alignment vertical="center" wrapText="1"/>
    </xf>
    <xf numFmtId="169" fontId="6" fillId="14" borderId="0" xfId="0" applyNumberFormat="1" applyFont="1" applyFill="1" applyAlignment="1">
      <alignment horizontal="right" vertical="center" wrapText="1"/>
    </xf>
    <xf numFmtId="0" fontId="6" fillId="14" borderId="0" xfId="0" applyFont="1" applyFill="1" applyAlignment="1">
      <alignment horizontal="right" vertical="center" wrapText="1"/>
    </xf>
    <xf numFmtId="169" fontId="0" fillId="0" borderId="0" xfId="0" applyNumberFormat="1" applyAlignment="1">
      <alignment horizontal="right"/>
    </xf>
    <xf numFmtId="0" fontId="0" fillId="15" borderId="2" xfId="0" applyFill="1" applyBorder="1" applyAlignment="1" applyProtection="1">
      <alignment horizontal="right" vertical="center" wrapText="1"/>
      <protection locked="0"/>
    </xf>
    <xf numFmtId="14" fontId="10" fillId="15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15" borderId="2" xfId="0" applyNumberFormat="1" applyFill="1" applyBorder="1" applyAlignment="1" applyProtection="1">
      <alignment horizontal="left" vertical="center" wrapText="1"/>
      <protection locked="0"/>
    </xf>
    <xf numFmtId="0" fontId="10" fillId="15" borderId="2" xfId="0" applyFont="1" applyFill="1" applyBorder="1" applyAlignment="1" applyProtection="1">
      <alignment horizontal="right" vertical="center" wrapText="1"/>
      <protection locked="0"/>
    </xf>
    <xf numFmtId="0" fontId="0" fillId="15" borderId="9" xfId="0" applyFill="1" applyBorder="1" applyAlignment="1" applyProtection="1">
      <alignment horizontal="right" vertical="center"/>
      <protection locked="0"/>
    </xf>
    <xf numFmtId="0" fontId="77" fillId="15" borderId="2" xfId="0" applyFont="1" applyFill="1" applyBorder="1" applyAlignment="1" applyProtection="1">
      <alignment horizontal="right" vertical="center" wrapText="1"/>
      <protection locked="0"/>
    </xf>
    <xf numFmtId="0" fontId="10" fillId="15" borderId="2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169" fontId="40" fillId="8" borderId="2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wrapText="1"/>
    </xf>
    <xf numFmtId="14" fontId="40" fillId="8" borderId="3" xfId="0" applyNumberFormat="1" applyFont="1" applyFill="1" applyBorder="1" applyAlignment="1" applyProtection="1">
      <alignment horizontal="centerContinuous" vertical="center" wrapText="1"/>
      <protection locked="0"/>
    </xf>
    <xf numFmtId="14" fontId="40" fillId="8" borderId="9" xfId="0" applyNumberFormat="1" applyFont="1" applyFill="1" applyBorder="1" applyAlignment="1" applyProtection="1">
      <alignment horizontal="centerContinuous" vertical="center" wrapText="1"/>
      <protection locked="0"/>
    </xf>
    <xf numFmtId="0" fontId="79" fillId="15" borderId="2" xfId="12" applyFill="1" applyBorder="1" applyAlignment="1" applyProtection="1">
      <alignment horizontal="right" vertical="center"/>
      <protection locked="0"/>
    </xf>
    <xf numFmtId="0" fontId="0" fillId="6" borderId="0" xfId="0" applyFill="1" applyAlignment="1">
      <alignment wrapText="1"/>
    </xf>
    <xf numFmtId="170" fontId="0" fillId="6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69" fontId="0" fillId="6" borderId="0" xfId="0" applyNumberFormat="1" applyFill="1" applyAlignment="1">
      <alignment wrapText="1"/>
    </xf>
    <xf numFmtId="169" fontId="0" fillId="2" borderId="0" xfId="0" applyNumberFormat="1" applyFill="1" applyAlignment="1">
      <alignment wrapText="1"/>
    </xf>
    <xf numFmtId="169" fontId="0" fillId="0" borderId="0" xfId="0" applyNumberFormat="1" applyAlignment="1">
      <alignment wrapText="1"/>
    </xf>
    <xf numFmtId="0" fontId="77" fillId="15" borderId="2" xfId="0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 wrapText="1"/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3" fillId="0" borderId="0" xfId="3" applyFont="1" applyAlignment="1" applyProtection="1">
      <alignment vertical="top" wrapText="1"/>
      <protection hidden="1"/>
    </xf>
    <xf numFmtId="0" fontId="20" fillId="6" borderId="18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7" fillId="6" borderId="27" xfId="0" applyFont="1" applyFill="1" applyBorder="1" applyAlignment="1" applyProtection="1">
      <alignment horizontal="center" vertical="center" wrapText="1"/>
      <protection hidden="1"/>
    </xf>
    <xf numFmtId="0" fontId="20" fillId="6" borderId="15" xfId="0" applyFont="1" applyFill="1" applyBorder="1" applyAlignment="1" applyProtection="1">
      <alignment horizontal="center" vertical="center" wrapText="1"/>
      <protection hidden="1"/>
    </xf>
    <xf numFmtId="0" fontId="20" fillId="6" borderId="30" xfId="0" applyFont="1" applyFill="1" applyBorder="1" applyAlignment="1" applyProtection="1">
      <alignment horizontal="left" vertical="center" wrapText="1"/>
      <protection hidden="1"/>
    </xf>
    <xf numFmtId="0" fontId="20" fillId="6" borderId="0" xfId="0" applyFont="1" applyFill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44" fontId="20" fillId="3" borderId="24" xfId="0" applyNumberFormat="1" applyFont="1" applyFill="1" applyBorder="1" applyAlignment="1" applyProtection="1">
      <alignment vertical="center" wrapText="1"/>
      <protection hidden="1"/>
    </xf>
    <xf numFmtId="165" fontId="20" fillId="6" borderId="0" xfId="0" applyNumberFormat="1" applyFont="1" applyFill="1" applyAlignment="1" applyProtection="1">
      <alignment vertical="center" wrapText="1"/>
      <protection hidden="1"/>
    </xf>
    <xf numFmtId="165" fontId="20" fillId="0" borderId="0" xfId="0" applyNumberFormat="1" applyFont="1" applyAlignment="1" applyProtection="1">
      <alignment vertical="center" wrapText="1"/>
      <protection hidden="1"/>
    </xf>
    <xf numFmtId="0" fontId="22" fillId="6" borderId="0" xfId="0" applyFont="1" applyFill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right" vertical="center" wrapText="1"/>
      <protection hidden="1"/>
    </xf>
    <xf numFmtId="44" fontId="55" fillId="2" borderId="18" xfId="0" applyNumberFormat="1" applyFont="1" applyFill="1" applyBorder="1" applyAlignment="1" applyProtection="1">
      <alignment vertical="center" wrapText="1"/>
      <protection hidden="1"/>
    </xf>
    <xf numFmtId="166" fontId="20" fillId="0" borderId="0" xfId="0" applyNumberFormat="1" applyFont="1" applyAlignment="1" applyProtection="1">
      <alignment vertical="center" wrapText="1"/>
      <protection hidden="1"/>
    </xf>
    <xf numFmtId="10" fontId="20" fillId="0" borderId="0" xfId="0" applyNumberFormat="1" applyFont="1" applyAlignment="1" applyProtection="1">
      <alignment vertical="center" wrapText="1"/>
      <protection hidden="1"/>
    </xf>
    <xf numFmtId="0" fontId="20" fillId="6" borderId="0" xfId="0" applyFont="1" applyFill="1" applyAlignment="1" applyProtection="1">
      <alignment vertical="center" wrapText="1"/>
      <protection hidden="1"/>
    </xf>
    <xf numFmtId="166" fontId="20" fillId="6" borderId="0" xfId="0" applyNumberFormat="1" applyFont="1" applyFill="1" applyAlignment="1" applyProtection="1">
      <alignment vertical="center" wrapText="1"/>
      <protection hidden="1"/>
    </xf>
    <xf numFmtId="10" fontId="20" fillId="6" borderId="0" xfId="0" applyNumberFormat="1" applyFont="1" applyFill="1" applyAlignment="1" applyProtection="1">
      <alignment vertical="center" wrapText="1"/>
      <protection hidden="1"/>
    </xf>
    <xf numFmtId="0" fontId="20" fillId="6" borderId="0" xfId="0" applyFont="1" applyFill="1" applyAlignment="1" applyProtection="1">
      <alignment horizontal="right" vertical="center" wrapText="1"/>
      <protection hidden="1"/>
    </xf>
    <xf numFmtId="167" fontId="20" fillId="6" borderId="0" xfId="0" applyNumberFormat="1" applyFont="1" applyFill="1" applyAlignment="1" applyProtection="1">
      <alignment vertical="center" wrapText="1"/>
      <protection hidden="1"/>
    </xf>
    <xf numFmtId="0" fontId="50" fillId="10" borderId="66" xfId="0" applyFont="1" applyFill="1" applyBorder="1" applyAlignment="1" applyProtection="1">
      <alignment horizontal="center" vertical="center" wrapText="1"/>
      <protection hidden="1"/>
    </xf>
    <xf numFmtId="0" fontId="19" fillId="6" borderId="67" xfId="0" applyFont="1" applyFill="1" applyBorder="1" applyAlignment="1" applyProtection="1">
      <alignment horizontal="center" vertical="center" wrapText="1"/>
      <protection hidden="1"/>
    </xf>
    <xf numFmtId="0" fontId="20" fillId="6" borderId="67" xfId="0" applyFont="1" applyFill="1" applyBorder="1" applyAlignment="1" applyProtection="1">
      <alignment horizontal="center" vertical="center" wrapText="1"/>
      <protection hidden="1"/>
    </xf>
    <xf numFmtId="166" fontId="20" fillId="6" borderId="67" xfId="0" applyNumberFormat="1" applyFont="1" applyFill="1" applyBorder="1" applyAlignment="1" applyProtection="1">
      <alignment horizontal="center" vertical="center" wrapText="1"/>
      <protection hidden="1"/>
    </xf>
    <xf numFmtId="0" fontId="16" fillId="6" borderId="67" xfId="0" applyFont="1" applyFill="1" applyBorder="1" applyAlignment="1" applyProtection="1">
      <alignment horizontal="center" vertical="center" wrapText="1"/>
      <protection hidden="1"/>
    </xf>
    <xf numFmtId="0" fontId="45" fillId="15" borderId="0" xfId="0" applyFont="1" applyFill="1" applyAlignment="1" applyProtection="1">
      <alignment vertical="center"/>
      <protection locked="0" hidden="1"/>
    </xf>
    <xf numFmtId="0" fontId="45" fillId="15" borderId="0" xfId="0" applyFont="1" applyFill="1" applyAlignment="1" applyProtection="1">
      <alignment horizontal="left" vertical="center" indent="1"/>
      <protection locked="0" hidden="1"/>
    </xf>
    <xf numFmtId="0" fontId="60" fillId="6" borderId="14" xfId="0" applyFont="1" applyFill="1" applyBorder="1" applyAlignment="1" applyProtection="1">
      <alignment horizontal="center" vertical="center"/>
      <protection hidden="1"/>
    </xf>
    <xf numFmtId="167" fontId="61" fillId="3" borderId="12" xfId="0" applyNumberFormat="1" applyFont="1" applyFill="1" applyBorder="1" applyAlignment="1" applyProtection="1">
      <alignment horizontal="center" vertical="center"/>
      <protection hidden="1"/>
    </xf>
    <xf numFmtId="0" fontId="65" fillId="0" borderId="0" xfId="0" applyFont="1" applyProtection="1">
      <protection hidden="1"/>
    </xf>
    <xf numFmtId="167" fontId="63" fillId="13" borderId="14" xfId="0" applyNumberFormat="1" applyFont="1" applyFill="1" applyBorder="1" applyAlignment="1" applyProtection="1">
      <alignment horizontal="center" vertical="center"/>
      <protection hidden="1"/>
    </xf>
    <xf numFmtId="0" fontId="63" fillId="0" borderId="0" xfId="0" applyFont="1" applyProtection="1">
      <protection hidden="1"/>
    </xf>
    <xf numFmtId="0" fontId="0" fillId="0" borderId="0" xfId="0" applyProtection="1">
      <protection hidden="1"/>
    </xf>
    <xf numFmtId="0" fontId="60" fillId="6" borderId="15" xfId="0" applyFont="1" applyFill="1" applyBorder="1" applyAlignment="1" applyProtection="1">
      <alignment vertical="center"/>
      <protection hidden="1"/>
    </xf>
    <xf numFmtId="0" fontId="61" fillId="6" borderId="12" xfId="0" applyFont="1" applyFill="1" applyBorder="1" applyAlignment="1" applyProtection="1">
      <alignment horizontal="center" vertical="center"/>
      <protection hidden="1"/>
    </xf>
    <xf numFmtId="0" fontId="66" fillId="0" borderId="15" xfId="0" applyFont="1" applyBorder="1" applyAlignment="1" applyProtection="1">
      <alignment horizontal="center" vertical="center"/>
      <protection hidden="1"/>
    </xf>
    <xf numFmtId="0" fontId="60" fillId="6" borderId="16" xfId="0" applyFont="1" applyFill="1" applyBorder="1" applyAlignment="1" applyProtection="1">
      <alignment vertical="center"/>
      <protection hidden="1"/>
    </xf>
    <xf numFmtId="167" fontId="63" fillId="13" borderId="16" xfId="0" applyNumberFormat="1" applyFont="1" applyFill="1" applyBorder="1" applyAlignment="1" applyProtection="1">
      <alignment horizontal="center" vertical="center"/>
      <protection hidden="1"/>
    </xf>
    <xf numFmtId="0" fontId="63" fillId="6" borderId="13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64" fillId="5" borderId="12" xfId="0" applyFont="1" applyFill="1" applyBorder="1" applyAlignment="1" applyProtection="1">
      <alignment vertical="center"/>
      <protection hidden="1"/>
    </xf>
    <xf numFmtId="0" fontId="64" fillId="5" borderId="12" xfId="0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64" fillId="6" borderId="14" xfId="0" applyFont="1" applyFill="1" applyBorder="1" applyAlignment="1" applyProtection="1">
      <alignment horizontal="left" vertical="center" wrapText="1"/>
      <protection hidden="1"/>
    </xf>
    <xf numFmtId="0" fontId="61" fillId="6" borderId="14" xfId="0" applyFont="1" applyFill="1" applyBorder="1" applyAlignment="1" applyProtection="1">
      <alignment horizontal="center" vertical="center" wrapText="1"/>
      <protection hidden="1"/>
    </xf>
    <xf numFmtId="165" fontId="62" fillId="6" borderId="14" xfId="0" applyNumberFormat="1" applyFont="1" applyFill="1" applyBorder="1" applyAlignment="1" applyProtection="1">
      <alignment horizontal="center" vertical="center" wrapText="1"/>
      <protection hidden="1"/>
    </xf>
    <xf numFmtId="0" fontId="63" fillId="8" borderId="14" xfId="0" applyFont="1" applyFill="1" applyBorder="1" applyAlignment="1" applyProtection="1">
      <alignment horizontal="center" vertical="center" wrapText="1"/>
      <protection hidden="1"/>
    </xf>
    <xf numFmtId="0" fontId="64" fillId="4" borderId="56" xfId="0" applyFont="1" applyFill="1" applyBorder="1" applyAlignment="1" applyProtection="1">
      <alignment vertical="center"/>
      <protection hidden="1"/>
    </xf>
    <xf numFmtId="0" fontId="64" fillId="6" borderId="17" xfId="0" applyFont="1" applyFill="1" applyBorder="1" applyAlignment="1" applyProtection="1">
      <alignment vertical="center"/>
      <protection hidden="1"/>
    </xf>
    <xf numFmtId="0" fontId="64" fillId="6" borderId="29" xfId="0" applyFont="1" applyFill="1" applyBorder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66" fillId="0" borderId="12" xfId="1" applyFont="1" applyBorder="1" applyAlignment="1" applyProtection="1">
      <alignment horizontal="right" vertical="center"/>
      <protection hidden="1"/>
    </xf>
    <xf numFmtId="44" fontId="67" fillId="6" borderId="18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64" fillId="4" borderId="21" xfId="0" applyFont="1" applyFill="1" applyBorder="1" applyAlignment="1" applyProtection="1">
      <alignment vertical="center"/>
      <protection hidden="1"/>
    </xf>
    <xf numFmtId="0" fontId="64" fillId="6" borderId="57" xfId="0" applyFont="1" applyFill="1" applyBorder="1" applyAlignment="1" applyProtection="1">
      <alignment vertical="center"/>
      <protection hidden="1"/>
    </xf>
    <xf numFmtId="0" fontId="64" fillId="6" borderId="31" xfId="0" applyFont="1" applyFill="1" applyBorder="1" applyAlignment="1" applyProtection="1">
      <alignment vertical="center"/>
      <protection hidden="1"/>
    </xf>
    <xf numFmtId="0" fontId="69" fillId="6" borderId="12" xfId="0" applyFont="1" applyFill="1" applyBorder="1" applyAlignment="1" applyProtection="1">
      <alignment horizontal="right" vertical="center" wrapText="1"/>
      <protection hidden="1"/>
    </xf>
    <xf numFmtId="0" fontId="60" fillId="4" borderId="12" xfId="0" applyFont="1" applyFill="1" applyBorder="1" applyAlignment="1" applyProtection="1">
      <alignment horizontal="left" vertical="center"/>
      <protection hidden="1"/>
    </xf>
    <xf numFmtId="44" fontId="64" fillId="3" borderId="12" xfId="0" applyNumberFormat="1" applyFont="1" applyFill="1" applyBorder="1" applyAlignment="1" applyProtection="1">
      <alignment horizontal="right"/>
      <protection hidden="1"/>
    </xf>
    <xf numFmtId="44" fontId="68" fillId="0" borderId="0" xfId="0" applyNumberFormat="1" applyFont="1" applyProtection="1">
      <protection hidden="1"/>
    </xf>
    <xf numFmtId="0" fontId="60" fillId="3" borderId="19" xfId="0" applyFont="1" applyFill="1" applyBorder="1" applyAlignment="1" applyProtection="1">
      <alignment horizontal="right" vertical="center"/>
      <protection hidden="1"/>
    </xf>
    <xf numFmtId="9" fontId="66" fillId="3" borderId="28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165" fontId="64" fillId="5" borderId="19" xfId="0" applyNumberFormat="1" applyFont="1" applyFill="1" applyBorder="1" applyAlignment="1" applyProtection="1">
      <alignment horizontal="right" vertical="center" wrapText="1"/>
      <protection hidden="1"/>
    </xf>
    <xf numFmtId="44" fontId="70" fillId="5" borderId="28" xfId="0" applyNumberFormat="1" applyFont="1" applyFill="1" applyBorder="1" applyAlignment="1" applyProtection="1">
      <alignment horizontal="right" vertical="center"/>
      <protection hidden="1"/>
    </xf>
    <xf numFmtId="44" fontId="71" fillId="5" borderId="28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0" fillId="0" borderId="19" xfId="0" applyFont="1" applyBorder="1" applyProtection="1">
      <protection hidden="1"/>
    </xf>
    <xf numFmtId="44" fontId="65" fillId="6" borderId="0" xfId="0" applyNumberFormat="1" applyFont="1" applyFill="1" applyAlignment="1" applyProtection="1">
      <alignment horizontal="right"/>
      <protection hidden="1"/>
    </xf>
    <xf numFmtId="44" fontId="63" fillId="6" borderId="0" xfId="0" applyNumberFormat="1" applyFont="1" applyFill="1" applyAlignment="1" applyProtection="1">
      <alignment horizontal="right"/>
      <protection hidden="1"/>
    </xf>
    <xf numFmtId="44" fontId="63" fillId="0" borderId="0" xfId="0" applyNumberFormat="1" applyFont="1" applyProtection="1">
      <protection hidden="1"/>
    </xf>
    <xf numFmtId="0" fontId="63" fillId="0" borderId="32" xfId="0" applyFont="1" applyBorder="1" applyAlignment="1" applyProtection="1">
      <alignment horizontal="right" vertical="center"/>
      <protection hidden="1"/>
    </xf>
    <xf numFmtId="44" fontId="65" fillId="6" borderId="33" xfId="0" applyNumberFormat="1" applyFont="1" applyFill="1" applyBorder="1" applyAlignment="1" applyProtection="1">
      <alignment horizontal="right"/>
      <protection hidden="1"/>
    </xf>
    <xf numFmtId="44" fontId="63" fillId="3" borderId="33" xfId="0" applyNumberFormat="1" applyFont="1" applyFill="1" applyBorder="1" applyAlignment="1" applyProtection="1">
      <alignment horizontal="right"/>
      <protection hidden="1"/>
    </xf>
    <xf numFmtId="44" fontId="63" fillId="0" borderId="33" xfId="0" applyNumberFormat="1" applyFont="1" applyBorder="1" applyProtection="1">
      <protection hidden="1"/>
    </xf>
    <xf numFmtId="0" fontId="60" fillId="6" borderId="0" xfId="0" applyFont="1" applyFill="1" applyAlignment="1" applyProtection="1">
      <alignment horizontal="right"/>
      <protection hidden="1"/>
    </xf>
    <xf numFmtId="0" fontId="63" fillId="0" borderId="32" xfId="0" applyFont="1" applyBorder="1" applyAlignment="1" applyProtection="1">
      <alignment horizontal="right"/>
      <protection hidden="1"/>
    </xf>
    <xf numFmtId="44" fontId="63" fillId="8" borderId="33" xfId="0" applyNumberFormat="1" applyFont="1" applyFill="1" applyBorder="1" applyAlignment="1" applyProtection="1">
      <alignment horizontal="right"/>
      <protection hidden="1"/>
    </xf>
    <xf numFmtId="44" fontId="63" fillId="6" borderId="33" xfId="0" applyNumberFormat="1" applyFont="1" applyFill="1" applyBorder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165" fontId="66" fillId="6" borderId="32" xfId="0" applyNumberFormat="1" applyFont="1" applyFill="1" applyBorder="1" applyAlignment="1" applyProtection="1">
      <alignment horizontal="right"/>
      <protection hidden="1"/>
    </xf>
    <xf numFmtId="44" fontId="63" fillId="3" borderId="34" xfId="0" applyNumberFormat="1" applyFont="1" applyFill="1" applyBorder="1" applyAlignment="1" applyProtection="1">
      <alignment horizontal="right"/>
      <protection hidden="1"/>
    </xf>
    <xf numFmtId="0" fontId="19" fillId="6" borderId="0" xfId="0" applyFont="1" applyFill="1" applyProtection="1">
      <protection hidden="1"/>
    </xf>
    <xf numFmtId="0" fontId="31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left" vertical="center"/>
    </xf>
    <xf numFmtId="14" fontId="78" fillId="0" borderId="0" xfId="0" applyNumberFormat="1" applyFont="1" applyAlignment="1">
      <alignment horizontal="left" vertical="center"/>
    </xf>
    <xf numFmtId="0" fontId="45" fillId="15" borderId="3" xfId="0" applyFont="1" applyFill="1" applyBorder="1" applyAlignment="1" applyProtection="1">
      <alignment horizontal="left" vertical="center" wrapText="1" indent="1"/>
      <protection locked="0" hidden="1"/>
    </xf>
    <xf numFmtId="0" fontId="45" fillId="15" borderId="6" xfId="0" applyFont="1" applyFill="1" applyBorder="1" applyAlignment="1" applyProtection="1">
      <alignment vertical="center" wrapText="1"/>
      <protection locked="0" hidden="1"/>
    </xf>
    <xf numFmtId="0" fontId="45" fillId="15" borderId="9" xfId="0" applyFont="1" applyFill="1" applyBorder="1" applyAlignment="1" applyProtection="1">
      <alignment vertical="center" wrapText="1"/>
      <protection locked="0" hidden="1"/>
    </xf>
    <xf numFmtId="0" fontId="20" fillId="15" borderId="18" xfId="0" applyFont="1" applyFill="1" applyBorder="1" applyAlignment="1" applyProtection="1">
      <alignment horizontal="center" vertical="center" wrapText="1"/>
      <protection locked="0"/>
    </xf>
    <xf numFmtId="0" fontId="20" fillId="15" borderId="60" xfId="0" applyFont="1" applyFill="1" applyBorder="1" applyAlignment="1" applyProtection="1">
      <alignment horizontal="center" vertical="center" wrapText="1"/>
      <protection locked="0"/>
    </xf>
    <xf numFmtId="0" fontId="20" fillId="15" borderId="63" xfId="0" applyFont="1" applyFill="1" applyBorder="1" applyAlignment="1" applyProtection="1">
      <alignment horizontal="center" vertical="center" wrapText="1"/>
      <protection locked="0"/>
    </xf>
    <xf numFmtId="49" fontId="20" fillId="15" borderId="63" xfId="0" applyNumberFormat="1" applyFont="1" applyFill="1" applyBorder="1" applyAlignment="1" applyProtection="1">
      <alignment horizontal="center" vertical="center" wrapText="1"/>
      <protection locked="0"/>
    </xf>
    <xf numFmtId="10" fontId="20" fillId="15" borderId="60" xfId="0" applyNumberFormat="1" applyFont="1" applyFill="1" applyBorder="1" applyAlignment="1" applyProtection="1">
      <alignment horizontal="center" vertical="center" wrapText="1"/>
      <protection locked="0"/>
    </xf>
    <xf numFmtId="44" fontId="20" fillId="15" borderId="63" xfId="0" applyNumberFormat="1" applyFont="1" applyFill="1" applyBorder="1" applyAlignment="1" applyProtection="1">
      <alignment vertical="center"/>
      <protection locked="0"/>
    </xf>
    <xf numFmtId="164" fontId="20" fillId="15" borderId="63" xfId="0" applyNumberFormat="1" applyFont="1" applyFill="1" applyBorder="1" applyAlignment="1" applyProtection="1">
      <alignment vertical="center" wrapText="1"/>
      <protection locked="0"/>
    </xf>
    <xf numFmtId="49" fontId="20" fillId="15" borderId="60" xfId="0" applyNumberFormat="1" applyFont="1" applyFill="1" applyBorder="1" applyAlignment="1" applyProtection="1">
      <alignment horizontal="center" vertical="center" wrapText="1"/>
      <protection locked="0"/>
    </xf>
    <xf numFmtId="169" fontId="20" fillId="15" borderId="60" xfId="0" applyNumberFormat="1" applyFont="1" applyFill="1" applyBorder="1" applyAlignment="1" applyProtection="1">
      <alignment vertical="center"/>
      <protection locked="0"/>
    </xf>
    <xf numFmtId="164" fontId="20" fillId="15" borderId="60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center" vertical="center" wrapText="1"/>
    </xf>
    <xf numFmtId="10" fontId="20" fillId="0" borderId="0" xfId="0" applyNumberFormat="1" applyFont="1" applyAlignment="1">
      <alignment vertical="center" wrapText="1"/>
    </xf>
    <xf numFmtId="9" fontId="20" fillId="3" borderId="0" xfId="7" applyFont="1" applyFill="1" applyBorder="1" applyAlignment="1" applyProtection="1">
      <alignment vertical="center" wrapText="1"/>
    </xf>
    <xf numFmtId="0" fontId="19" fillId="15" borderId="18" xfId="0" applyFont="1" applyFill="1" applyBorder="1" applyAlignment="1" applyProtection="1">
      <alignment vertical="center" wrapText="1"/>
      <protection locked="0"/>
    </xf>
    <xf numFmtId="0" fontId="20" fillId="15" borderId="18" xfId="0" applyFont="1" applyFill="1" applyBorder="1" applyAlignment="1" applyProtection="1">
      <alignment horizontal="right" vertical="center" wrapText="1"/>
      <protection locked="0"/>
    </xf>
    <xf numFmtId="14" fontId="20" fillId="15" borderId="18" xfId="0" applyNumberFormat="1" applyFont="1" applyFill="1" applyBorder="1" applyAlignment="1" applyProtection="1">
      <alignment horizontal="center" vertical="center" wrapText="1"/>
      <protection locked="0"/>
    </xf>
    <xf numFmtId="44" fontId="17" fillId="15" borderId="18" xfId="0" applyNumberFormat="1" applyFont="1" applyFill="1" applyBorder="1" applyAlignment="1" applyProtection="1">
      <alignment vertical="center" wrapText="1"/>
      <protection locked="0"/>
    </xf>
    <xf numFmtId="166" fontId="20" fillId="15" borderId="22" xfId="0" applyNumberFormat="1" applyFont="1" applyFill="1" applyBorder="1" applyAlignment="1" applyProtection="1">
      <alignment vertical="center"/>
      <protection locked="0"/>
    </xf>
    <xf numFmtId="166" fontId="20" fillId="15" borderId="24" xfId="0" applyNumberFormat="1" applyFont="1" applyFill="1" applyBorder="1" applyAlignment="1" applyProtection="1">
      <alignment vertical="center"/>
      <protection locked="0"/>
    </xf>
    <xf numFmtId="166" fontId="20" fillId="15" borderId="23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right" vertical="center" wrapText="1"/>
    </xf>
    <xf numFmtId="44" fontId="55" fillId="2" borderId="18" xfId="0" applyNumberFormat="1" applyFont="1" applyFill="1" applyBorder="1" applyAlignment="1">
      <alignment vertical="center" wrapText="1"/>
    </xf>
    <xf numFmtId="166" fontId="20" fillId="0" borderId="0" xfId="0" applyNumberFormat="1" applyFont="1" applyAlignment="1">
      <alignment vertical="center" wrapText="1"/>
    </xf>
    <xf numFmtId="44" fontId="65" fillId="6" borderId="68" xfId="0" applyNumberFormat="1" applyFont="1" applyFill="1" applyBorder="1" applyAlignment="1" applyProtection="1">
      <alignment horizontal="right"/>
      <protection hidden="1"/>
    </xf>
    <xf numFmtId="0" fontId="0" fillId="16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15" borderId="2" xfId="0" applyFont="1" applyFill="1" applyBorder="1" applyAlignment="1" applyProtection="1">
      <alignment horizontal="right" vertical="center" wrapText="1"/>
      <protection locked="0"/>
    </xf>
    <xf numFmtId="0" fontId="0" fillId="0" borderId="0" xfId="0" applyAlignment="1"/>
    <xf numFmtId="169" fontId="0" fillId="0" borderId="0" xfId="0" applyNumberFormat="1" applyAlignment="1"/>
    <xf numFmtId="44" fontId="64" fillId="3" borderId="70" xfId="0" applyNumberFormat="1" applyFont="1" applyFill="1" applyBorder="1" applyAlignment="1" applyProtection="1">
      <alignment horizontal="right"/>
      <protection hidden="1"/>
    </xf>
    <xf numFmtId="44" fontId="63" fillId="3" borderId="69" xfId="0" applyNumberFormat="1" applyFont="1" applyFill="1" applyBorder="1" applyAlignment="1" applyProtection="1">
      <alignment horizontal="right"/>
      <protection hidden="1"/>
    </xf>
    <xf numFmtId="165" fontId="66" fillId="6" borderId="32" xfId="0" applyNumberFormat="1" applyFont="1" applyFill="1" applyBorder="1" applyAlignment="1" applyProtection="1">
      <alignment horizontal="right" wrapText="1"/>
      <protection hidden="1"/>
    </xf>
    <xf numFmtId="0" fontId="84" fillId="0" borderId="0" xfId="0" applyFont="1" applyProtection="1">
      <protection hidden="1"/>
    </xf>
    <xf numFmtId="0" fontId="34" fillId="4" borderId="41" xfId="0" applyFont="1" applyFill="1" applyBorder="1" applyAlignment="1" applyProtection="1">
      <alignment horizontal="left" vertical="center"/>
    </xf>
    <xf numFmtId="0" fontId="34" fillId="4" borderId="1" xfId="0" applyFont="1" applyFill="1" applyBorder="1" applyAlignment="1" applyProtection="1">
      <alignment horizontal="left" vertical="center"/>
    </xf>
    <xf numFmtId="0" fontId="34" fillId="4" borderId="1" xfId="0" applyFont="1" applyFill="1" applyBorder="1" applyAlignment="1" applyProtection="1">
      <alignment horizontal="centerContinuous" vertical="center" wrapText="1"/>
    </xf>
    <xf numFmtId="0" fontId="34" fillId="4" borderId="1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2" fillId="6" borderId="0" xfId="0" applyFont="1" applyFill="1" applyAlignment="1" applyProtection="1">
      <alignment horizontal="left" vertical="center"/>
    </xf>
    <xf numFmtId="0" fontId="10" fillId="6" borderId="0" xfId="0" applyFont="1" applyFill="1" applyAlignment="1" applyProtection="1">
      <alignment vertical="center"/>
    </xf>
    <xf numFmtId="0" fontId="26" fillId="6" borderId="0" xfId="0" applyFont="1" applyFill="1" applyAlignment="1" applyProtection="1">
      <alignment vertical="center"/>
    </xf>
    <xf numFmtId="0" fontId="0" fillId="0" borderId="0" xfId="0" applyProtection="1"/>
    <xf numFmtId="0" fontId="10" fillId="0" borderId="9" xfId="0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vertical="center" wrapText="1"/>
    </xf>
    <xf numFmtId="0" fontId="51" fillId="0" borderId="0" xfId="0" applyFont="1" applyAlignment="1" applyProtection="1">
      <alignment vertical="center"/>
    </xf>
    <xf numFmtId="0" fontId="10" fillId="6" borderId="0" xfId="0" applyFont="1" applyFill="1" applyAlignment="1" applyProtection="1">
      <alignment horizontal="right" vertical="center"/>
    </xf>
    <xf numFmtId="0" fontId="0" fillId="0" borderId="54" xfId="0" applyBorder="1" applyAlignment="1" applyProtection="1">
      <alignment horizontal="right" vertical="center" wrapText="1"/>
    </xf>
    <xf numFmtId="9" fontId="0" fillId="11" borderId="2" xfId="0" applyNumberForma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right" vertical="center"/>
    </xf>
    <xf numFmtId="0" fontId="10" fillId="0" borderId="54" xfId="0" applyFont="1" applyBorder="1" applyAlignment="1" applyProtection="1">
      <alignment horizontal="right" vertical="center" wrapText="1"/>
    </xf>
    <xf numFmtId="14" fontId="10" fillId="11" borderId="2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vertical="center"/>
    </xf>
    <xf numFmtId="0" fontId="0" fillId="0" borderId="9" xfId="0" applyBorder="1" applyAlignment="1" applyProtection="1">
      <alignment horizontal="right" vertical="center"/>
    </xf>
    <xf numFmtId="0" fontId="0" fillId="11" borderId="2" xfId="0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 wrapText="1"/>
    </xf>
    <xf numFmtId="0" fontId="0" fillId="0" borderId="65" xfId="0" applyBorder="1" applyProtection="1"/>
    <xf numFmtId="0" fontId="77" fillId="0" borderId="54" xfId="0" applyFont="1" applyBorder="1" applyAlignment="1" applyProtection="1">
      <alignment horizontal="right" vertical="center" wrapText="1"/>
    </xf>
    <xf numFmtId="0" fontId="77" fillId="0" borderId="9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right" vertical="center"/>
    </xf>
    <xf numFmtId="0" fontId="77" fillId="0" borderId="2" xfId="0" applyFont="1" applyBorder="1" applyAlignment="1" applyProtection="1">
      <alignment horizontal="right" vertical="center"/>
    </xf>
    <xf numFmtId="0" fontId="10" fillId="6" borderId="0" xfId="0" applyFont="1" applyFill="1" applyAlignment="1" applyProtection="1">
      <alignment horizontal="left" vertical="center"/>
    </xf>
    <xf numFmtId="0" fontId="0" fillId="6" borderId="0" xfId="0" applyFill="1" applyAlignment="1" applyProtection="1">
      <alignment vertical="center"/>
    </xf>
    <xf numFmtId="0" fontId="0" fillId="6" borderId="0" xfId="0" applyFill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 wrapText="1"/>
    </xf>
    <xf numFmtId="0" fontId="26" fillId="0" borderId="0" xfId="0" applyFont="1" applyAlignment="1" applyProtection="1">
      <alignment horizontal="right" vertical="center" wrapText="1"/>
    </xf>
    <xf numFmtId="0" fontId="26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169" fontId="10" fillId="11" borderId="2" xfId="0" applyNumberFormat="1" applyFont="1" applyFill="1" applyBorder="1" applyAlignment="1" applyProtection="1">
      <alignment horizontal="right" vertical="center" wrapText="1"/>
    </xf>
    <xf numFmtId="0" fontId="10" fillId="11" borderId="2" xfId="0" applyNumberFormat="1" applyFont="1" applyFill="1" applyBorder="1" applyAlignment="1" applyProtection="1">
      <alignment horizontal="right" vertical="center" wrapText="1"/>
    </xf>
    <xf numFmtId="10" fontId="20" fillId="8" borderId="58" xfId="0" applyNumberFormat="1" applyFont="1" applyFill="1" applyBorder="1" applyAlignment="1" applyProtection="1">
      <alignment horizontal="center" vertical="center" wrapText="1"/>
      <protection locked="0"/>
    </xf>
    <xf numFmtId="44" fontId="20" fillId="8" borderId="39" xfId="0" applyNumberFormat="1" applyFont="1" applyFill="1" applyBorder="1" applyAlignment="1" applyProtection="1">
      <alignment vertical="center" wrapText="1"/>
      <protection locked="0"/>
    </xf>
    <xf numFmtId="0" fontId="20" fillId="8" borderId="64" xfId="0" applyFont="1" applyFill="1" applyBorder="1" applyAlignment="1" applyProtection="1">
      <alignment horizontal="left" vertical="center" wrapText="1" indent="1"/>
      <protection locked="0"/>
    </xf>
    <xf numFmtId="0" fontId="20" fillId="8" borderId="40" xfId="0" applyFont="1" applyFill="1" applyBorder="1" applyAlignment="1" applyProtection="1">
      <alignment horizontal="left" vertical="center" wrapText="1" indent="1"/>
      <protection locked="0"/>
    </xf>
    <xf numFmtId="0" fontId="71" fillId="0" borderId="2" xfId="8" applyFont="1" applyBorder="1" applyAlignment="1" applyProtection="1">
      <alignment horizontal="center" vertical="center" wrapText="1"/>
    </xf>
    <xf numFmtId="0" fontId="71" fillId="6" borderId="2" xfId="8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10" fontId="20" fillId="0" borderId="0" xfId="0" applyNumberFormat="1" applyFont="1" applyAlignment="1" applyProtection="1">
      <alignment vertical="center" wrapText="1"/>
    </xf>
    <xf numFmtId="0" fontId="20" fillId="6" borderId="0" xfId="0" applyFont="1" applyFill="1" applyAlignment="1" applyProtection="1">
      <alignment vertical="center" wrapText="1"/>
    </xf>
    <xf numFmtId="4" fontId="12" fillId="12" borderId="59" xfId="0" applyNumberFormat="1" applyFont="1" applyFill="1" applyBorder="1" applyAlignment="1" applyProtection="1">
      <alignment vertical="center" wrapText="1"/>
    </xf>
    <xf numFmtId="0" fontId="32" fillId="6" borderId="0" xfId="0" applyFont="1" applyFill="1" applyAlignment="1" applyProtection="1">
      <alignment vertical="center" wrapText="1"/>
    </xf>
    <xf numFmtId="0" fontId="20" fillId="6" borderId="2" xfId="0" applyFont="1" applyFill="1" applyBorder="1" applyAlignment="1" applyProtection="1">
      <alignment horizontal="center" vertical="center" wrapText="1"/>
    </xf>
    <xf numFmtId="0" fontId="20" fillId="7" borderId="2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10" fontId="20" fillId="6" borderId="2" xfId="0" applyNumberFormat="1" applyFont="1" applyFill="1" applyBorder="1" applyAlignment="1" applyProtection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</xf>
    <xf numFmtId="165" fontId="20" fillId="6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 wrapText="1"/>
    </xf>
    <xf numFmtId="0" fontId="32" fillId="0" borderId="0" xfId="0" applyFont="1" applyAlignment="1" applyProtection="1">
      <alignment vertical="center" wrapText="1"/>
    </xf>
    <xf numFmtId="0" fontId="20" fillId="6" borderId="0" xfId="0" applyFont="1" applyFill="1" applyAlignment="1" applyProtection="1">
      <alignment horizontal="center" vertical="center" wrapText="1"/>
    </xf>
    <xf numFmtId="44" fontId="17" fillId="11" borderId="63" xfId="0" applyNumberFormat="1" applyFont="1" applyFill="1" applyBorder="1" applyAlignment="1" applyProtection="1">
      <alignment vertical="center" wrapText="1"/>
    </xf>
    <xf numFmtId="44" fontId="17" fillId="3" borderId="59" xfId="0" applyNumberFormat="1" applyFont="1" applyFill="1" applyBorder="1" applyAlignment="1" applyProtection="1">
      <alignment vertical="center" wrapText="1"/>
    </xf>
    <xf numFmtId="168" fontId="20" fillId="3" borderId="62" xfId="0" applyNumberFormat="1" applyFont="1" applyFill="1" applyBorder="1" applyAlignment="1" applyProtection="1">
      <alignment vertical="center" wrapText="1"/>
    </xf>
    <xf numFmtId="44" fontId="17" fillId="11" borderId="60" xfId="0" applyNumberFormat="1" applyFont="1" applyFill="1" applyBorder="1" applyAlignment="1" applyProtection="1">
      <alignment vertical="center" wrapText="1"/>
    </xf>
    <xf numFmtId="44" fontId="17" fillId="3" borderId="23" xfId="0" applyNumberFormat="1" applyFont="1" applyFill="1" applyBorder="1" applyAlignment="1" applyProtection="1">
      <alignment vertical="center" wrapText="1"/>
    </xf>
    <xf numFmtId="168" fontId="20" fillId="3" borderId="22" xfId="0" applyNumberFormat="1" applyFont="1" applyFill="1" applyBorder="1" applyAlignment="1" applyProtection="1">
      <alignment vertical="center" wrapText="1"/>
    </xf>
    <xf numFmtId="49" fontId="20" fillId="0" borderId="0" xfId="0" applyNumberFormat="1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top" wrapText="1"/>
    </xf>
    <xf numFmtId="165" fontId="20" fillId="0" borderId="0" xfId="0" applyNumberFormat="1" applyFont="1" applyAlignment="1" applyProtection="1">
      <alignment vertical="center" wrapText="1"/>
    </xf>
    <xf numFmtId="44" fontId="12" fillId="12" borderId="59" xfId="0" applyNumberFormat="1" applyFont="1" applyFill="1" applyBorder="1" applyAlignment="1" applyProtection="1">
      <alignment vertical="center" wrapText="1"/>
    </xf>
    <xf numFmtId="166" fontId="20" fillId="3" borderId="0" xfId="0" applyNumberFormat="1" applyFont="1" applyFill="1" applyAlignment="1" applyProtection="1">
      <alignment vertical="center" wrapText="1"/>
    </xf>
    <xf numFmtId="166" fontId="56" fillId="3" borderId="0" xfId="0" applyNumberFormat="1" applyFont="1" applyFill="1" applyAlignment="1" applyProtection="1">
      <alignment vertical="center" wrapText="1"/>
    </xf>
    <xf numFmtId="0" fontId="47" fillId="15" borderId="0" xfId="0" applyFont="1" applyFill="1" applyAlignment="1" applyProtection="1">
      <alignment vertical="center"/>
      <protection locked="0" hidden="1"/>
    </xf>
    <xf numFmtId="44" fontId="17" fillId="8" borderId="11" xfId="0" applyNumberFormat="1" applyFont="1" applyFill="1" applyBorder="1" applyAlignment="1" applyProtection="1">
      <alignment vertical="center" wrapText="1"/>
      <protection locked="0" hidden="1"/>
    </xf>
    <xf numFmtId="165" fontId="19" fillId="8" borderId="11" xfId="0" applyNumberFormat="1" applyFont="1" applyFill="1" applyBorder="1" applyAlignment="1" applyProtection="1">
      <alignment vertical="center" wrapText="1"/>
      <protection locked="0" hidden="1"/>
    </xf>
    <xf numFmtId="165" fontId="20" fillId="8" borderId="55" xfId="0" applyNumberFormat="1" applyFont="1" applyFill="1" applyBorder="1" applyAlignment="1" applyProtection="1">
      <alignment horizontal="centerContinuous" vertical="center" wrapText="1"/>
      <protection locked="0" hidden="1"/>
    </xf>
    <xf numFmtId="0" fontId="45" fillId="0" borderId="0" xfId="0" applyFont="1" applyAlignment="1" applyProtection="1">
      <alignment vertical="center"/>
      <protection locked="0" hidden="1"/>
    </xf>
    <xf numFmtId="0" fontId="45" fillId="0" borderId="1" xfId="0" applyFont="1" applyBorder="1" applyAlignment="1" applyProtection="1">
      <alignment vertical="center"/>
      <protection locked="0" hidden="1"/>
    </xf>
    <xf numFmtId="0" fontId="48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Protection="1">
      <protection locked="0" hidden="1"/>
    </xf>
    <xf numFmtId="0" fontId="47" fillId="0" borderId="0" xfId="0" applyFont="1" applyAlignment="1" applyProtection="1">
      <alignment horizontal="right" vertical="center"/>
      <protection locked="0" hidden="1"/>
    </xf>
    <xf numFmtId="0" fontId="58" fillId="0" borderId="0" xfId="0" applyFont="1" applyAlignment="1" applyProtection="1">
      <alignment horizontal="right" vertical="center"/>
      <protection locked="0" hidden="1"/>
    </xf>
    <xf numFmtId="0" fontId="45" fillId="0" borderId="0" xfId="0" applyFont="1" applyAlignment="1" applyProtection="1">
      <alignment horizontal="right" vertical="center"/>
      <protection locked="0" hidden="1"/>
    </xf>
    <xf numFmtId="0" fontId="45" fillId="0" borderId="0" xfId="0" applyFont="1" applyProtection="1">
      <protection locked="0" hidden="1"/>
    </xf>
    <xf numFmtId="0" fontId="47" fillId="0" borderId="0" xfId="0" applyFont="1" applyAlignment="1" applyProtection="1">
      <alignment vertical="center"/>
      <protection locked="0" hidden="1"/>
    </xf>
    <xf numFmtId="0" fontId="59" fillId="0" borderId="0" xfId="0" applyFont="1" applyAlignment="1" applyProtection="1">
      <alignment vertical="center"/>
      <protection locked="0" hidden="1"/>
    </xf>
    <xf numFmtId="167" fontId="45" fillId="3" borderId="0" xfId="0" applyNumberFormat="1" applyFont="1" applyFill="1" applyAlignment="1" applyProtection="1">
      <alignment horizontal="left" vertical="center" indent="1"/>
      <protection locked="0" hidden="1"/>
    </xf>
    <xf numFmtId="0" fontId="45" fillId="0" borderId="0" xfId="0" applyFont="1" applyAlignment="1" applyProtection="1">
      <alignment horizontal="center" vertical="center"/>
      <protection locked="0" hidden="1"/>
    </xf>
    <xf numFmtId="167" fontId="45" fillId="3" borderId="0" xfId="0" applyNumberFormat="1" applyFont="1" applyFill="1" applyAlignment="1" applyProtection="1">
      <alignment vertical="center"/>
      <protection locked="0" hidden="1"/>
    </xf>
    <xf numFmtId="1" fontId="45" fillId="3" borderId="0" xfId="0" applyNumberFormat="1" applyFont="1" applyFill="1" applyAlignment="1" applyProtection="1">
      <alignment horizontal="left" vertical="center" indent="1"/>
      <protection locked="0" hidden="1"/>
    </xf>
    <xf numFmtId="0" fontId="46" fillId="0" borderId="0" xfId="0" applyFont="1" applyAlignment="1" applyProtection="1">
      <alignment horizontal="right" vertical="center" indent="1"/>
      <protection locked="0" hidden="1"/>
    </xf>
    <xf numFmtId="0" fontId="45" fillId="6" borderId="0" xfId="0" applyFont="1" applyFill="1" applyAlignment="1" applyProtection="1">
      <alignment vertical="center"/>
      <protection locked="0" hidden="1"/>
    </xf>
    <xf numFmtId="0" fontId="45" fillId="6" borderId="9" xfId="0" applyFont="1" applyFill="1" applyBorder="1" applyAlignment="1" applyProtection="1">
      <alignment vertical="center"/>
      <protection locked="0" hidden="1"/>
    </xf>
    <xf numFmtId="0" fontId="45" fillId="0" borderId="0" xfId="0" applyFont="1" applyAlignment="1" applyProtection="1">
      <alignment horizontal="left" vertical="center" indent="1"/>
      <protection locked="0" hidden="1"/>
    </xf>
    <xf numFmtId="0" fontId="45" fillId="0" borderId="0" xfId="0" applyFont="1" applyAlignment="1" applyProtection="1">
      <alignment horizontal="right" vertical="center" indent="1"/>
      <protection locked="0" hidden="1"/>
    </xf>
    <xf numFmtId="44" fontId="65" fillId="15" borderId="71" xfId="0" applyNumberFormat="1" applyFont="1" applyFill="1" applyBorder="1" applyAlignment="1" applyProtection="1">
      <alignment horizontal="right"/>
      <protection locked="0" hidden="1"/>
    </xf>
    <xf numFmtId="44" fontId="65" fillId="15" borderId="72" xfId="0" applyNumberFormat="1" applyFont="1" applyFill="1" applyBorder="1" applyAlignment="1" applyProtection="1">
      <alignment horizontal="right"/>
      <protection locked="0" hidden="1"/>
    </xf>
    <xf numFmtId="44" fontId="63" fillId="3" borderId="73" xfId="0" applyNumberFormat="1" applyFont="1" applyFill="1" applyBorder="1" applyAlignment="1" applyProtection="1">
      <alignment horizontal="right"/>
      <protection hidden="1"/>
    </xf>
    <xf numFmtId="44" fontId="63" fillId="3" borderId="71" xfId="0" applyNumberFormat="1" applyFont="1" applyFill="1" applyBorder="1" applyAlignment="1" applyProtection="1">
      <alignment horizontal="right"/>
      <protection hidden="1"/>
    </xf>
    <xf numFmtId="44" fontId="63" fillId="3" borderId="72" xfId="0" applyNumberFormat="1" applyFont="1" applyFill="1" applyBorder="1" applyAlignment="1" applyProtection="1">
      <alignment horizontal="right"/>
      <protection hidden="1"/>
    </xf>
    <xf numFmtId="0" fontId="0" fillId="6" borderId="5" xfId="0" applyFill="1" applyBorder="1" applyAlignment="1">
      <alignment horizontal="left" vertical="center" wrapText="1" indent="6"/>
    </xf>
    <xf numFmtId="0" fontId="0" fillId="6" borderId="0" xfId="0" applyFill="1" applyAlignment="1">
      <alignment horizontal="left" vertical="center" indent="6"/>
    </xf>
    <xf numFmtId="0" fontId="0" fillId="6" borderId="7" xfId="0" applyFill="1" applyBorder="1" applyAlignment="1">
      <alignment horizontal="left" vertical="center" indent="6"/>
    </xf>
    <xf numFmtId="0" fontId="79" fillId="6" borderId="43" xfId="12" applyFill="1" applyBorder="1" applyAlignment="1" applyProtection="1">
      <alignment horizontal="left" vertical="center" indent="6"/>
    </xf>
    <xf numFmtId="0" fontId="79" fillId="6" borderId="44" xfId="12" applyFill="1" applyBorder="1" applyAlignment="1" applyProtection="1">
      <alignment horizontal="left" vertical="center" indent="6"/>
    </xf>
    <xf numFmtId="0" fontId="79" fillId="6" borderId="45" xfId="12" applyFill="1" applyBorder="1" applyAlignment="1" applyProtection="1">
      <alignment horizontal="left" vertical="center" indent="6"/>
    </xf>
    <xf numFmtId="0" fontId="12" fillId="6" borderId="5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2" fillId="6" borderId="7" xfId="0" applyFont="1" applyFill="1" applyBorder="1" applyAlignment="1">
      <alignment vertical="center"/>
    </xf>
    <xf numFmtId="0" fontId="25" fillId="6" borderId="5" xfId="0" applyFont="1" applyFill="1" applyBorder="1" applyAlignment="1">
      <alignment horizontal="left" vertical="center" indent="3"/>
    </xf>
    <xf numFmtId="0" fontId="25" fillId="6" borderId="0" xfId="0" applyFont="1" applyFill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0" fillId="6" borderId="5" xfId="0" applyFill="1" applyBorder="1" applyAlignment="1">
      <alignment horizontal="left" vertical="center" wrapText="1" indent="3"/>
    </xf>
    <xf numFmtId="0" fontId="0" fillId="6" borderId="0" xfId="0" applyFill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25" fillId="6" borderId="5" xfId="0" applyFont="1" applyFill="1" applyBorder="1" applyAlignment="1">
      <alignment vertical="center"/>
    </xf>
    <xf numFmtId="0" fontId="25" fillId="6" borderId="0" xfId="0" applyFont="1" applyFill="1" applyAlignment="1">
      <alignment vertical="center"/>
    </xf>
    <xf numFmtId="0" fontId="25" fillId="6" borderId="7" xfId="0" applyFont="1" applyFill="1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0" fillId="15" borderId="5" xfId="0" applyFill="1" applyBorder="1" applyAlignment="1">
      <alignment vertical="center" wrapText="1"/>
    </xf>
    <xf numFmtId="0" fontId="10" fillId="15" borderId="0" xfId="0" applyFont="1" applyFill="1" applyAlignment="1">
      <alignment vertical="center"/>
    </xf>
    <xf numFmtId="0" fontId="10" fillId="15" borderId="7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0" fillId="11" borderId="5" xfId="0" applyFill="1" applyBorder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0" fillId="11" borderId="7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right" vertical="center"/>
    </xf>
    <xf numFmtId="0" fontId="10" fillId="0" borderId="9" xfId="0" applyFont="1" applyBorder="1" applyAlignment="1" applyProtection="1">
      <alignment horizontal="right" vertical="center"/>
    </xf>
    <xf numFmtId="0" fontId="0" fillId="0" borderId="65" xfId="0" applyBorder="1" applyAlignment="1" applyProtection="1">
      <alignment horizontal="right" vertical="center"/>
    </xf>
    <xf numFmtId="0" fontId="38" fillId="0" borderId="4" xfId="0" applyFont="1" applyBorder="1" applyAlignment="1" applyProtection="1">
      <alignment horizontal="left" vertical="center" wrapText="1"/>
    </xf>
    <xf numFmtId="0" fontId="37" fillId="0" borderId="61" xfId="0" applyFont="1" applyBorder="1" applyAlignment="1" applyProtection="1">
      <alignment horizontal="left" vertical="center" wrapText="1"/>
    </xf>
    <xf numFmtId="0" fontId="37" fillId="0" borderId="4" xfId="0" applyFont="1" applyBorder="1" applyAlignment="1" applyProtection="1">
      <alignment horizontal="left" vertical="center" wrapText="1"/>
    </xf>
    <xf numFmtId="0" fontId="38" fillId="0" borderId="0" xfId="0" applyFont="1" applyAlignment="1" applyProtection="1">
      <alignment horizontal="left" vertical="center" wrapText="1"/>
    </xf>
    <xf numFmtId="0" fontId="81" fillId="0" borderId="3" xfId="0" applyFont="1" applyBorder="1" applyAlignment="1" applyProtection="1">
      <alignment horizontal="right" vertical="center"/>
    </xf>
    <xf numFmtId="0" fontId="81" fillId="0" borderId="9" xfId="0" applyFont="1" applyBorder="1" applyAlignment="1" applyProtection="1">
      <alignment horizontal="right" vertical="center"/>
    </xf>
    <xf numFmtId="0" fontId="14" fillId="6" borderId="2" xfId="0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left" vertical="center" wrapText="1"/>
    </xf>
    <xf numFmtId="0" fontId="34" fillId="4" borderId="41" xfId="0" applyFont="1" applyFill="1" applyBorder="1" applyAlignment="1" applyProtection="1">
      <alignment horizontal="left" vertical="center"/>
    </xf>
    <xf numFmtId="0" fontId="34" fillId="4" borderId="1" xfId="0" applyFont="1" applyFill="1" applyBorder="1" applyAlignment="1" applyProtection="1">
      <alignment horizontal="left" vertical="center"/>
    </xf>
    <xf numFmtId="0" fontId="34" fillId="4" borderId="41" xfId="0" applyFont="1" applyFill="1" applyBorder="1" applyAlignment="1" applyProtection="1">
      <alignment horizontal="center" vertical="center"/>
      <protection hidden="1"/>
    </xf>
    <xf numFmtId="0" fontId="34" fillId="4" borderId="1" xfId="0" applyFont="1" applyFill="1" applyBorder="1" applyAlignment="1" applyProtection="1">
      <alignment horizontal="center" vertical="center"/>
      <protection hidden="1"/>
    </xf>
    <xf numFmtId="0" fontId="20" fillId="6" borderId="22" xfId="0" applyFont="1" applyFill="1" applyBorder="1" applyAlignment="1" applyProtection="1">
      <alignment horizontal="center" vertical="center" wrapText="1"/>
      <protection hidden="1"/>
    </xf>
    <xf numFmtId="0" fontId="20" fillId="6" borderId="24" xfId="0" applyFont="1" applyFill="1" applyBorder="1" applyAlignment="1" applyProtection="1">
      <alignment horizontal="center" vertical="center" wrapText="1"/>
      <protection hidden="1"/>
    </xf>
    <xf numFmtId="0" fontId="20" fillId="6" borderId="23" xfId="0" applyFont="1" applyFill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center" vertical="center" wrapText="1"/>
      <protection hidden="1"/>
    </xf>
    <xf numFmtId="0" fontId="17" fillId="0" borderId="26" xfId="0" applyFont="1" applyBorder="1" applyAlignment="1" applyProtection="1">
      <alignment horizontal="center" vertical="center" wrapText="1"/>
      <protection hidden="1"/>
    </xf>
    <xf numFmtId="0" fontId="17" fillId="0" borderId="38" xfId="0" applyFont="1" applyBorder="1" applyAlignment="1" applyProtection="1">
      <alignment horizontal="center" vertical="center" wrapText="1"/>
      <protection hidden="1"/>
    </xf>
    <xf numFmtId="0" fontId="45" fillId="3" borderId="3" xfId="0" applyFont="1" applyFill="1" applyBorder="1" applyAlignment="1" applyProtection="1">
      <alignment horizontal="left" vertical="center"/>
      <protection locked="0" hidden="1"/>
    </xf>
    <xf numFmtId="0" fontId="45" fillId="3" borderId="6" xfId="0" applyFont="1" applyFill="1" applyBorder="1" applyAlignment="1" applyProtection="1">
      <alignment horizontal="left" vertical="center"/>
      <protection locked="0" hidden="1"/>
    </xf>
    <xf numFmtId="0" fontId="45" fillId="3" borderId="9" xfId="0" applyFont="1" applyFill="1" applyBorder="1" applyAlignment="1" applyProtection="1">
      <alignment horizontal="left" vertical="center"/>
      <protection locked="0" hidden="1"/>
    </xf>
    <xf numFmtId="0" fontId="57" fillId="0" borderId="0" xfId="0" applyFont="1" applyAlignment="1" applyProtection="1">
      <alignment horizontal="center" vertical="center"/>
      <protection locked="0" hidden="1"/>
    </xf>
    <xf numFmtId="0" fontId="45" fillId="15" borderId="3" xfId="0" applyFont="1" applyFill="1" applyBorder="1" applyAlignment="1" applyProtection="1">
      <alignment horizontal="left" vertical="center"/>
      <protection locked="0" hidden="1"/>
    </xf>
    <xf numFmtId="0" fontId="45" fillId="15" borderId="6" xfId="0" applyFont="1" applyFill="1" applyBorder="1" applyAlignment="1" applyProtection="1">
      <alignment horizontal="left" vertical="center"/>
      <protection locked="0" hidden="1"/>
    </xf>
    <xf numFmtId="0" fontId="45" fillId="15" borderId="9" xfId="0" applyFont="1" applyFill="1" applyBorder="1" applyAlignment="1" applyProtection="1">
      <alignment horizontal="left" vertical="center"/>
      <protection locked="0" hidden="1"/>
    </xf>
    <xf numFmtId="0" fontId="47" fillId="3" borderId="3" xfId="0" applyFont="1" applyFill="1" applyBorder="1" applyAlignment="1" applyProtection="1">
      <alignment horizontal="left" vertical="center"/>
      <protection locked="0" hidden="1"/>
    </xf>
    <xf numFmtId="0" fontId="47" fillId="3" borderId="6" xfId="0" applyFont="1" applyFill="1" applyBorder="1" applyAlignment="1" applyProtection="1">
      <alignment horizontal="left" vertical="center"/>
      <protection locked="0" hidden="1"/>
    </xf>
    <xf numFmtId="0" fontId="47" fillId="3" borderId="9" xfId="0" applyFont="1" applyFill="1" applyBorder="1" applyAlignment="1" applyProtection="1">
      <alignment horizontal="left" vertical="center"/>
      <protection locked="0" hidden="1"/>
    </xf>
    <xf numFmtId="0" fontId="47" fillId="0" borderId="0" xfId="0" applyFont="1" applyAlignment="1" applyProtection="1">
      <alignment horizontal="right" vertical="center" wrapText="1"/>
      <protection locked="0" hidden="1"/>
    </xf>
    <xf numFmtId="166" fontId="45" fillId="3" borderId="3" xfId="0" applyNumberFormat="1" applyFont="1" applyFill="1" applyBorder="1" applyAlignment="1" applyProtection="1">
      <alignment horizontal="center" vertical="center"/>
      <protection locked="0" hidden="1"/>
    </xf>
    <xf numFmtId="166" fontId="45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5" fillId="0" borderId="0" xfId="0" applyFont="1" applyAlignment="1" applyProtection="1">
      <alignment horizontal="center" vertical="center"/>
      <protection locked="0" hidden="1"/>
    </xf>
    <xf numFmtId="0" fontId="64" fillId="6" borderId="17" xfId="0" applyFont="1" applyFill="1" applyBorder="1" applyAlignment="1" applyProtection="1">
      <alignment horizontal="center" vertical="center"/>
      <protection hidden="1"/>
    </xf>
    <xf numFmtId="0" fontId="64" fillId="6" borderId="0" xfId="0" applyFont="1" applyFill="1" applyAlignment="1" applyProtection="1">
      <alignment horizontal="center" vertical="center"/>
      <protection hidden="1"/>
    </xf>
    <xf numFmtId="0" fontId="64" fillId="6" borderId="0" xfId="0" applyFont="1" applyFill="1" applyBorder="1" applyAlignment="1" applyProtection="1">
      <alignment horizontal="center" vertical="center"/>
      <protection hidden="1"/>
    </xf>
    <xf numFmtId="14" fontId="40" fillId="8" borderId="2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 wrapText="1"/>
    </xf>
    <xf numFmtId="0" fontId="30" fillId="8" borderId="2" xfId="0" applyFont="1" applyFill="1" applyBorder="1" applyAlignment="1" applyProtection="1">
      <alignment horizontal="center" vertical="center"/>
      <protection locked="0"/>
    </xf>
    <xf numFmtId="14" fontId="40" fillId="3" borderId="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wrapText="1" indent="1"/>
    </xf>
    <xf numFmtId="0" fontId="40" fillId="0" borderId="0" xfId="0" applyFont="1" applyAlignment="1">
      <alignment horizontal="left" vertical="center" wrapText="1" indent="4"/>
    </xf>
    <xf numFmtId="0" fontId="40" fillId="0" borderId="0" xfId="0" applyFont="1" applyAlignment="1">
      <alignment horizontal="left" vertical="center" wrapText="1" indent="5"/>
    </xf>
    <xf numFmtId="0" fontId="29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40" fillId="8" borderId="2" xfId="0" applyFont="1" applyFill="1" applyBorder="1" applyAlignment="1" applyProtection="1">
      <alignment horizontal="center" vertical="center" wrapText="1"/>
      <protection locked="0"/>
    </xf>
    <xf numFmtId="0" fontId="40" fillId="3" borderId="3" xfId="0" applyFont="1" applyFill="1" applyBorder="1" applyAlignment="1">
      <alignment vertical="top" wrapText="1"/>
    </xf>
    <xf numFmtId="0" fontId="40" fillId="3" borderId="9" xfId="0" applyFont="1" applyFill="1" applyBorder="1" applyAlignment="1">
      <alignment vertical="top" wrapText="1"/>
    </xf>
    <xf numFmtId="0" fontId="40" fillId="6" borderId="0" xfId="0" applyFont="1" applyFill="1" applyAlignment="1">
      <alignment horizontal="left" vertical="center" wrapText="1" indent="3"/>
    </xf>
    <xf numFmtId="0" fontId="40" fillId="3" borderId="2" xfId="0" applyFont="1" applyFill="1" applyBorder="1" applyAlignment="1">
      <alignment horizontal="left" vertical="top" wrapText="1"/>
    </xf>
    <xf numFmtId="0" fontId="40" fillId="0" borderId="0" xfId="0" applyFont="1" applyAlignment="1">
      <alignment vertical="center" wrapText="1"/>
    </xf>
    <xf numFmtId="0" fontId="40" fillId="3" borderId="20" xfId="0" applyFont="1" applyFill="1" applyBorder="1" applyAlignment="1">
      <alignment vertical="top" wrapText="1"/>
    </xf>
    <xf numFmtId="0" fontId="40" fillId="3" borderId="10" xfId="0" applyFont="1" applyFill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right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0" fillId="8" borderId="3" xfId="0" applyFont="1" applyFill="1" applyBorder="1" applyAlignment="1" applyProtection="1">
      <alignment vertical="center"/>
      <protection locked="0"/>
    </xf>
    <xf numFmtId="0" fontId="10" fillId="8" borderId="9" xfId="0" applyFont="1" applyFill="1" applyBorder="1" applyAlignment="1" applyProtection="1">
      <alignment vertical="center"/>
      <protection locked="0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14" fontId="0" fillId="3" borderId="3" xfId="0" applyNumberFormat="1" applyFill="1" applyBorder="1" applyAlignment="1">
      <alignment horizontal="left" vertical="center"/>
    </xf>
    <xf numFmtId="14" fontId="0" fillId="3" borderId="9" xfId="0" applyNumberFormat="1" applyFill="1" applyBorder="1" applyAlignment="1">
      <alignment horizontal="left" vertical="center"/>
    </xf>
    <xf numFmtId="0" fontId="63" fillId="18" borderId="74" xfId="0" applyFont="1" applyFill="1" applyBorder="1" applyAlignment="1" applyProtection="1">
      <alignment horizontal="left" vertical="center" wrapText="1"/>
      <protection hidden="1"/>
    </xf>
    <xf numFmtId="0" fontId="63" fillId="18" borderId="75" xfId="0" applyFont="1" applyFill="1" applyBorder="1" applyAlignment="1" applyProtection="1">
      <alignment horizontal="left" vertical="center" wrapText="1"/>
      <protection hidden="1"/>
    </xf>
    <xf numFmtId="0" fontId="63" fillId="18" borderId="76" xfId="0" applyFont="1" applyFill="1" applyBorder="1" applyAlignment="1" applyProtection="1">
      <alignment horizontal="left" vertical="center" wrapText="1"/>
      <protection hidden="1"/>
    </xf>
    <xf numFmtId="0" fontId="63" fillId="18" borderId="77" xfId="0" applyFont="1" applyFill="1" applyBorder="1" applyAlignment="1" applyProtection="1">
      <alignment horizontal="left" vertical="center" wrapText="1"/>
      <protection hidden="1"/>
    </xf>
    <xf numFmtId="0" fontId="63" fillId="18" borderId="78" xfId="0" applyFont="1" applyFill="1" applyBorder="1" applyAlignment="1" applyProtection="1">
      <alignment horizontal="left" vertical="center" wrapText="1"/>
      <protection hidden="1"/>
    </xf>
    <xf numFmtId="0" fontId="63" fillId="18" borderId="79" xfId="0" applyFont="1" applyFill="1" applyBorder="1" applyAlignment="1" applyProtection="1">
      <alignment horizontal="left" vertical="center" wrapText="1"/>
      <protection hidden="1"/>
    </xf>
    <xf numFmtId="0" fontId="63" fillId="18" borderId="80" xfId="0" applyFont="1" applyFill="1" applyBorder="1" applyAlignment="1" applyProtection="1">
      <alignment horizontal="left" vertical="center" wrapText="1"/>
      <protection hidden="1"/>
    </xf>
    <xf numFmtId="0" fontId="63" fillId="18" borderId="81" xfId="0" applyFont="1" applyFill="1" applyBorder="1" applyAlignment="1" applyProtection="1">
      <alignment horizontal="left" vertical="center" wrapText="1"/>
      <protection hidden="1"/>
    </xf>
    <xf numFmtId="0" fontId="63" fillId="18" borderId="82" xfId="0" applyFont="1" applyFill="1" applyBorder="1" applyAlignment="1" applyProtection="1">
      <alignment horizontal="left" vertical="center" wrapText="1"/>
      <protection hidden="1"/>
    </xf>
    <xf numFmtId="0" fontId="16" fillId="18" borderId="83" xfId="0" applyFont="1" applyFill="1" applyBorder="1" applyAlignment="1" applyProtection="1">
      <alignment horizontal="center" vertical="center" textRotation="90"/>
      <protection hidden="1"/>
    </xf>
    <xf numFmtId="0" fontId="16" fillId="18" borderId="84" xfId="0" applyFont="1" applyFill="1" applyBorder="1" applyAlignment="1" applyProtection="1">
      <alignment horizontal="center" vertical="center" textRotation="90"/>
      <protection hidden="1"/>
    </xf>
    <xf numFmtId="0" fontId="16" fillId="18" borderId="85" xfId="0" applyFont="1" applyFill="1" applyBorder="1" applyAlignment="1" applyProtection="1">
      <alignment horizontal="center" vertical="center" textRotation="90"/>
      <protection hidden="1"/>
    </xf>
    <xf numFmtId="0" fontId="16" fillId="17" borderId="83" xfId="0" applyFont="1" applyFill="1" applyBorder="1" applyAlignment="1" applyProtection="1">
      <alignment horizontal="center" vertical="center" textRotation="90"/>
      <protection hidden="1"/>
    </xf>
    <xf numFmtId="0" fontId="16" fillId="17" borderId="84" xfId="0" applyFont="1" applyFill="1" applyBorder="1" applyAlignment="1" applyProtection="1">
      <alignment horizontal="center" vertical="center" textRotation="90"/>
      <protection hidden="1"/>
    </xf>
    <xf numFmtId="0" fontId="16" fillId="17" borderId="85" xfId="0" applyFont="1" applyFill="1" applyBorder="1" applyAlignment="1" applyProtection="1">
      <alignment horizontal="center" vertical="center" textRotation="90"/>
      <protection hidden="1"/>
    </xf>
    <xf numFmtId="165" fontId="66" fillId="17" borderId="80" xfId="0" applyNumberFormat="1" applyFont="1" applyFill="1" applyBorder="1" applyAlignment="1" applyProtection="1">
      <alignment horizontal="left" vertical="center" wrapText="1"/>
      <protection hidden="1"/>
    </xf>
    <xf numFmtId="165" fontId="66" fillId="17" borderId="81" xfId="0" applyNumberFormat="1" applyFont="1" applyFill="1" applyBorder="1" applyAlignment="1" applyProtection="1">
      <alignment horizontal="left" vertical="center" wrapText="1"/>
      <protection hidden="1"/>
    </xf>
    <xf numFmtId="165" fontId="66" fillId="17" borderId="82" xfId="0" applyNumberFormat="1" applyFont="1" applyFill="1" applyBorder="1" applyAlignment="1" applyProtection="1">
      <alignment horizontal="left" vertical="center" wrapText="1"/>
      <protection hidden="1"/>
    </xf>
    <xf numFmtId="165" fontId="66" fillId="17" borderId="77" xfId="0" applyNumberFormat="1" applyFont="1" applyFill="1" applyBorder="1" applyAlignment="1" applyProtection="1">
      <alignment horizontal="left" vertical="center" wrapText="1"/>
      <protection hidden="1"/>
    </xf>
    <xf numFmtId="165" fontId="66" fillId="17" borderId="78" xfId="0" applyNumberFormat="1" applyFont="1" applyFill="1" applyBorder="1" applyAlignment="1" applyProtection="1">
      <alignment horizontal="left" vertical="center" wrapText="1"/>
      <protection hidden="1"/>
    </xf>
    <xf numFmtId="165" fontId="66" fillId="17" borderId="79" xfId="0" applyNumberFormat="1" applyFont="1" applyFill="1" applyBorder="1" applyAlignment="1" applyProtection="1">
      <alignment horizontal="left" vertical="center" wrapText="1"/>
      <protection hidden="1"/>
    </xf>
    <xf numFmtId="0" fontId="63" fillId="17" borderId="74" xfId="0" applyFont="1" applyFill="1" applyBorder="1" applyAlignment="1" applyProtection="1">
      <alignment horizontal="left" vertical="center" wrapText="1"/>
      <protection hidden="1"/>
    </xf>
    <xf numFmtId="0" fontId="63" fillId="17" borderId="75" xfId="0" applyFont="1" applyFill="1" applyBorder="1" applyAlignment="1" applyProtection="1">
      <alignment horizontal="left" vertical="center" wrapText="1"/>
      <protection hidden="1"/>
    </xf>
    <xf numFmtId="0" fontId="63" fillId="17" borderId="76" xfId="0" applyFont="1" applyFill="1" applyBorder="1" applyAlignment="1" applyProtection="1">
      <alignment horizontal="left" vertical="center" wrapText="1"/>
      <protection hidden="1"/>
    </xf>
  </cellXfs>
  <cellStyles count="13">
    <cellStyle name="Lien hypertexte" xfId="12" builtinId="8"/>
    <cellStyle name="Normal" xfId="0" builtinId="0"/>
    <cellStyle name="Normal 2" xfId="1" xr:uid="{00000000-0005-0000-0000-000003000000}"/>
    <cellStyle name="Normal 2 2" xfId="11" xr:uid="{CE4A5C56-2570-4C53-8099-032EABCADD3A}"/>
    <cellStyle name="Normal 3" xfId="3" xr:uid="{00000000-0005-0000-0000-000004000000}"/>
    <cellStyle name="Normal 4" xfId="2" xr:uid="{00000000-0005-0000-0000-000005000000}"/>
    <cellStyle name="Normal 4 2" xfId="4" xr:uid="{00000000-0005-0000-0000-000006000000}"/>
    <cellStyle name="Normal 4 2 2" xfId="6" xr:uid="{00000000-0005-0000-0000-000007000000}"/>
    <cellStyle name="Normal 4 3" xfId="5" xr:uid="{00000000-0005-0000-0000-000008000000}"/>
    <cellStyle name="Normal 5" xfId="10" xr:uid="{E870E934-34BE-4679-81B7-0EF9D53D1544}"/>
    <cellStyle name="Normal 6" xfId="8" xr:uid="{3D29BEFE-C099-41F7-B374-CFF6F40A3DFE}"/>
    <cellStyle name="Pourcentage" xfId="7" builtinId="5"/>
    <cellStyle name="Pourcentage 2" xfId="9" xr:uid="{BAAE57E2-DF71-4D60-A840-D2C4D29B6C73}"/>
  </cellStyles>
  <dxfs count="41">
    <dxf>
      <font>
        <strike val="0"/>
        <color rgb="FFFF0000"/>
      </font>
    </dxf>
    <dxf>
      <font>
        <color auto="1"/>
      </font>
      <fill>
        <patternFill>
          <bgColor rgb="FFFF50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auto="1"/>
      </font>
    </dxf>
    <dxf>
      <font>
        <strike val="0"/>
        <color rgb="FFFF0000"/>
      </font>
    </dxf>
    <dxf>
      <font>
        <strike val="0"/>
        <color theme="0" tint="-0.34998626667073579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 val="0"/>
        <i val="0"/>
        <strike val="0"/>
        <color theme="5" tint="-0.24994659260841701"/>
      </font>
    </dxf>
    <dxf>
      <font>
        <b val="0"/>
        <i val="0"/>
        <color rgb="FFFF0000"/>
      </font>
    </dxf>
    <dxf>
      <font>
        <b val="0"/>
        <i val="0"/>
        <color theme="0" tint="-0.34998626667073579"/>
      </font>
    </dxf>
    <dxf>
      <font>
        <b val="0"/>
        <i val="0"/>
        <strike val="0"/>
        <color theme="5" tint="-0.24994659260841701"/>
      </font>
    </dxf>
    <dxf>
      <font>
        <b val="0"/>
        <i val="0"/>
        <color theme="5" tint="-0.24994659260841701"/>
      </font>
    </dxf>
    <dxf>
      <font>
        <b val="0"/>
        <i val="0"/>
        <strike val="0"/>
        <color theme="5" tint="-0.24994659260841701"/>
      </font>
    </dxf>
    <dxf>
      <font>
        <color theme="1" tint="0.14996795556505021"/>
      </font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theme="4" tint="0.79998168889431442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theme="4" tint="0.79998168889431442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</dxf>
  </dxfs>
  <tableStyles count="1" defaultTableStyle="TableStyleMedium9" defaultPivotStyle="PivotStyleLight16">
    <tableStyle name="Style de tableau 1" pivot="0" count="0" xr9:uid="{3FD15770-FEC2-4B44-85BD-8C15F09DFC5A}"/>
  </tableStyles>
  <colors>
    <mruColors>
      <color rgb="FFEBEBFF"/>
      <color rgb="FFFFFFCC"/>
      <color rgb="FFFFFF99"/>
      <color rgb="FF93CDDD"/>
      <color rgb="FFFF5050"/>
      <color rgb="FF33CCFF"/>
      <color rgb="FFCCFF99"/>
      <color rgb="FFFF0000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92242</xdr:rowOff>
    </xdr:from>
    <xdr:to>
      <xdr:col>0</xdr:col>
      <xdr:colOff>296779</xdr:colOff>
      <xdr:row>13</xdr:row>
      <xdr:rowOff>92242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0" y="2350168"/>
          <a:ext cx="296779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14</xdr:row>
      <xdr:rowOff>85725</xdr:rowOff>
    </xdr:from>
    <xdr:to>
      <xdr:col>0</xdr:col>
      <xdr:colOff>296779</xdr:colOff>
      <xdr:row>14</xdr:row>
      <xdr:rowOff>88231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9525" y="2528136"/>
          <a:ext cx="287254" cy="250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</xdr:row>
      <xdr:rowOff>94247</xdr:rowOff>
    </xdr:from>
    <xdr:to>
      <xdr:col>0</xdr:col>
      <xdr:colOff>300789</xdr:colOff>
      <xdr:row>15</xdr:row>
      <xdr:rowOff>96252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2721142"/>
          <a:ext cx="300789" cy="200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666750</xdr:colOff>
          <xdr:row>135</xdr:row>
          <xdr:rowOff>104775</xdr:rowOff>
        </xdr:from>
        <xdr:to>
          <xdr:col>2</xdr:col>
          <xdr:colOff>1162050</xdr:colOff>
          <xdr:row>137</xdr:row>
          <xdr:rowOff>142875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AFFICHER LES FEUILLES 6 à 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134</xdr:row>
          <xdr:rowOff>95250</xdr:rowOff>
        </xdr:from>
        <xdr:to>
          <xdr:col>1</xdr:col>
          <xdr:colOff>409575</xdr:colOff>
          <xdr:row>136</xdr:row>
          <xdr:rowOff>180975</xdr:rowOff>
        </xdr:to>
        <xdr:sp macro="" textlink="">
          <xdr:nvSpPr>
            <xdr:cNvPr id="16388" name="MASQUER LES FEUILLES 6 à 9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MASQUER LES FEUILLES 6 à 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135</xdr:row>
          <xdr:rowOff>133350</xdr:rowOff>
        </xdr:from>
        <xdr:to>
          <xdr:col>4</xdr:col>
          <xdr:colOff>438150</xdr:colOff>
          <xdr:row>137</xdr:row>
          <xdr:rowOff>152400</xdr:rowOff>
        </xdr:to>
        <xdr:sp macro="" textlink="">
          <xdr:nvSpPr>
            <xdr:cNvPr id="16390" name="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VEROUILLER IDENTIF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274109</xdr:colOff>
      <xdr:row>1</xdr:row>
      <xdr:rowOff>42334</xdr:rowOff>
    </xdr:from>
    <xdr:to>
      <xdr:col>0</xdr:col>
      <xdr:colOff>1836209</xdr:colOff>
      <xdr:row>5</xdr:row>
      <xdr:rowOff>42334</xdr:rowOff>
    </xdr:to>
    <xdr:pic>
      <xdr:nvPicPr>
        <xdr:cNvPr id="3" name="Imag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09" y="243417"/>
          <a:ext cx="15621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19050</xdr:rowOff>
        </xdr:from>
        <xdr:to>
          <xdr:col>7</xdr:col>
          <xdr:colOff>361950</xdr:colOff>
          <xdr:row>7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19050</xdr:rowOff>
        </xdr:from>
        <xdr:to>
          <xdr:col>9</xdr:col>
          <xdr:colOff>304800</xdr:colOff>
          <xdr:row>7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142875</xdr:rowOff>
        </xdr:from>
        <xdr:to>
          <xdr:col>1</xdr:col>
          <xdr:colOff>304800</xdr:colOff>
          <xdr:row>24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1</xdr:col>
          <xdr:colOff>323850</xdr:colOff>
          <xdr:row>25</xdr:row>
          <xdr:rowOff>323850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266700</xdr:rowOff>
        </xdr:from>
        <xdr:to>
          <xdr:col>1</xdr:col>
          <xdr:colOff>323850</xdr:colOff>
          <xdr:row>30</xdr:row>
          <xdr:rowOff>485775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30</xdr:row>
          <xdr:rowOff>133350</xdr:rowOff>
        </xdr:from>
        <xdr:to>
          <xdr:col>5</xdr:col>
          <xdr:colOff>104775</xdr:colOff>
          <xdr:row>30</xdr:row>
          <xdr:rowOff>514350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28575</xdr:rowOff>
        </xdr:from>
        <xdr:to>
          <xdr:col>1</xdr:col>
          <xdr:colOff>323850</xdr:colOff>
          <xdr:row>24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190500</xdr:rowOff>
        </xdr:from>
        <xdr:to>
          <xdr:col>5</xdr:col>
          <xdr:colOff>381000</xdr:colOff>
          <xdr:row>30</xdr:row>
          <xdr:rowOff>495300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26</xdr:row>
          <xdr:rowOff>133350</xdr:rowOff>
        </xdr:from>
        <xdr:to>
          <xdr:col>5</xdr:col>
          <xdr:colOff>19050</xdr:colOff>
          <xdr:row>29</xdr:row>
          <xdr:rowOff>114300</xdr:rowOff>
        </xdr:to>
        <xdr:sp macro="" textlink="">
          <xdr:nvSpPr>
            <xdr:cNvPr id="44033" name="Button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8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C5.pdf</a:t>
              </a:r>
            </a:p>
          </xdr:txBody>
        </xdr:sp>
        <xdr:clientData fPrintsWithSheet="0"/>
      </xdr:twoCellAnchor>
    </mc:Choice>
    <mc:Fallback/>
  </mc:AlternateContent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 1" id="{A463A01C-3610-4C8D-A696-A9F065C0958A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Piccirilli Sara" id="{8268C8F6-68EF-45E2-A6F5-3BBD1C6AFE71}" userId="Piccirilli Sara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47D9DF-D718-42AA-9B99-A3173533BF98}" name="T_RH_P20_21" displayName="T_RH_P20_21" ref="A1:P184" totalsRowShown="0" headerRowDxfId="40">
  <autoFilter ref="A1:P184" xr:uid="{C9557F90-804F-46F0-84AF-E00F6546DA99}"/>
  <sortState xmlns:xlrd2="http://schemas.microsoft.com/office/spreadsheetml/2017/richdata2" ref="A2:P184">
    <sortCondition ref="A2:A184"/>
  </sortState>
  <tableColumns count="16">
    <tableColumn id="1" xr3:uid="{84E06F4E-8C80-4865-8C7C-D96A0C7DF543}" name="Sélectionner Commune/Supra"/>
    <tableColumn id="2" xr3:uid="{34BDCC53-0EEA-4960-AE37-057E2C54A587}" name="Type de candidature" dataDxfId="39"/>
    <tableColumn id="3" xr3:uid="{2321CA69-C4D7-489A-947C-A722EDB87ECB}" name="Montant du subside " dataDxfId="38"/>
    <tableColumn id="4" xr3:uid="{8E7976BC-73EA-4D6B-88DB-9EA49134CC7E}" name="Fonds de roulement" dataDxfId="37">
      <calculatedColumnFormula>C2*0.8</calculatedColumnFormula>
    </tableColumn>
    <tableColumn id="5" xr3:uid="{86ADC4C3-721E-4B3E-87E8-4F83291CA176}" name="N° de compte_x000a_Volet 1" dataDxfId="36"/>
    <tableColumn id="6" xr3:uid="{CCF37DED-0AFF-4E51-9A12-F6A85A076877}" name="N°BCE" dataDxfId="35"/>
    <tableColumn id="7" xr3:uid="{4149546D-D9F3-4BED-A55D-83E38944CA86}" name="AB V1" dataDxfId="34"/>
    <tableColumn id="8" xr3:uid="{F011A395-8DD4-4DBE-AD5E-D7A1E720027B}" name="N° AM V1" dataDxfId="33"/>
    <tableColumn id="9" xr3:uid="{ADF2BCC7-7142-4C68-9587-046D91DBB87A}" name="Visa V1" dataDxfId="32"/>
    <tableColumn id="16" xr3:uid="{6599CCCA-2FEB-4079-A8B4-AABCC90A6169}" name="EJ" dataDxfId="31"/>
    <tableColumn id="10" xr3:uid="{C8215695-43D3-4A6B-AC52-C949A8CB93A6}" name="adresse"/>
    <tableColumn id="11" xr3:uid="{E80B9121-DDCD-4878-810C-4B2A422B70C8}" name="CP"/>
    <tableColumn id="12" xr3:uid="{6BFB7FC8-FBAB-49FF-BC53-FD49884889CA}" name="Localite"/>
    <tableColumn id="13" xr3:uid="{C5B7509B-DE26-4CD6-9619-072BB0639C1F}" name="AM"/>
    <tableColumn id="14" xr3:uid="{FCBBE708-8763-4C63-A41E-B55EF0428EA0}" name="Date AM V1 et v3" dataDxfId="30"/>
    <tableColumn id="15" xr3:uid="{47732B5B-270E-4104-BBB5-B50802C4B530}" name="Ref AM V1">
      <calculatedColumnFormula>CONCATENATE(N2,H2,O2)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54F4ED-CAE2-403C-AD02-DE43A6B35D33}" name="Tableau2" displayName="Tableau2" ref="A1:K14" totalsRowShown="0" headerRowBorderDxfId="29" tableBorderDxfId="28" totalsRowBorderDxfId="27">
  <autoFilter ref="A1:K14" xr:uid="{DF54F4ED-CAE2-403C-AD02-DE43A6B35D33}"/>
  <sortState xmlns:xlrd2="http://schemas.microsoft.com/office/spreadsheetml/2017/richdata2" ref="A2:K14">
    <sortCondition ref="E2:E14"/>
  </sortState>
  <tableColumns count="11">
    <tableColumn id="1" xr3:uid="{370A0423-09D1-4E96-9DED-B8BEEB0F3968}" name="Montant_subside" dataDxfId="26"/>
    <tableColumn id="2" xr3:uid="{33906375-D75D-40D5-B75F-134CD265B5D3}" name="VISA" dataDxfId="25"/>
    <tableColumn id="3" xr3:uid="{D2BD56B4-D365-4BE2-8D10-A13B1D6805AE}" name="Civilité" dataDxfId="24"/>
    <tableColumn id="4" xr3:uid="{6BF981E8-910D-4097-9069-FABC9E903C88}" name="O_N" dataDxfId="23"/>
    <tableColumn id="5" xr3:uid="{0729A3F7-8E11-4DB7-A26A-080FB7ED7E55}" name="Gestionnaire  " dataDxfId="22"/>
    <tableColumn id="6" xr3:uid="{83A1E21A-FF68-4AD4-8F2A-3FF5D1EC233F}" name="RI-RF" dataDxfId="21"/>
    <tableColumn id="7" xr3:uid="{0233E878-3CF6-4E3A-B7F1-62F0E540F756}" name="Rubrique"/>
    <tableColumn id="8" xr3:uid="{6322DDF7-FCD6-41F4-B045-619D56602295}" name="TVAC_HTVA" dataDxfId="20"/>
    <tableColumn id="9" xr3:uid="{9728E989-EF60-4C52-B85E-1E10FEC02BEA}" name="Mois" dataDxfId="19"/>
    <tableColumn id="10" xr3:uid="{35D08ADF-5C14-4DD0-BD3F-F461C2336822}" name="Email-Gestionnaire" dataDxfId="18"/>
    <tableColumn id="11" xr3:uid="{3DD729C2-D4DC-440D-BC8C-B1F59AE6C8E4}" name="Appel" dataDxfId="1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7" personId="{8268C8F6-68EF-45E2-A6F5-3BBD1C6AFE71}" id="{E160BAD6-CB8B-4428-9920-9CA783AEF9B8}">
    <text xml:space="preserve">
Montant à modifier si il ne s'agit pas de la DC finale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mpspw.wallonie.be/dgo4/conventiondesmaires/assets/documents/content/actualit%C3%A9/Appel%20POLLEC%202020/Volet_1_RH_guide_des_d%C3%A9penses_%C3%A9ligible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omments" Target="../comments1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Relationship Id="rId1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INFOS"/>
  <dimension ref="A1:F19"/>
  <sheetViews>
    <sheetView showGridLines="0" tabSelected="1" zoomScaleNormal="100" workbookViewId="0">
      <selection activeCell="D20" sqref="D20"/>
    </sheetView>
  </sheetViews>
  <sheetFormatPr baseColWidth="10" defaultColWidth="10.7109375" defaultRowHeight="15" x14ac:dyDescent="0.25"/>
  <cols>
    <col min="1" max="6" width="33.28515625" customWidth="1"/>
  </cols>
  <sheetData>
    <row r="1" spans="1:6" ht="29.65" customHeight="1" thickBot="1" x14ac:dyDescent="0.3">
      <c r="A1" s="208" t="s">
        <v>0</v>
      </c>
      <c r="B1" s="208" t="s">
        <v>1292</v>
      </c>
      <c r="C1" s="208" t="s">
        <v>1</v>
      </c>
      <c r="D1" s="209" t="s">
        <v>2</v>
      </c>
      <c r="E1" s="210">
        <v>45253</v>
      </c>
    </row>
    <row r="2" spans="1:6" ht="18.75" x14ac:dyDescent="0.25">
      <c r="A2" s="376" t="s">
        <v>3</v>
      </c>
      <c r="B2" s="377"/>
      <c r="C2" s="377"/>
      <c r="D2" s="377"/>
      <c r="E2" s="377"/>
      <c r="F2" s="378"/>
    </row>
    <row r="3" spans="1:6" x14ac:dyDescent="0.25">
      <c r="A3" s="385" t="s">
        <v>4</v>
      </c>
      <c r="B3" s="386"/>
      <c r="C3" s="386"/>
      <c r="D3" s="386"/>
      <c r="E3" s="386"/>
      <c r="F3" s="387"/>
    </row>
    <row r="4" spans="1:6" x14ac:dyDescent="0.25">
      <c r="A4" s="367" t="s">
        <v>1330</v>
      </c>
      <c r="B4" s="368"/>
      <c r="C4" s="368"/>
      <c r="D4" s="368"/>
      <c r="E4" s="368"/>
      <c r="F4" s="369"/>
    </row>
    <row r="5" spans="1:6" x14ac:dyDescent="0.25">
      <c r="A5" s="370"/>
      <c r="B5" s="371"/>
      <c r="C5" s="371"/>
      <c r="D5" s="371"/>
      <c r="E5" s="371"/>
      <c r="F5" s="372"/>
    </row>
    <row r="6" spans="1:6" x14ac:dyDescent="0.25">
      <c r="A6" s="14"/>
      <c r="F6" s="15"/>
    </row>
    <row r="7" spans="1:6" x14ac:dyDescent="0.25">
      <c r="A7" s="379" t="s">
        <v>5</v>
      </c>
      <c r="B7" s="380"/>
      <c r="C7" s="380"/>
      <c r="D7" s="380"/>
      <c r="E7" s="380"/>
      <c r="F7" s="381"/>
    </row>
    <row r="8" spans="1:6" x14ac:dyDescent="0.25">
      <c r="A8" s="382" t="s">
        <v>1331</v>
      </c>
      <c r="B8" s="383"/>
      <c r="C8" s="383"/>
      <c r="D8" s="383"/>
      <c r="E8" s="383"/>
      <c r="F8" s="384"/>
    </row>
    <row r="9" spans="1:6" x14ac:dyDescent="0.25">
      <c r="A9" s="388" t="s">
        <v>6</v>
      </c>
      <c r="B9" s="389"/>
      <c r="C9" s="389"/>
      <c r="D9" s="389"/>
      <c r="E9" s="389"/>
      <c r="F9" s="390"/>
    </row>
    <row r="10" spans="1:6" x14ac:dyDescent="0.25">
      <c r="A10" s="391" t="s">
        <v>7</v>
      </c>
      <c r="B10" s="392"/>
      <c r="C10" s="392"/>
      <c r="D10" s="392"/>
      <c r="E10" s="392"/>
      <c r="F10" s="393"/>
    </row>
    <row r="11" spans="1:6" x14ac:dyDescent="0.25">
      <c r="A11" s="373"/>
      <c r="B11" s="374"/>
      <c r="C11" s="374"/>
      <c r="D11" s="374"/>
      <c r="E11" s="374"/>
      <c r="F11" s="375"/>
    </row>
    <row r="12" spans="1:6" x14ac:dyDescent="0.25">
      <c r="A12" s="358" t="s">
        <v>1332</v>
      </c>
      <c r="B12" s="359"/>
      <c r="C12" s="359"/>
      <c r="D12" s="359"/>
      <c r="E12" s="359"/>
      <c r="F12" s="360"/>
    </row>
    <row r="13" spans="1:6" x14ac:dyDescent="0.25">
      <c r="A13" s="358" t="s">
        <v>8</v>
      </c>
      <c r="B13" s="359"/>
      <c r="C13" s="359"/>
      <c r="D13" s="359"/>
      <c r="E13" s="359"/>
      <c r="F13" s="360"/>
    </row>
    <row r="14" spans="1:6" x14ac:dyDescent="0.25">
      <c r="A14" s="361" t="s">
        <v>9</v>
      </c>
      <c r="B14" s="362"/>
      <c r="C14" s="87"/>
      <c r="D14" s="87"/>
      <c r="E14" s="87"/>
      <c r="F14" s="88"/>
    </row>
    <row r="15" spans="1:6" x14ac:dyDescent="0.25">
      <c r="A15" s="363" t="s">
        <v>1293</v>
      </c>
      <c r="B15" s="364"/>
      <c r="C15" s="64"/>
      <c r="D15" s="64"/>
      <c r="E15" s="64"/>
      <c r="F15" s="86"/>
    </row>
    <row r="16" spans="1:6" ht="14.65" customHeight="1" x14ac:dyDescent="0.25">
      <c r="A16" s="365" t="s">
        <v>10</v>
      </c>
      <c r="B16" s="366"/>
      <c r="C16" s="84"/>
      <c r="D16" s="84"/>
      <c r="E16" s="84"/>
      <c r="F16" s="85"/>
    </row>
    <row r="17" spans="1:6" ht="21" customHeight="1" x14ac:dyDescent="0.25">
      <c r="A17" s="83"/>
      <c r="B17" s="84"/>
      <c r="C17" s="84"/>
      <c r="D17" s="84"/>
      <c r="E17" s="84"/>
      <c r="F17" s="85"/>
    </row>
    <row r="18" spans="1:6" x14ac:dyDescent="0.25">
      <c r="A18" s="352" t="s">
        <v>11</v>
      </c>
      <c r="B18" s="353"/>
      <c r="C18" s="353"/>
      <c r="D18" s="353"/>
      <c r="E18" s="353"/>
      <c r="F18" s="354"/>
    </row>
    <row r="19" spans="1:6" ht="15.75" thickBot="1" x14ac:dyDescent="0.3">
      <c r="A19" s="355" t="s">
        <v>12</v>
      </c>
      <c r="B19" s="356"/>
      <c r="C19" s="356"/>
      <c r="D19" s="356"/>
      <c r="E19" s="356"/>
      <c r="F19" s="357"/>
    </row>
  </sheetData>
  <sheetProtection sheet="1" objects="1" scenarios="1"/>
  <customSheetViews>
    <customSheetView guid="{C3F58662-020B-4E56-B390-38D4A953D070}">
      <selection activeCell="I31" sqref="I31"/>
      <pageMargins left="0" right="0" top="0" bottom="0" header="0" footer="0"/>
    </customSheetView>
  </customSheetViews>
  <mergeCells count="16">
    <mergeCell ref="A4:F4"/>
    <mergeCell ref="A5:F5"/>
    <mergeCell ref="A11:F11"/>
    <mergeCell ref="A2:F2"/>
    <mergeCell ref="A7:F7"/>
    <mergeCell ref="A8:F8"/>
    <mergeCell ref="A3:F3"/>
    <mergeCell ref="A9:F9"/>
    <mergeCell ref="A10:F10"/>
    <mergeCell ref="A18:F18"/>
    <mergeCell ref="A19:F19"/>
    <mergeCell ref="A12:F12"/>
    <mergeCell ref="A13:F13"/>
    <mergeCell ref="A14:B14"/>
    <mergeCell ref="A15:B15"/>
    <mergeCell ref="A16:B16"/>
  </mergeCells>
  <hyperlinks>
    <hyperlink ref="A19:F19" r:id="rId1" display="Volet 1 RH : Guide des dépenses éligibles" xr:uid="{F6C555C7-42DE-4A20-AB09-2C2CDB4A0BA7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F976-C624-4533-A31C-5BAB94A101E3}">
  <sheetPr codeName="Feuil1"/>
  <dimension ref="A1:CH103"/>
  <sheetViews>
    <sheetView zoomScaleNormal="100" workbookViewId="0">
      <selection activeCell="CC2" sqref="CC2"/>
    </sheetView>
  </sheetViews>
  <sheetFormatPr baseColWidth="10" defaultColWidth="8.7109375" defaultRowHeight="15" x14ac:dyDescent="0.25"/>
  <cols>
    <col min="1" max="29" width="8.7109375" style="103"/>
    <col min="30" max="31" width="11.28515625" style="103" bestFit="1" customWidth="1"/>
    <col min="32" max="32" width="8.85546875" style="103" bestFit="1" customWidth="1"/>
    <col min="33" max="34" width="8.85546875" style="103" customWidth="1"/>
    <col min="35" max="38" width="8.85546875" style="103" bestFit="1" customWidth="1"/>
    <col min="39" max="41" width="11.28515625" style="103" bestFit="1" customWidth="1"/>
    <col min="42" max="42" width="10.140625" style="103" customWidth="1"/>
    <col min="43" max="43" width="11.28515625" style="103" bestFit="1" customWidth="1"/>
    <col min="44" max="44" width="9.5703125" style="103" bestFit="1" customWidth="1"/>
    <col min="45" max="45" width="11.28515625" style="103" bestFit="1" customWidth="1"/>
    <col min="46" max="46" width="10.140625" style="103" customWidth="1"/>
    <col min="47" max="49" width="11.28515625" style="103" bestFit="1" customWidth="1"/>
    <col min="50" max="50" width="10.140625" style="103" customWidth="1"/>
    <col min="51" max="53" width="11.28515625" style="103" bestFit="1" customWidth="1"/>
    <col min="54" max="55" width="10.140625" style="103" customWidth="1"/>
    <col min="56" max="56" width="11.28515625" style="103" bestFit="1" customWidth="1"/>
    <col min="57" max="57" width="13" style="103" customWidth="1"/>
    <col min="58" max="58" width="11.28515625" style="103" bestFit="1" customWidth="1"/>
    <col min="59" max="59" width="11.28515625" style="103" customWidth="1"/>
    <col min="60" max="62" width="10.140625" style="103" customWidth="1"/>
    <col min="63" max="64" width="8.85546875" style="103" bestFit="1" customWidth="1"/>
    <col min="65" max="69" width="11.28515625" style="103" bestFit="1" customWidth="1"/>
    <col min="70" max="70" width="10.5703125" style="103" customWidth="1"/>
    <col min="71" max="72" width="11.28515625" style="103" bestFit="1" customWidth="1"/>
    <col min="73" max="73" width="11" style="103" customWidth="1"/>
    <col min="74" max="79" width="12.7109375" style="103" customWidth="1"/>
    <col min="80" max="81" width="8.7109375" style="103"/>
    <col min="82" max="82" width="21.7109375" style="103" customWidth="1"/>
    <col min="83" max="83" width="26.28515625" style="103" customWidth="1"/>
    <col min="84" max="16384" width="8.7109375" style="103"/>
  </cols>
  <sheetData>
    <row r="1" spans="1:86" ht="118.5" customHeight="1" x14ac:dyDescent="0.25">
      <c r="A1" s="111" t="s">
        <v>187</v>
      </c>
      <c r="B1" s="111" t="s">
        <v>188</v>
      </c>
      <c r="C1" s="111" t="s">
        <v>189</v>
      </c>
      <c r="D1" s="111" t="s">
        <v>190</v>
      </c>
      <c r="E1" s="111" t="s">
        <v>191</v>
      </c>
      <c r="F1" s="111" t="s">
        <v>192</v>
      </c>
      <c r="G1" s="111" t="s">
        <v>193</v>
      </c>
      <c r="H1" s="111" t="s">
        <v>194</v>
      </c>
      <c r="I1" s="111" t="s">
        <v>195</v>
      </c>
      <c r="J1" s="111" t="s">
        <v>196</v>
      </c>
      <c r="K1" s="111" t="s">
        <v>197</v>
      </c>
      <c r="L1" s="111" t="s">
        <v>198</v>
      </c>
      <c r="M1" s="111" t="s">
        <v>199</v>
      </c>
      <c r="N1" s="111" t="s">
        <v>200</v>
      </c>
      <c r="O1" s="111" t="s">
        <v>201</v>
      </c>
      <c r="P1" s="111" t="s">
        <v>202</v>
      </c>
      <c r="Q1" s="111" t="s">
        <v>203</v>
      </c>
      <c r="R1" s="111" t="s">
        <v>204</v>
      </c>
      <c r="S1" s="111" t="s">
        <v>205</v>
      </c>
      <c r="T1" s="111" t="s">
        <v>206</v>
      </c>
      <c r="U1" s="111" t="s">
        <v>207</v>
      </c>
      <c r="V1" s="111" t="s">
        <v>208</v>
      </c>
      <c r="W1" s="111" t="s">
        <v>209</v>
      </c>
      <c r="X1" s="111" t="s">
        <v>210</v>
      </c>
      <c r="Y1" s="111"/>
      <c r="Z1" s="111" t="s">
        <v>211</v>
      </c>
      <c r="AA1" s="111" t="s">
        <v>212</v>
      </c>
      <c r="AB1" s="111" t="s">
        <v>213</v>
      </c>
      <c r="AC1" s="111" t="s">
        <v>214</v>
      </c>
      <c r="AD1" s="111" t="s">
        <v>215</v>
      </c>
      <c r="AE1" s="111" t="s">
        <v>216</v>
      </c>
      <c r="AF1" s="111" t="s">
        <v>217</v>
      </c>
      <c r="AG1" s="112" t="s">
        <v>218</v>
      </c>
      <c r="AH1" s="112" t="s">
        <v>219</v>
      </c>
      <c r="AI1" s="111" t="s">
        <v>220</v>
      </c>
      <c r="AJ1" s="111" t="s">
        <v>221</v>
      </c>
      <c r="AK1" s="111" t="s">
        <v>222</v>
      </c>
      <c r="AL1" s="111" t="s">
        <v>223</v>
      </c>
      <c r="AM1" s="111" t="s">
        <v>224</v>
      </c>
      <c r="AN1" s="111" t="s">
        <v>225</v>
      </c>
      <c r="AO1" s="111" t="s">
        <v>226</v>
      </c>
      <c r="AP1" s="111" t="s">
        <v>227</v>
      </c>
      <c r="AQ1" s="111" t="s">
        <v>228</v>
      </c>
      <c r="AR1" s="111" t="s">
        <v>229</v>
      </c>
      <c r="AS1" s="111" t="s">
        <v>230</v>
      </c>
      <c r="AT1" s="111" t="s">
        <v>231</v>
      </c>
      <c r="AU1" s="111" t="s">
        <v>232</v>
      </c>
      <c r="AV1" s="111" t="s">
        <v>233</v>
      </c>
      <c r="AW1" s="111" t="s">
        <v>234</v>
      </c>
      <c r="AX1" s="111" t="s">
        <v>235</v>
      </c>
      <c r="AY1" s="111" t="s">
        <v>236</v>
      </c>
      <c r="AZ1" s="111" t="s">
        <v>237</v>
      </c>
      <c r="BA1" s="111" t="s">
        <v>238</v>
      </c>
      <c r="BB1" s="111" t="s">
        <v>239</v>
      </c>
      <c r="BC1" s="111" t="s">
        <v>240</v>
      </c>
      <c r="BD1" s="111" t="s">
        <v>241</v>
      </c>
      <c r="BE1" s="111" t="s">
        <v>242</v>
      </c>
      <c r="BF1" s="111" t="s">
        <v>243</v>
      </c>
      <c r="BG1" s="111" t="s">
        <v>244</v>
      </c>
      <c r="BH1" s="111" t="s">
        <v>245</v>
      </c>
      <c r="BI1" s="111" t="s">
        <v>246</v>
      </c>
      <c r="BJ1" s="111" t="s">
        <v>247</v>
      </c>
      <c r="BK1" s="111" t="s">
        <v>248</v>
      </c>
      <c r="BL1" s="111" t="s">
        <v>249</v>
      </c>
      <c r="BM1" s="111" t="s">
        <v>250</v>
      </c>
      <c r="BN1" s="111" t="s">
        <v>251</v>
      </c>
      <c r="BO1" s="111" t="s">
        <v>252</v>
      </c>
      <c r="BP1" s="111" t="s">
        <v>253</v>
      </c>
      <c r="BQ1" s="111" t="s">
        <v>254</v>
      </c>
      <c r="BR1" s="111" t="s">
        <v>255</v>
      </c>
      <c r="BS1" s="111" t="s">
        <v>256</v>
      </c>
      <c r="BT1" s="111" t="s">
        <v>257</v>
      </c>
      <c r="BU1" s="111" t="s">
        <v>258</v>
      </c>
      <c r="BV1" s="111" t="s">
        <v>259</v>
      </c>
      <c r="BW1" s="111" t="s">
        <v>260</v>
      </c>
      <c r="BX1" s="111" t="s">
        <v>261</v>
      </c>
      <c r="BY1" s="111" t="s">
        <v>262</v>
      </c>
      <c r="BZ1" s="111" t="s">
        <v>263</v>
      </c>
      <c r="CA1" s="111" t="s">
        <v>264</v>
      </c>
      <c r="CB1" s="111" t="s">
        <v>265</v>
      </c>
      <c r="CC1" s="111" t="s">
        <v>266</v>
      </c>
      <c r="CD1" s="111" t="s">
        <v>267</v>
      </c>
      <c r="CE1" s="111" t="s">
        <v>268</v>
      </c>
      <c r="CF1" s="111" t="s">
        <v>269</v>
      </c>
      <c r="CG1" s="111" t="s">
        <v>270</v>
      </c>
      <c r="CH1" s="111" t="s">
        <v>271</v>
      </c>
    </row>
    <row r="2" spans="1:86" ht="75" x14ac:dyDescent="0.25">
      <c r="A2" s="109" t="e">
        <f>DATE_DEB_CONV</f>
        <v>#N/A</v>
      </c>
      <c r="B2" s="109" t="e">
        <f>DATE_FIN_CONV</f>
        <v>#N/A</v>
      </c>
      <c r="C2" s="109" t="str">
        <f>DC_N°</f>
        <v>2-finale</v>
      </c>
      <c r="D2" s="109">
        <f>DC_TOT_DECL</f>
        <v>0</v>
      </c>
      <c r="E2" s="109" t="e">
        <f>IDENTIF_ADRESSE</f>
        <v>#N/A</v>
      </c>
      <c r="F2" s="109" t="e">
        <f>IDENTIF_ADRESSE_CP</f>
        <v>#N/A</v>
      </c>
      <c r="G2" s="109" t="e">
        <f>IDENTIF_ADRESSE_LOC</f>
        <v>#N/A</v>
      </c>
      <c r="H2" s="109" t="str">
        <f>IDENTIF_AGT_CIV</f>
        <v>Veuillez sélectionner</v>
      </c>
      <c r="I2" s="109">
        <f>IDENTIF_AGT_EMAIL</f>
        <v>0</v>
      </c>
      <c r="J2" s="109">
        <f>IDENTIF_AGT_NOM</f>
        <v>0</v>
      </c>
      <c r="K2" s="109">
        <f>IDENTIF_AGT_SERVICE</f>
        <v>0</v>
      </c>
      <c r="L2" s="109">
        <f>IDENTIF_AGT_TEL</f>
        <v>0</v>
      </c>
      <c r="M2" s="109" t="e">
        <f>IDENTIF_BCE</f>
        <v>#N/A</v>
      </c>
      <c r="N2" s="109">
        <f>IDENTIF_BUDG_AB_CONV</f>
        <v>0</v>
      </c>
      <c r="O2" s="109">
        <f>IDENTIF_BUDG_PROGRAMME_CONV</f>
        <v>0</v>
      </c>
      <c r="P2" s="109">
        <f>IDENTIF_COMPTE_BIC</f>
        <v>0</v>
      </c>
      <c r="Q2" s="109">
        <f>IDENTIF_COMPTE_COM</f>
        <v>0</v>
      </c>
      <c r="R2" s="109" t="e">
        <f>IDENTIF_COMPTE_N°IBAN</f>
        <v>#N/A</v>
      </c>
      <c r="S2" s="109">
        <f>IDENTIF_COMPTE_OUVERT_NOM_DE</f>
        <v>0</v>
      </c>
      <c r="T2" s="110">
        <f>IDENTIF_DEB_DC</f>
        <v>0</v>
      </c>
      <c r="U2" s="109">
        <f>'1-Identification'!F17</f>
        <v>1</v>
      </c>
      <c r="V2" s="110">
        <f>IDENTIF_FIN_DC</f>
        <v>0</v>
      </c>
      <c r="W2" s="109" t="e">
        <f>IDENTIF_LEGALE</f>
        <v>#N/A</v>
      </c>
      <c r="X2" s="109" t="e">
        <f>IDENTIF_MONTANT_SUBSIDE</f>
        <v>#N/A</v>
      </c>
      <c r="Y2" s="109"/>
      <c r="Z2" s="109" t="e">
        <f>IDENTIF_NOM_PROJET</f>
        <v>#N/A</v>
      </c>
      <c r="AA2" s="109" t="str">
        <f>IDENTIF_NOM_REQUERANT</f>
        <v>Sélectionner Commune/Supra</v>
      </c>
      <c r="AB2" s="109">
        <f>IDENTIF_TAUX_DE_FINANCEMENT</f>
        <v>0.75</v>
      </c>
      <c r="AC2" s="109" t="e">
        <f>IDENTIF_VISA_CONV</f>
        <v>#N/A</v>
      </c>
      <c r="AD2" s="112">
        <f>MONTANT_DC_C3_FONDS_ROULEMENT_JUSTIFIE</f>
        <v>0</v>
      </c>
      <c r="AE2" s="112" t="e">
        <f>MONTANT_DC_C3_SOLDE_DESENGAGE</f>
        <v>#N/A</v>
      </c>
      <c r="AF2" s="112">
        <f>MONTANT_DC_C3_TOT_LIQUIDE</f>
        <v>0</v>
      </c>
      <c r="AG2" s="112">
        <f>MONTANT_TOT_PERSO_DECL</f>
        <v>0</v>
      </c>
      <c r="AH2" s="112">
        <f>MONTANT_TOT_PERSO_ACC</f>
        <v>0</v>
      </c>
      <c r="AI2" s="113">
        <f>MONTANT_TOT_SSTRAIT_DECL</f>
        <v>0</v>
      </c>
      <c r="AJ2" s="113">
        <f>MONTANT_TOT_SSTRAIT_ACC</f>
        <v>0</v>
      </c>
      <c r="AK2" s="112" t="e">
        <f>PL_ORDO_DC1</f>
        <v>#REF!</v>
      </c>
      <c r="AL2" s="112">
        <f>PL_ORDO_DC2</f>
        <v>0</v>
      </c>
      <c r="AM2" s="114" t="e">
        <f>SYNT_A_REMBOURSER</f>
        <v>#N/A</v>
      </c>
      <c r="AN2" s="114" t="e">
        <f>SYNT_BUDGET_100</f>
        <v>#N/A</v>
      </c>
      <c r="AO2" s="114" t="e">
        <f>SYNTH_ACC_1_100</f>
        <v>#REF!</v>
      </c>
      <c r="AP2" s="114">
        <f>SYNTH_ACC_2_100</f>
        <v>0</v>
      </c>
      <c r="AQ2" s="114" t="e">
        <f>SYNTH_DECL_1_100</f>
        <v>#REF!</v>
      </c>
      <c r="AR2" s="114">
        <f>SYNTH_DECL_2_100</f>
        <v>0</v>
      </c>
      <c r="AS2" s="114" t="e">
        <f>SYNTH_DIFF_1</f>
        <v>#REF!</v>
      </c>
      <c r="AT2" s="114">
        <f>SYNTH_DIFF_2</f>
        <v>0</v>
      </c>
      <c r="AU2" s="114" t="e">
        <f>SYNTH_DIFF_TOT</f>
        <v>#REF!</v>
      </c>
      <c r="AV2" s="114" t="e">
        <f>SYNTH_FR</f>
        <v>#N/A</v>
      </c>
      <c r="AW2" s="114" t="e">
        <f>SYNTH_FR_JUSTIF_1</f>
        <v>#NAME?</v>
      </c>
      <c r="AX2" s="114">
        <f>SYNTH_FR_JUSTIF_2</f>
        <v>0</v>
      </c>
      <c r="AY2" s="114" t="e">
        <f>SYNTH_FR_SOLDE_1</f>
        <v>#NAME?</v>
      </c>
      <c r="AZ2" s="114" t="e">
        <f>SYNTH_FR_SOLDE_1_2</f>
        <v>#NAME?</v>
      </c>
      <c r="BA2" s="114" t="e">
        <f>SYNTH_FR_SOLDE_2</f>
        <v>#REF!</v>
      </c>
      <c r="BB2" s="114" t="e">
        <f>SYNTH_MONTANT_LIQUIDE_1</f>
        <v>#NAME?</v>
      </c>
      <c r="BC2" s="114">
        <f>SYNTH_MONTANT_LIQUIDE_2</f>
        <v>0</v>
      </c>
      <c r="BD2" s="114" t="e">
        <f>SYNTH_PERSO_ACC_1</f>
        <v>#NAME?</v>
      </c>
      <c r="BE2" s="114">
        <f>SYNTH_PERSO_ACC_2</f>
        <v>0</v>
      </c>
      <c r="BF2" s="114" t="e">
        <f>SYNTH_PERSO_DECL_1</f>
        <v>#NAME?</v>
      </c>
      <c r="BG2" s="114">
        <f>SYNTH_PERSO_DECL_2</f>
        <v>0</v>
      </c>
      <c r="BH2" s="114" t="e">
        <f>SYNTH_SOLDE</f>
        <v>#NAME?</v>
      </c>
      <c r="BI2" s="114" t="e">
        <f>SYNTH_SST_ACC_1</f>
        <v>#NAME?</v>
      </c>
      <c r="BJ2" s="114">
        <f>SYNTH_SST_ACC_2</f>
        <v>0</v>
      </c>
      <c r="BK2" s="114" t="e">
        <f>SYNTH_SST_DECL_1</f>
        <v>#NAME?</v>
      </c>
      <c r="BL2" s="114">
        <f>SYNTH_SST_DECL_2</f>
        <v>0</v>
      </c>
      <c r="BM2" s="114" t="e">
        <f>SYNTH_SUBSIDE</f>
        <v>#N/A</v>
      </c>
      <c r="BN2" s="114" t="e">
        <f>SYNTH_SUBSIDE_SOLDE</f>
        <v>#NAME?</v>
      </c>
      <c r="BO2" s="114" t="e">
        <f>SYNTH_TOT_ACC_100</f>
        <v>#NAME?</v>
      </c>
      <c r="BP2" s="114" t="e">
        <f>SYNTH_TOT_DC_ACC</f>
        <v>#NAME?</v>
      </c>
      <c r="BQ2" s="114" t="e">
        <f>SYNTH_TOT_DC_ACC_1</f>
        <v>#NAME?</v>
      </c>
      <c r="BR2" s="114">
        <f>SYNTH_TOT_DC_ACC_2</f>
        <v>0</v>
      </c>
      <c r="BS2" s="114" t="e">
        <f>SYNTH_TOT_DC_DECL</f>
        <v>#NAME?</v>
      </c>
      <c r="BT2" s="114" t="e">
        <f>SYNTH_TOT_DC_DECL_1</f>
        <v>#NAME?</v>
      </c>
      <c r="BU2" s="114">
        <f>SYNTH_TOT_DC_DECL_2</f>
        <v>0</v>
      </c>
      <c r="BV2" s="114" t="e">
        <f>SYNTH_TOT_DECL_100</f>
        <v>#NAME?</v>
      </c>
      <c r="BW2" s="114" t="e">
        <f>SYNTH_TOT_LIQUIDE_1_2</f>
        <v>#NAME?</v>
      </c>
      <c r="BX2" s="114" t="e">
        <f>SYNTH_TOT_PERSO_ACC</f>
        <v>#NAME?</v>
      </c>
      <c r="BY2" s="114" t="e">
        <f>SYNTH_TOT_PERSO_DECL</f>
        <v>#NAME?</v>
      </c>
      <c r="BZ2" s="114" t="e">
        <f>SYNTH_TOT_SST_ACC</f>
        <v>#NAME?</v>
      </c>
      <c r="CA2" s="114" t="e">
        <f>SYNTH_TOT_SST_DECL</f>
        <v>#NAME?</v>
      </c>
      <c r="CB2" s="103" t="str">
        <f>TVA</f>
        <v>Veuillez sélectionner</v>
      </c>
      <c r="CC2" s="103" t="str">
        <f>IF(VOS_REF=0,"",VOS_REF)</f>
        <v/>
      </c>
      <c r="CD2" s="81" t="str">
        <f>_xlfn.TEXTJOIN(CHAR(10),TRUE,'2-Frais de personnel'!U$12:U$47)</f>
        <v/>
      </c>
      <c r="CE2" s="103" t="str">
        <f>_xlfn.TEXTJOIN(CHAR(10),TRUE,'3-Sous-traitance'!$O$5:$O$15)</f>
        <v/>
      </c>
      <c r="CF2" s="105" t="str">
        <f>GT</f>
        <v xml:space="preserve">Gestionnaire  </v>
      </c>
      <c r="CG2" s="103" t="e">
        <f>IF(GT=Liste_GT_1,LISTE_TEL_GT_1,LISTE_TEL_GT_2)</f>
        <v>#NAME?</v>
      </c>
      <c r="CH2" s="103" t="str">
        <f>IF(GT=Liste_GT_1,LISTE_EMAIL_GT_1,LISTE_EMAIL_GT_2)</f>
        <v>sara.piccirilli@spw.wallonie.be</v>
      </c>
    </row>
    <row r="60" spans="1:2" ht="45" x14ac:dyDescent="0.25">
      <c r="A60" s="103" t="s">
        <v>224</v>
      </c>
      <c r="B60" s="103" t="s">
        <v>272</v>
      </c>
    </row>
    <row r="61" spans="1:2" ht="45" x14ac:dyDescent="0.25">
      <c r="A61" s="103" t="s">
        <v>225</v>
      </c>
      <c r="B61" s="103" t="s">
        <v>273</v>
      </c>
    </row>
    <row r="62" spans="1:2" ht="45" x14ac:dyDescent="0.25">
      <c r="A62" s="103" t="s">
        <v>226</v>
      </c>
      <c r="B62" s="103" t="s">
        <v>274</v>
      </c>
    </row>
    <row r="63" spans="1:2" ht="45" x14ac:dyDescent="0.25">
      <c r="A63" s="103" t="s">
        <v>227</v>
      </c>
      <c r="B63" s="103" t="s">
        <v>275</v>
      </c>
    </row>
    <row r="64" spans="1:2" ht="45" x14ac:dyDescent="0.25">
      <c r="A64" s="103" t="s">
        <v>228</v>
      </c>
      <c r="B64" s="103" t="s">
        <v>276</v>
      </c>
    </row>
    <row r="65" spans="1:2" ht="45" x14ac:dyDescent="0.25">
      <c r="A65" s="103" t="s">
        <v>229</v>
      </c>
      <c r="B65" s="103" t="s">
        <v>277</v>
      </c>
    </row>
    <row r="66" spans="1:2" ht="45" x14ac:dyDescent="0.25">
      <c r="A66" s="103" t="s">
        <v>230</v>
      </c>
      <c r="B66" s="103" t="s">
        <v>278</v>
      </c>
    </row>
    <row r="67" spans="1:2" ht="45" x14ac:dyDescent="0.25">
      <c r="A67" s="103" t="s">
        <v>231</v>
      </c>
      <c r="B67" s="103" t="s">
        <v>279</v>
      </c>
    </row>
    <row r="68" spans="1:2" ht="45" x14ac:dyDescent="0.25">
      <c r="A68" s="103" t="s">
        <v>232</v>
      </c>
      <c r="B68" s="103" t="s">
        <v>280</v>
      </c>
    </row>
    <row r="69" spans="1:2" ht="45" x14ac:dyDescent="0.25">
      <c r="A69" s="103" t="s">
        <v>233</v>
      </c>
      <c r="B69" s="103" t="s">
        <v>281</v>
      </c>
    </row>
    <row r="70" spans="1:2" ht="45" x14ac:dyDescent="0.25">
      <c r="A70" s="103" t="s">
        <v>234</v>
      </c>
      <c r="B70" s="103" t="s">
        <v>282</v>
      </c>
    </row>
    <row r="71" spans="1:2" ht="45" x14ac:dyDescent="0.25">
      <c r="A71" s="103" t="s">
        <v>235</v>
      </c>
      <c r="B71" s="103" t="s">
        <v>283</v>
      </c>
    </row>
    <row r="72" spans="1:2" ht="45" x14ac:dyDescent="0.25">
      <c r="A72" s="103" t="s">
        <v>236</v>
      </c>
      <c r="B72" s="103" t="s">
        <v>284</v>
      </c>
    </row>
    <row r="73" spans="1:2" ht="45" x14ac:dyDescent="0.25">
      <c r="A73" s="103" t="s">
        <v>237</v>
      </c>
      <c r="B73" s="103" t="s">
        <v>285</v>
      </c>
    </row>
    <row r="74" spans="1:2" ht="45" x14ac:dyDescent="0.25">
      <c r="A74" s="103" t="s">
        <v>238</v>
      </c>
      <c r="B74" s="103" t="s">
        <v>286</v>
      </c>
    </row>
    <row r="75" spans="1:2" ht="60" x14ac:dyDescent="0.25">
      <c r="A75" s="103" t="s">
        <v>239</v>
      </c>
      <c r="B75" s="103" t="s">
        <v>287</v>
      </c>
    </row>
    <row r="76" spans="1:2" ht="60" x14ac:dyDescent="0.25">
      <c r="A76" s="103" t="s">
        <v>240</v>
      </c>
      <c r="B76" s="103" t="s">
        <v>288</v>
      </c>
    </row>
    <row r="77" spans="1:2" ht="45" x14ac:dyDescent="0.25">
      <c r="A77" s="103" t="s">
        <v>241</v>
      </c>
      <c r="B77" s="103" t="s">
        <v>289</v>
      </c>
    </row>
    <row r="78" spans="1:2" ht="45" x14ac:dyDescent="0.25">
      <c r="A78" s="103" t="s">
        <v>242</v>
      </c>
      <c r="B78" s="103" t="s">
        <v>290</v>
      </c>
    </row>
    <row r="79" spans="1:2" ht="45" x14ac:dyDescent="0.25">
      <c r="A79" s="103" t="s">
        <v>243</v>
      </c>
      <c r="B79" s="103" t="s">
        <v>291</v>
      </c>
    </row>
    <row r="80" spans="1:2" ht="45" x14ac:dyDescent="0.25">
      <c r="A80" s="103" t="s">
        <v>244</v>
      </c>
      <c r="B80" s="103" t="s">
        <v>292</v>
      </c>
    </row>
    <row r="81" spans="1:2" ht="45" x14ac:dyDescent="0.25">
      <c r="A81" s="103" t="s">
        <v>245</v>
      </c>
      <c r="B81" s="103" t="s">
        <v>293</v>
      </c>
    </row>
    <row r="82" spans="1:2" ht="45" x14ac:dyDescent="0.25">
      <c r="A82" s="103" t="s">
        <v>246</v>
      </c>
      <c r="B82" s="103" t="s">
        <v>294</v>
      </c>
    </row>
    <row r="83" spans="1:2" ht="45" x14ac:dyDescent="0.25">
      <c r="A83" s="103" t="s">
        <v>247</v>
      </c>
      <c r="B83" s="103" t="s">
        <v>295</v>
      </c>
    </row>
    <row r="84" spans="1:2" ht="45" x14ac:dyDescent="0.25">
      <c r="A84" s="103" t="s">
        <v>248</v>
      </c>
      <c r="B84" s="103" t="s">
        <v>296</v>
      </c>
    </row>
    <row r="85" spans="1:2" ht="45" x14ac:dyDescent="0.25">
      <c r="A85" s="103" t="s">
        <v>249</v>
      </c>
      <c r="B85" s="103" t="s">
        <v>297</v>
      </c>
    </row>
    <row r="86" spans="1:2" ht="45" x14ac:dyDescent="0.25">
      <c r="A86" s="103" t="s">
        <v>250</v>
      </c>
      <c r="B86" s="103" t="s">
        <v>298</v>
      </c>
    </row>
    <row r="87" spans="1:2" ht="45" x14ac:dyDescent="0.25">
      <c r="A87" s="103" t="s">
        <v>251</v>
      </c>
      <c r="B87" s="103" t="s">
        <v>299</v>
      </c>
    </row>
    <row r="88" spans="1:2" ht="45" x14ac:dyDescent="0.25">
      <c r="A88" s="103" t="s">
        <v>252</v>
      </c>
      <c r="B88" s="103" t="s">
        <v>300</v>
      </c>
    </row>
    <row r="89" spans="1:2" ht="45" x14ac:dyDescent="0.25">
      <c r="A89" s="103" t="s">
        <v>253</v>
      </c>
      <c r="B89" s="103" t="s">
        <v>301</v>
      </c>
    </row>
    <row r="90" spans="1:2" ht="45" x14ac:dyDescent="0.25">
      <c r="A90" s="103" t="s">
        <v>254</v>
      </c>
      <c r="B90" s="103" t="s">
        <v>302</v>
      </c>
    </row>
    <row r="91" spans="1:2" ht="45" x14ac:dyDescent="0.25">
      <c r="A91" s="103" t="s">
        <v>255</v>
      </c>
      <c r="B91" s="103" t="s">
        <v>303</v>
      </c>
    </row>
    <row r="92" spans="1:2" ht="45" x14ac:dyDescent="0.25">
      <c r="A92" s="103" t="s">
        <v>256</v>
      </c>
      <c r="B92" s="103" t="s">
        <v>304</v>
      </c>
    </row>
    <row r="93" spans="1:2" ht="45" x14ac:dyDescent="0.25">
      <c r="A93" s="103" t="s">
        <v>257</v>
      </c>
      <c r="B93" s="103" t="s">
        <v>305</v>
      </c>
    </row>
    <row r="94" spans="1:2" ht="45" x14ac:dyDescent="0.25">
      <c r="A94" s="103" t="s">
        <v>258</v>
      </c>
      <c r="B94" s="103" t="s">
        <v>306</v>
      </c>
    </row>
    <row r="95" spans="1:2" ht="45" x14ac:dyDescent="0.25">
      <c r="A95" s="103" t="s">
        <v>259</v>
      </c>
      <c r="B95" s="103" t="s">
        <v>307</v>
      </c>
    </row>
    <row r="96" spans="1:2" ht="45" x14ac:dyDescent="0.25">
      <c r="A96" s="103" t="s">
        <v>260</v>
      </c>
      <c r="B96" s="103" t="s">
        <v>308</v>
      </c>
    </row>
    <row r="97" spans="1:2" ht="45" x14ac:dyDescent="0.25">
      <c r="A97" s="103" t="s">
        <v>261</v>
      </c>
      <c r="B97" s="103" t="s">
        <v>309</v>
      </c>
    </row>
    <row r="98" spans="1:2" ht="45" x14ac:dyDescent="0.25">
      <c r="A98" s="103" t="s">
        <v>262</v>
      </c>
      <c r="B98" s="103" t="s">
        <v>310</v>
      </c>
    </row>
    <row r="99" spans="1:2" ht="45" x14ac:dyDescent="0.25">
      <c r="A99" s="103" t="s">
        <v>263</v>
      </c>
      <c r="B99" s="103" t="s">
        <v>311</v>
      </c>
    </row>
    <row r="100" spans="1:2" ht="45" x14ac:dyDescent="0.25">
      <c r="A100" s="103" t="s">
        <v>264</v>
      </c>
      <c r="B100" s="103" t="s">
        <v>312</v>
      </c>
    </row>
    <row r="101" spans="1:2" ht="75" x14ac:dyDescent="0.25">
      <c r="A101" s="103" t="s">
        <v>313</v>
      </c>
      <c r="B101" s="103" t="s">
        <v>314</v>
      </c>
    </row>
    <row r="102" spans="1:2" ht="60" x14ac:dyDescent="0.25">
      <c r="A102" s="103" t="s">
        <v>265</v>
      </c>
      <c r="B102" s="103" t="s">
        <v>315</v>
      </c>
    </row>
    <row r="103" spans="1:2" ht="75" x14ac:dyDescent="0.25">
      <c r="A103" s="103" t="s">
        <v>266</v>
      </c>
      <c r="B103" s="103" t="s">
        <v>316</v>
      </c>
    </row>
  </sheetData>
  <sheetProtection sheet="1" objects="1" scenarios="1"/>
  <phoneticPr fontId="52" type="noConversion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7F90-804F-46F0-84AF-E00F6546DA99}">
  <sheetPr>
    <tabColor theme="0"/>
  </sheetPr>
  <dimension ref="A1:P1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2" sqref="G42"/>
    </sheetView>
  </sheetViews>
  <sheetFormatPr baseColWidth="10" defaultColWidth="11.42578125" defaultRowHeight="15" x14ac:dyDescent="0.25"/>
  <cols>
    <col min="1" max="1" width="43.7109375" bestFit="1" customWidth="1"/>
    <col min="2" max="2" width="15.85546875" style="89" customWidth="1"/>
    <col min="3" max="3" width="17.28515625" style="95" customWidth="1"/>
    <col min="4" max="4" width="16.28515625" style="95" customWidth="1"/>
    <col min="5" max="5" width="20" style="68" bestFit="1" customWidth="1"/>
    <col min="6" max="6" width="13.7109375" style="68" customWidth="1"/>
    <col min="7" max="7" width="17.5703125" style="68" bestFit="1" customWidth="1"/>
    <col min="8" max="8" width="11.7109375" style="68" bestFit="1" customWidth="1"/>
    <col min="9" max="9" width="9.5703125" style="68" customWidth="1"/>
    <col min="10" max="10" width="10" style="68" bestFit="1" customWidth="1"/>
    <col min="11" max="11" width="31.140625" bestFit="1" customWidth="1"/>
    <col min="12" max="12" width="5.42578125" customWidth="1"/>
    <col min="13" max="13" width="27.85546875" bestFit="1" customWidth="1"/>
    <col min="14" max="14" width="29.5703125" bestFit="1" customWidth="1"/>
    <col min="15" max="15" width="18.28515625" customWidth="1"/>
    <col min="16" max="16" width="51.7109375" bestFit="1" customWidth="1"/>
  </cols>
  <sheetData>
    <row r="1" spans="1:16" s="91" customFormat="1" ht="30" x14ac:dyDescent="0.25">
      <c r="A1" s="91" t="s">
        <v>23</v>
      </c>
      <c r="B1" s="92" t="s">
        <v>317</v>
      </c>
      <c r="C1" s="93" t="s">
        <v>318</v>
      </c>
      <c r="D1" s="93" t="s">
        <v>176</v>
      </c>
      <c r="E1" s="94" t="s">
        <v>319</v>
      </c>
      <c r="F1" s="94" t="s">
        <v>320</v>
      </c>
      <c r="G1" s="94" t="s">
        <v>321</v>
      </c>
      <c r="H1" s="94" t="s">
        <v>322</v>
      </c>
      <c r="I1" s="94" t="s">
        <v>323</v>
      </c>
      <c r="J1" s="94" t="s">
        <v>1317</v>
      </c>
      <c r="K1" s="91" t="s">
        <v>324</v>
      </c>
      <c r="L1" s="91" t="s">
        <v>325</v>
      </c>
      <c r="M1" s="91" t="s">
        <v>326</v>
      </c>
      <c r="N1" s="91" t="s">
        <v>327</v>
      </c>
      <c r="O1" s="91" t="s">
        <v>328</v>
      </c>
      <c r="P1" s="91" t="s">
        <v>329</v>
      </c>
    </row>
    <row r="2" spans="1:16" x14ac:dyDescent="0.25">
      <c r="A2" t="s">
        <v>330</v>
      </c>
      <c r="B2" s="89" t="s">
        <v>1319</v>
      </c>
      <c r="C2" s="95">
        <v>22400</v>
      </c>
      <c r="D2" s="95">
        <f t="shared" ref="D2:D11" si="0">C2</f>
        <v>22400</v>
      </c>
      <c r="E2" s="68" t="s">
        <v>331</v>
      </c>
      <c r="F2" s="68" t="s">
        <v>332</v>
      </c>
      <c r="G2" s="68" t="s">
        <v>333</v>
      </c>
      <c r="H2" s="68" t="s">
        <v>334</v>
      </c>
      <c r="I2" s="68" t="s">
        <v>335</v>
      </c>
      <c r="J2" s="241" t="s">
        <v>1318</v>
      </c>
      <c r="K2" t="s">
        <v>336</v>
      </c>
      <c r="L2">
        <v>6250</v>
      </c>
      <c r="M2" t="s">
        <v>337</v>
      </c>
      <c r="N2" t="s">
        <v>338</v>
      </c>
      <c r="O2" s="90" t="s">
        <v>339</v>
      </c>
      <c r="P2" t="str">
        <f t="shared" ref="P2:P33" si="1">CONCATENATE(N2,H2,O2)</f>
        <v>Arrêté ministériel POLLEC 2020_RH_3 du 02-12-2020</v>
      </c>
    </row>
    <row r="3" spans="1:16" x14ac:dyDescent="0.25">
      <c r="A3" t="s">
        <v>340</v>
      </c>
      <c r="B3" s="89" t="s">
        <v>1319</v>
      </c>
      <c r="C3" s="95">
        <v>33600</v>
      </c>
      <c r="D3" s="95">
        <f t="shared" si="0"/>
        <v>33600</v>
      </c>
      <c r="E3" s="68" t="s">
        <v>341</v>
      </c>
      <c r="F3" s="68" t="s">
        <v>342</v>
      </c>
      <c r="G3" s="68" t="s">
        <v>333</v>
      </c>
      <c r="H3" s="68" t="s">
        <v>343</v>
      </c>
      <c r="I3" s="68" t="s">
        <v>344</v>
      </c>
      <c r="J3" s="241" t="s">
        <v>1318</v>
      </c>
      <c r="K3" t="s">
        <v>345</v>
      </c>
      <c r="L3">
        <v>4540</v>
      </c>
      <c r="M3" t="s">
        <v>346</v>
      </c>
      <c r="N3" t="s">
        <v>338</v>
      </c>
      <c r="O3" s="90" t="s">
        <v>339</v>
      </c>
      <c r="P3" t="str">
        <f t="shared" si="1"/>
        <v>Arrêté ministériel POLLEC 2020_RH_4 du 02-12-2020</v>
      </c>
    </row>
    <row r="4" spans="1:16" x14ac:dyDescent="0.25">
      <c r="A4" t="s">
        <v>347</v>
      </c>
      <c r="B4" s="89" t="s">
        <v>1319</v>
      </c>
      <c r="C4" s="95">
        <v>33600</v>
      </c>
      <c r="D4" s="95">
        <f t="shared" si="0"/>
        <v>33600</v>
      </c>
      <c r="E4" s="68" t="s">
        <v>348</v>
      </c>
      <c r="F4" s="68" t="s">
        <v>349</v>
      </c>
      <c r="G4" s="68" t="s">
        <v>333</v>
      </c>
      <c r="H4" s="68" t="s">
        <v>350</v>
      </c>
      <c r="I4" s="68" t="s">
        <v>351</v>
      </c>
      <c r="J4" s="241" t="s">
        <v>1318</v>
      </c>
      <c r="K4" t="s">
        <v>352</v>
      </c>
      <c r="L4">
        <v>5300</v>
      </c>
      <c r="M4" t="s">
        <v>353</v>
      </c>
      <c r="N4" t="s">
        <v>338</v>
      </c>
      <c r="O4" s="90" t="s">
        <v>339</v>
      </c>
      <c r="P4" t="str">
        <f t="shared" si="1"/>
        <v>Arrêté ministériel POLLEC 2020_RH_1 du 02-12-2020</v>
      </c>
    </row>
    <row r="5" spans="1:16" x14ac:dyDescent="0.25">
      <c r="A5" t="s">
        <v>354</v>
      </c>
      <c r="B5" s="89" t="s">
        <v>1319</v>
      </c>
      <c r="C5" s="95">
        <v>33600</v>
      </c>
      <c r="D5" s="95">
        <f t="shared" si="0"/>
        <v>33600</v>
      </c>
      <c r="E5" s="68" t="s">
        <v>355</v>
      </c>
      <c r="F5" s="68" t="s">
        <v>356</v>
      </c>
      <c r="G5" s="68" t="s">
        <v>333</v>
      </c>
      <c r="H5" s="68" t="s">
        <v>350</v>
      </c>
      <c r="I5" s="68" t="s">
        <v>351</v>
      </c>
      <c r="J5" s="241" t="s">
        <v>1318</v>
      </c>
      <c r="K5" t="s">
        <v>357</v>
      </c>
      <c r="L5">
        <v>4430</v>
      </c>
      <c r="M5" t="s">
        <v>358</v>
      </c>
      <c r="N5" t="s">
        <v>338</v>
      </c>
      <c r="O5" s="90" t="s">
        <v>339</v>
      </c>
      <c r="P5" t="str">
        <f t="shared" si="1"/>
        <v>Arrêté ministériel POLLEC 2020_RH_1 du 02-12-2020</v>
      </c>
    </row>
    <row r="6" spans="1:16" x14ac:dyDescent="0.25">
      <c r="A6" t="s">
        <v>359</v>
      </c>
      <c r="B6" s="89" t="s">
        <v>1319</v>
      </c>
      <c r="C6" s="95">
        <v>33600</v>
      </c>
      <c r="D6" s="95">
        <f t="shared" si="0"/>
        <v>33600</v>
      </c>
      <c r="E6" s="68" t="s">
        <v>360</v>
      </c>
      <c r="F6" s="68" t="s">
        <v>361</v>
      </c>
      <c r="G6" s="68" t="s">
        <v>333</v>
      </c>
      <c r="H6" s="68" t="s">
        <v>362</v>
      </c>
      <c r="I6" s="68" t="s">
        <v>363</v>
      </c>
      <c r="J6" s="241" t="s">
        <v>1318</v>
      </c>
      <c r="K6" t="s">
        <v>364</v>
      </c>
      <c r="L6">
        <v>6700</v>
      </c>
      <c r="M6" t="s">
        <v>365</v>
      </c>
      <c r="N6" t="s">
        <v>338</v>
      </c>
      <c r="O6" s="90" t="s">
        <v>339</v>
      </c>
      <c r="P6" t="str">
        <f t="shared" si="1"/>
        <v>Arrêté ministériel POLLEC 2020_RH_5 du 02-12-2020</v>
      </c>
    </row>
    <row r="7" spans="1:16" x14ac:dyDescent="0.25">
      <c r="A7" t="s">
        <v>366</v>
      </c>
      <c r="B7" s="89" t="s">
        <v>1319</v>
      </c>
      <c r="C7" s="95">
        <v>22400</v>
      </c>
      <c r="D7" s="95">
        <f t="shared" si="0"/>
        <v>22400</v>
      </c>
      <c r="E7" s="68" t="s">
        <v>367</v>
      </c>
      <c r="F7" s="68" t="s">
        <v>368</v>
      </c>
      <c r="G7" s="68" t="s">
        <v>333</v>
      </c>
      <c r="H7" s="68" t="s">
        <v>343</v>
      </c>
      <c r="I7" s="68" t="s">
        <v>344</v>
      </c>
      <c r="J7" s="241" t="s">
        <v>1318</v>
      </c>
      <c r="K7" t="s">
        <v>369</v>
      </c>
      <c r="L7">
        <v>5330</v>
      </c>
      <c r="M7" t="s">
        <v>370</v>
      </c>
      <c r="N7" t="s">
        <v>338</v>
      </c>
      <c r="O7" s="90" t="s">
        <v>339</v>
      </c>
      <c r="P7" t="str">
        <f t="shared" si="1"/>
        <v>Arrêté ministériel POLLEC 2020_RH_4 du 02-12-2020</v>
      </c>
    </row>
    <row r="8" spans="1:16" x14ac:dyDescent="0.25">
      <c r="A8" t="s">
        <v>371</v>
      </c>
      <c r="B8" s="89" t="s">
        <v>1319</v>
      </c>
      <c r="C8" s="95">
        <v>33600</v>
      </c>
      <c r="D8" s="95">
        <f t="shared" si="0"/>
        <v>33600</v>
      </c>
      <c r="E8" s="68" t="s">
        <v>372</v>
      </c>
      <c r="F8" s="68" t="s">
        <v>373</v>
      </c>
      <c r="G8" s="68" t="s">
        <v>333</v>
      </c>
      <c r="H8" s="68" t="s">
        <v>362</v>
      </c>
      <c r="I8" s="68" t="s">
        <v>363</v>
      </c>
      <c r="J8" s="241" t="s">
        <v>1318</v>
      </c>
      <c r="K8" t="s">
        <v>374</v>
      </c>
      <c r="L8">
        <v>7800</v>
      </c>
      <c r="M8" t="s">
        <v>375</v>
      </c>
      <c r="N8" t="s">
        <v>338</v>
      </c>
      <c r="O8" s="90" t="s">
        <v>339</v>
      </c>
      <c r="P8" t="str">
        <f t="shared" si="1"/>
        <v>Arrêté ministériel POLLEC 2020_RH_5 du 02-12-2020</v>
      </c>
    </row>
    <row r="9" spans="1:16" x14ac:dyDescent="0.25">
      <c r="A9" t="s">
        <v>376</v>
      </c>
      <c r="B9" s="89" t="s">
        <v>1319</v>
      </c>
      <c r="C9" s="95">
        <v>22400</v>
      </c>
      <c r="D9" s="95">
        <f t="shared" si="0"/>
        <v>22400</v>
      </c>
      <c r="E9" s="68" t="s">
        <v>377</v>
      </c>
      <c r="F9" s="68" t="s">
        <v>378</v>
      </c>
      <c r="G9" s="68" t="s">
        <v>333</v>
      </c>
      <c r="H9" s="68" t="s">
        <v>362</v>
      </c>
      <c r="I9" s="68" t="s">
        <v>363</v>
      </c>
      <c r="J9" s="241" t="s">
        <v>1318</v>
      </c>
      <c r="K9" t="s">
        <v>379</v>
      </c>
      <c r="L9">
        <v>6717</v>
      </c>
      <c r="M9" t="s">
        <v>380</v>
      </c>
      <c r="N9" t="s">
        <v>338</v>
      </c>
      <c r="O9" s="90" t="s">
        <v>339</v>
      </c>
      <c r="P9" t="str">
        <f t="shared" si="1"/>
        <v>Arrêté ministériel POLLEC 2020_RH_5 du 02-12-2020</v>
      </c>
    </row>
    <row r="10" spans="1:16" x14ac:dyDescent="0.25">
      <c r="A10" t="s">
        <v>381</v>
      </c>
      <c r="B10" s="89" t="s">
        <v>1319</v>
      </c>
      <c r="C10" s="95">
        <v>33600</v>
      </c>
      <c r="D10" s="95">
        <f t="shared" si="0"/>
        <v>33600</v>
      </c>
      <c r="E10" s="68" t="s">
        <v>382</v>
      </c>
      <c r="F10" s="68" t="s">
        <v>383</v>
      </c>
      <c r="G10" s="68" t="s">
        <v>333</v>
      </c>
      <c r="H10" s="68" t="s">
        <v>343</v>
      </c>
      <c r="I10" s="68" t="s">
        <v>344</v>
      </c>
      <c r="J10" s="241" t="s">
        <v>1318</v>
      </c>
      <c r="K10" t="s">
        <v>384</v>
      </c>
      <c r="L10">
        <v>6791</v>
      </c>
      <c r="M10" t="s">
        <v>385</v>
      </c>
      <c r="N10" t="s">
        <v>338</v>
      </c>
      <c r="O10" s="90" t="s">
        <v>339</v>
      </c>
      <c r="P10" t="str">
        <f t="shared" si="1"/>
        <v>Arrêté ministériel POLLEC 2020_RH_4 du 02-12-2020</v>
      </c>
    </row>
    <row r="11" spans="1:16" x14ac:dyDescent="0.25">
      <c r="A11" t="s">
        <v>386</v>
      </c>
      <c r="B11" s="89" t="s">
        <v>1319</v>
      </c>
      <c r="C11" s="95">
        <v>33600</v>
      </c>
      <c r="D11" s="95">
        <f t="shared" si="0"/>
        <v>33600</v>
      </c>
      <c r="E11" s="68" t="s">
        <v>387</v>
      </c>
      <c r="F11" s="68" t="s">
        <v>388</v>
      </c>
      <c r="G11" s="68" t="s">
        <v>333</v>
      </c>
      <c r="H11" s="68" t="s">
        <v>350</v>
      </c>
      <c r="I11" s="68" t="s">
        <v>351</v>
      </c>
      <c r="J11" s="241" t="s">
        <v>1318</v>
      </c>
      <c r="K11" t="s">
        <v>389</v>
      </c>
      <c r="L11">
        <v>4920</v>
      </c>
      <c r="M11" t="s">
        <v>390</v>
      </c>
      <c r="N11" t="s">
        <v>338</v>
      </c>
      <c r="O11" s="90" t="s">
        <v>339</v>
      </c>
      <c r="P11" t="str">
        <f t="shared" si="1"/>
        <v>Arrêté ministériel POLLEC 2020_RH_1 du 02-12-2020</v>
      </c>
    </row>
    <row r="12" spans="1:16" x14ac:dyDescent="0.25">
      <c r="A12" t="s">
        <v>1142</v>
      </c>
      <c r="B12" s="89" t="s">
        <v>1320</v>
      </c>
      <c r="C12" s="95">
        <v>22400</v>
      </c>
      <c r="D12" s="95">
        <f>C12*0.8</f>
        <v>17920</v>
      </c>
      <c r="E12" s="68" t="s">
        <v>1237</v>
      </c>
      <c r="F12" s="68" t="s">
        <v>1172</v>
      </c>
      <c r="G12" s="68" t="s">
        <v>1193</v>
      </c>
      <c r="H12" s="68" t="s">
        <v>1195</v>
      </c>
      <c r="I12" s="68" t="s">
        <v>1197</v>
      </c>
      <c r="J12" s="68">
        <v>500070344</v>
      </c>
      <c r="K12" t="s">
        <v>1290</v>
      </c>
      <c r="L12">
        <v>4690</v>
      </c>
      <c r="M12" t="s">
        <v>1207</v>
      </c>
      <c r="N12" t="s">
        <v>1227</v>
      </c>
      <c r="O12" s="240" t="s">
        <v>1291</v>
      </c>
      <c r="P12" t="str">
        <f t="shared" si="1"/>
        <v>Arrêté ministériel POLLEC 2021_P21_RH1 du 13-12-2021</v>
      </c>
    </row>
    <row r="13" spans="1:16" x14ac:dyDescent="0.25">
      <c r="A13" t="s">
        <v>391</v>
      </c>
      <c r="B13" s="89" t="s">
        <v>1319</v>
      </c>
      <c r="C13" s="95">
        <v>33600</v>
      </c>
      <c r="D13" s="95">
        <f>C13</f>
        <v>33600</v>
      </c>
      <c r="E13" s="68" t="s">
        <v>392</v>
      </c>
      <c r="F13" s="68" t="s">
        <v>393</v>
      </c>
      <c r="G13" s="68" t="s">
        <v>333</v>
      </c>
      <c r="H13" s="68" t="s">
        <v>362</v>
      </c>
      <c r="I13" s="68" t="s">
        <v>363</v>
      </c>
      <c r="J13" s="241" t="s">
        <v>1318</v>
      </c>
      <c r="K13" t="s">
        <v>394</v>
      </c>
      <c r="L13">
        <v>6600</v>
      </c>
      <c r="M13" t="s">
        <v>395</v>
      </c>
      <c r="N13" t="s">
        <v>338</v>
      </c>
      <c r="O13" s="90" t="s">
        <v>339</v>
      </c>
      <c r="P13" t="str">
        <f t="shared" si="1"/>
        <v>Arrêté ministériel POLLEC 2020_RH_5 du 02-12-2020</v>
      </c>
    </row>
    <row r="14" spans="1:16" x14ac:dyDescent="0.25">
      <c r="A14" t="s">
        <v>396</v>
      </c>
      <c r="B14" s="89" t="s">
        <v>1319</v>
      </c>
      <c r="C14" s="95">
        <v>22400</v>
      </c>
      <c r="D14" s="95">
        <f>C14</f>
        <v>22400</v>
      </c>
      <c r="E14" s="68" t="s">
        <v>397</v>
      </c>
      <c r="F14" s="68" t="s">
        <v>398</v>
      </c>
      <c r="G14" s="68" t="s">
        <v>333</v>
      </c>
      <c r="H14" s="68" t="s">
        <v>362</v>
      </c>
      <c r="I14" s="68" t="s">
        <v>363</v>
      </c>
      <c r="J14" s="241" t="s">
        <v>1318</v>
      </c>
      <c r="K14" t="s">
        <v>399</v>
      </c>
      <c r="L14">
        <v>6500</v>
      </c>
      <c r="M14" t="s">
        <v>400</v>
      </c>
      <c r="N14" t="s">
        <v>338</v>
      </c>
      <c r="O14" s="90" t="s">
        <v>339</v>
      </c>
      <c r="P14" t="str">
        <f t="shared" si="1"/>
        <v>Arrêté ministériel POLLEC 2020_RH_5 du 02-12-2020</v>
      </c>
    </row>
    <row r="15" spans="1:16" x14ac:dyDescent="0.25">
      <c r="A15" t="s">
        <v>401</v>
      </c>
      <c r="B15" s="89" t="s">
        <v>1319</v>
      </c>
      <c r="C15" s="95">
        <v>22400</v>
      </c>
      <c r="D15" s="95">
        <f>C15</f>
        <v>22400</v>
      </c>
      <c r="E15" s="68" t="s">
        <v>402</v>
      </c>
      <c r="F15" s="68" t="s">
        <v>403</v>
      </c>
      <c r="G15" s="68" t="s">
        <v>333</v>
      </c>
      <c r="H15" s="68" t="s">
        <v>350</v>
      </c>
      <c r="I15" s="68" t="s">
        <v>351</v>
      </c>
      <c r="J15" s="241" t="s">
        <v>1318</v>
      </c>
      <c r="K15" t="s">
        <v>404</v>
      </c>
      <c r="L15">
        <v>5570</v>
      </c>
      <c r="M15" t="s">
        <v>405</v>
      </c>
      <c r="N15" t="s">
        <v>338</v>
      </c>
      <c r="O15" s="90" t="s">
        <v>339</v>
      </c>
      <c r="P15" t="str">
        <f t="shared" si="1"/>
        <v>Arrêté ministériel POLLEC 2020_RH_1 du 02-12-2020</v>
      </c>
    </row>
    <row r="16" spans="1:16" x14ac:dyDescent="0.25">
      <c r="A16" t="s">
        <v>1147</v>
      </c>
      <c r="B16" s="89" t="s">
        <v>1320</v>
      </c>
      <c r="C16" s="95">
        <v>22400</v>
      </c>
      <c r="D16" s="95">
        <f>C16*0.8</f>
        <v>17920</v>
      </c>
      <c r="E16" t="s">
        <v>1242</v>
      </c>
      <c r="F16" s="68" t="s">
        <v>1177</v>
      </c>
      <c r="G16" s="68" t="s">
        <v>1193</v>
      </c>
      <c r="H16" s="68" t="s">
        <v>1195</v>
      </c>
      <c r="I16" s="68" t="s">
        <v>1197</v>
      </c>
      <c r="J16" s="68">
        <v>500070344</v>
      </c>
      <c r="K16" t="s">
        <v>1289</v>
      </c>
      <c r="L16">
        <v>1320</v>
      </c>
      <c r="M16" t="s">
        <v>1212</v>
      </c>
      <c r="N16" t="s">
        <v>1227</v>
      </c>
      <c r="O16" s="238" t="s">
        <v>1291</v>
      </c>
      <c r="P16" t="str">
        <f t="shared" si="1"/>
        <v>Arrêté ministériel POLLEC 2021_P21_RH1 du 13-12-2021</v>
      </c>
    </row>
    <row r="17" spans="1:16" x14ac:dyDescent="0.25">
      <c r="A17" t="s">
        <v>1134</v>
      </c>
      <c r="B17" s="89" t="s">
        <v>1320</v>
      </c>
      <c r="C17" s="95">
        <v>33600</v>
      </c>
      <c r="D17" s="95">
        <f>C17*0.8</f>
        <v>26880</v>
      </c>
      <c r="E17" s="68" t="s">
        <v>1229</v>
      </c>
      <c r="F17" s="68" t="s">
        <v>1164</v>
      </c>
      <c r="G17" s="68" t="s">
        <v>1193</v>
      </c>
      <c r="H17" s="68" t="s">
        <v>1195</v>
      </c>
      <c r="I17" s="68" t="s">
        <v>1197</v>
      </c>
      <c r="J17" s="68">
        <v>500070344</v>
      </c>
      <c r="K17" t="s">
        <v>1288</v>
      </c>
      <c r="L17">
        <v>7972</v>
      </c>
      <c r="M17" t="s">
        <v>1199</v>
      </c>
      <c r="N17" t="s">
        <v>1227</v>
      </c>
      <c r="O17" s="240" t="s">
        <v>1291</v>
      </c>
      <c r="P17" t="str">
        <f t="shared" si="1"/>
        <v>Arrêté ministériel POLLEC 2021_P21_RH1 du 13-12-2021</v>
      </c>
    </row>
    <row r="18" spans="1:16" x14ac:dyDescent="0.25">
      <c r="A18" t="s">
        <v>406</v>
      </c>
      <c r="B18" s="89" t="s">
        <v>1319</v>
      </c>
      <c r="C18" s="95">
        <v>33600</v>
      </c>
      <c r="D18" s="95">
        <f>C18</f>
        <v>33600</v>
      </c>
      <c r="E18" s="68" t="s">
        <v>407</v>
      </c>
      <c r="F18" s="68" t="s">
        <v>408</v>
      </c>
      <c r="G18" s="68" t="s">
        <v>333</v>
      </c>
      <c r="H18" s="68" t="s">
        <v>362</v>
      </c>
      <c r="I18" s="68" t="s">
        <v>363</v>
      </c>
      <c r="J18" s="241" t="s">
        <v>1318</v>
      </c>
      <c r="K18" t="s">
        <v>409</v>
      </c>
      <c r="L18">
        <v>7320</v>
      </c>
      <c r="M18" t="s">
        <v>410</v>
      </c>
      <c r="N18" t="s">
        <v>338</v>
      </c>
      <c r="O18" s="90" t="s">
        <v>339</v>
      </c>
      <c r="P18" t="str">
        <f t="shared" si="1"/>
        <v>Arrêté ministériel POLLEC 2020_RH_5 du 02-12-2020</v>
      </c>
    </row>
    <row r="19" spans="1:16" x14ac:dyDescent="0.25">
      <c r="A19" t="s">
        <v>411</v>
      </c>
      <c r="B19" s="89" t="s">
        <v>1319</v>
      </c>
      <c r="C19" s="95">
        <v>22400</v>
      </c>
      <c r="D19" s="95">
        <f>C19</f>
        <v>22400</v>
      </c>
      <c r="E19" s="68" t="s">
        <v>412</v>
      </c>
      <c r="F19" s="68" t="s">
        <v>413</v>
      </c>
      <c r="G19" s="68" t="s">
        <v>333</v>
      </c>
      <c r="H19" s="68" t="s">
        <v>362</v>
      </c>
      <c r="I19" s="68" t="s">
        <v>363</v>
      </c>
      <c r="J19" s="241" t="s">
        <v>1318</v>
      </c>
      <c r="K19" t="s">
        <v>414</v>
      </c>
      <c r="L19">
        <v>6687</v>
      </c>
      <c r="M19" t="s">
        <v>415</v>
      </c>
      <c r="N19" t="s">
        <v>338</v>
      </c>
      <c r="O19" s="90" t="s">
        <v>339</v>
      </c>
      <c r="P19" t="str">
        <f t="shared" si="1"/>
        <v>Arrêté ministériel POLLEC 2020_RH_5 du 02-12-2020</v>
      </c>
    </row>
    <row r="20" spans="1:16" x14ac:dyDescent="0.25">
      <c r="A20" t="s">
        <v>416</v>
      </c>
      <c r="B20" s="89" t="s">
        <v>1319</v>
      </c>
      <c r="C20" s="95">
        <v>22400</v>
      </c>
      <c r="D20" s="95">
        <f>C20</f>
        <v>22400</v>
      </c>
      <c r="E20" s="68" t="s">
        <v>417</v>
      </c>
      <c r="F20" s="68" t="s">
        <v>418</v>
      </c>
      <c r="G20" s="68" t="s">
        <v>333</v>
      </c>
      <c r="H20" s="68" t="s">
        <v>334</v>
      </c>
      <c r="I20" s="68" t="s">
        <v>335</v>
      </c>
      <c r="J20" s="241" t="s">
        <v>1318</v>
      </c>
      <c r="K20" t="s">
        <v>419</v>
      </c>
      <c r="L20">
        <v>6880</v>
      </c>
      <c r="M20" t="s">
        <v>420</v>
      </c>
      <c r="N20" t="s">
        <v>338</v>
      </c>
      <c r="O20" s="90" t="s">
        <v>339</v>
      </c>
      <c r="P20" t="str">
        <f t="shared" si="1"/>
        <v>Arrêté ministériel POLLEC 2020_RH_3 du 02-12-2020</v>
      </c>
    </row>
    <row r="21" spans="1:16" x14ac:dyDescent="0.25">
      <c r="A21" t="s">
        <v>421</v>
      </c>
      <c r="B21" s="89" t="s">
        <v>1319</v>
      </c>
      <c r="C21" s="95">
        <v>22400</v>
      </c>
      <c r="D21" s="95">
        <f>C21</f>
        <v>22400</v>
      </c>
      <c r="E21" s="68" t="s">
        <v>422</v>
      </c>
      <c r="F21" s="68" t="s">
        <v>423</v>
      </c>
      <c r="G21" s="68" t="s">
        <v>333</v>
      </c>
      <c r="H21" s="68" t="s">
        <v>362</v>
      </c>
      <c r="I21" s="68" t="s">
        <v>363</v>
      </c>
      <c r="J21" s="241" t="s">
        <v>1318</v>
      </c>
      <c r="K21" t="s">
        <v>424</v>
      </c>
      <c r="L21">
        <v>6830</v>
      </c>
      <c r="M21" t="s">
        <v>425</v>
      </c>
      <c r="N21" t="s">
        <v>338</v>
      </c>
      <c r="O21" s="90" t="s">
        <v>339</v>
      </c>
      <c r="P21" t="str">
        <f t="shared" si="1"/>
        <v>Arrêté ministériel POLLEC 2020_RH_5 du 02-12-2020</v>
      </c>
    </row>
    <row r="22" spans="1:16" x14ac:dyDescent="0.25">
      <c r="A22" t="s">
        <v>1150</v>
      </c>
      <c r="B22" s="89" t="s">
        <v>1320</v>
      </c>
      <c r="C22" s="95">
        <v>33600</v>
      </c>
      <c r="D22" s="95">
        <f>C22*0.8</f>
        <v>26880</v>
      </c>
      <c r="E22" s="68" t="s">
        <v>1243</v>
      </c>
      <c r="F22" s="68" t="s">
        <v>1180</v>
      </c>
      <c r="G22" s="68" t="s">
        <v>1193</v>
      </c>
      <c r="H22" s="68" t="s">
        <v>1195</v>
      </c>
      <c r="I22" s="68" t="s">
        <v>1197</v>
      </c>
      <c r="J22" s="68">
        <v>500070344</v>
      </c>
      <c r="K22" t="s">
        <v>1287</v>
      </c>
      <c r="L22">
        <v>7300</v>
      </c>
      <c r="M22" t="s">
        <v>1215</v>
      </c>
      <c r="N22" t="s">
        <v>1227</v>
      </c>
      <c r="O22" s="240" t="s">
        <v>1291</v>
      </c>
      <c r="P22" t="str">
        <f t="shared" si="1"/>
        <v>Arrêté ministériel POLLEC 2021_P21_RH1 du 13-12-2021</v>
      </c>
    </row>
    <row r="23" spans="1:16" x14ac:dyDescent="0.25">
      <c r="A23" t="s">
        <v>426</v>
      </c>
      <c r="B23" s="89" t="s">
        <v>1319</v>
      </c>
      <c r="C23" s="95">
        <v>33600</v>
      </c>
      <c r="D23" s="95">
        <f>C23</f>
        <v>33600</v>
      </c>
      <c r="E23" s="68" t="s">
        <v>427</v>
      </c>
      <c r="F23" s="68" t="s">
        <v>428</v>
      </c>
      <c r="G23" s="68" t="s">
        <v>333</v>
      </c>
      <c r="H23" s="68" t="s">
        <v>362</v>
      </c>
      <c r="I23" s="68" t="s">
        <v>363</v>
      </c>
      <c r="J23" s="241" t="s">
        <v>1318</v>
      </c>
      <c r="K23" t="s">
        <v>429</v>
      </c>
      <c r="L23">
        <v>1420</v>
      </c>
      <c r="M23" t="s">
        <v>430</v>
      </c>
      <c r="N23" t="s">
        <v>338</v>
      </c>
      <c r="O23" s="90" t="s">
        <v>339</v>
      </c>
      <c r="P23" t="str">
        <f t="shared" si="1"/>
        <v>Arrêté ministériel POLLEC 2020_RH_5 du 02-12-2020</v>
      </c>
    </row>
    <row r="24" spans="1:16" x14ac:dyDescent="0.25">
      <c r="A24" t="s">
        <v>431</v>
      </c>
      <c r="B24" s="89" t="s">
        <v>1319</v>
      </c>
      <c r="C24" s="95">
        <v>22400</v>
      </c>
      <c r="D24" s="95">
        <f>C24</f>
        <v>22400</v>
      </c>
      <c r="E24" s="68" t="s">
        <v>432</v>
      </c>
      <c r="F24" s="68" t="s">
        <v>433</v>
      </c>
      <c r="G24" s="68" t="s">
        <v>333</v>
      </c>
      <c r="H24" s="68" t="s">
        <v>350</v>
      </c>
      <c r="I24" s="68" t="s">
        <v>351</v>
      </c>
      <c r="J24" s="241" t="s">
        <v>1318</v>
      </c>
      <c r="K24" t="s">
        <v>434</v>
      </c>
      <c r="L24">
        <v>1440</v>
      </c>
      <c r="M24" t="s">
        <v>435</v>
      </c>
      <c r="N24" t="s">
        <v>338</v>
      </c>
      <c r="O24" s="90" t="s">
        <v>339</v>
      </c>
      <c r="P24" t="str">
        <f t="shared" si="1"/>
        <v>Arrêté ministériel POLLEC 2020_RH_1 du 02-12-2020</v>
      </c>
    </row>
    <row r="25" spans="1:16" x14ac:dyDescent="0.25">
      <c r="A25" t="s">
        <v>436</v>
      </c>
      <c r="B25" s="89" t="s">
        <v>1319</v>
      </c>
      <c r="C25" s="95">
        <v>22400</v>
      </c>
      <c r="D25" s="95">
        <f>C25</f>
        <v>22400</v>
      </c>
      <c r="E25" s="68" t="s">
        <v>437</v>
      </c>
      <c r="F25" s="68" t="s">
        <v>438</v>
      </c>
      <c r="G25" s="68" t="s">
        <v>333</v>
      </c>
      <c r="H25" s="68" t="s">
        <v>350</v>
      </c>
      <c r="I25" s="68" t="s">
        <v>351</v>
      </c>
      <c r="J25" s="241" t="s">
        <v>1318</v>
      </c>
      <c r="K25" t="s">
        <v>439</v>
      </c>
      <c r="L25">
        <v>4260</v>
      </c>
      <c r="M25" t="s">
        <v>440</v>
      </c>
      <c r="N25" t="s">
        <v>338</v>
      </c>
      <c r="O25" s="90" t="s">
        <v>339</v>
      </c>
      <c r="P25" t="str">
        <f t="shared" si="1"/>
        <v>Arrêté ministériel POLLEC 2020_RH_1 du 02-12-2020</v>
      </c>
    </row>
    <row r="26" spans="1:16" x14ac:dyDescent="0.25">
      <c r="A26" t="s">
        <v>441</v>
      </c>
      <c r="B26" s="89" t="s">
        <v>1319</v>
      </c>
      <c r="C26" s="95">
        <v>22400</v>
      </c>
      <c r="D26" s="95">
        <f>C26</f>
        <v>22400</v>
      </c>
      <c r="E26" s="68" t="s">
        <v>442</v>
      </c>
      <c r="F26" s="68" t="s">
        <v>443</v>
      </c>
      <c r="G26" s="68" t="s">
        <v>333</v>
      </c>
      <c r="H26" s="68" t="s">
        <v>362</v>
      </c>
      <c r="I26" s="68" t="s">
        <v>363</v>
      </c>
      <c r="J26" s="241" t="s">
        <v>1318</v>
      </c>
      <c r="K26" t="s">
        <v>444</v>
      </c>
      <c r="L26">
        <v>7620</v>
      </c>
      <c r="M26" t="s">
        <v>445</v>
      </c>
      <c r="N26" t="s">
        <v>338</v>
      </c>
      <c r="O26" s="90" t="s">
        <v>339</v>
      </c>
      <c r="P26" t="str">
        <f t="shared" si="1"/>
        <v>Arrêté ministériel POLLEC 2020_RH_5 du 02-12-2020</v>
      </c>
    </row>
    <row r="27" spans="1:16" x14ac:dyDescent="0.25">
      <c r="A27" t="s">
        <v>1152</v>
      </c>
      <c r="B27" s="89" t="s">
        <v>1320</v>
      </c>
      <c r="C27" s="95">
        <v>22400</v>
      </c>
      <c r="D27" s="95">
        <f>C27*0.8</f>
        <v>17920</v>
      </c>
      <c r="E27" s="68" t="s">
        <v>1244</v>
      </c>
      <c r="F27" s="68" t="s">
        <v>1182</v>
      </c>
      <c r="G27" s="68" t="s">
        <v>1193</v>
      </c>
      <c r="H27" s="68" t="s">
        <v>1195</v>
      </c>
      <c r="I27" s="68" t="s">
        <v>1197</v>
      </c>
      <c r="J27" s="68">
        <v>500070344</v>
      </c>
      <c r="K27" t="s">
        <v>1286</v>
      </c>
      <c r="L27">
        <v>4210</v>
      </c>
      <c r="M27" t="s">
        <v>1217</v>
      </c>
      <c r="N27" t="s">
        <v>1227</v>
      </c>
      <c r="O27" s="240" t="s">
        <v>1291</v>
      </c>
      <c r="P27" t="str">
        <f t="shared" si="1"/>
        <v>Arrêté ministériel POLLEC 2021_P21_RH1 du 13-12-2021</v>
      </c>
    </row>
    <row r="28" spans="1:16" x14ac:dyDescent="0.25">
      <c r="A28" t="s">
        <v>446</v>
      </c>
      <c r="B28" s="89" t="s">
        <v>1319</v>
      </c>
      <c r="C28" s="95">
        <v>134400</v>
      </c>
      <c r="D28" s="95">
        <f>C28</f>
        <v>134400</v>
      </c>
      <c r="E28" s="95" t="s">
        <v>447</v>
      </c>
      <c r="F28" s="68" t="s">
        <v>448</v>
      </c>
      <c r="G28" s="68" t="s">
        <v>449</v>
      </c>
      <c r="H28" s="68" t="s">
        <v>450</v>
      </c>
      <c r="I28" s="68" t="s">
        <v>451</v>
      </c>
      <c r="J28" s="241" t="s">
        <v>1318</v>
      </c>
      <c r="K28" t="s">
        <v>452</v>
      </c>
      <c r="L28">
        <v>5000</v>
      </c>
      <c r="M28" t="s">
        <v>836</v>
      </c>
      <c r="N28" t="s">
        <v>338</v>
      </c>
      <c r="O28" s="90" t="s">
        <v>339</v>
      </c>
      <c r="P28" t="str">
        <f t="shared" si="1"/>
        <v>Arrêté ministériel POLLEC 2020_SUPRA_RH_2 du 02-12-2020</v>
      </c>
    </row>
    <row r="29" spans="1:16" x14ac:dyDescent="0.25">
      <c r="A29" t="s">
        <v>454</v>
      </c>
      <c r="B29" s="89" t="s">
        <v>1319</v>
      </c>
      <c r="C29" s="95">
        <v>22400</v>
      </c>
      <c r="D29" s="95">
        <f>C29</f>
        <v>22400</v>
      </c>
      <c r="E29" s="68" t="s">
        <v>455</v>
      </c>
      <c r="F29" s="68" t="s">
        <v>456</v>
      </c>
      <c r="G29" s="68" t="s">
        <v>333</v>
      </c>
      <c r="H29" s="68" t="s">
        <v>334</v>
      </c>
      <c r="I29" s="68" t="s">
        <v>335</v>
      </c>
      <c r="J29" s="241" t="s">
        <v>1318</v>
      </c>
      <c r="K29" t="s">
        <v>457</v>
      </c>
      <c r="L29">
        <v>7760</v>
      </c>
      <c r="M29" t="s">
        <v>458</v>
      </c>
      <c r="N29" t="s">
        <v>338</v>
      </c>
      <c r="O29" s="90" t="s">
        <v>339</v>
      </c>
      <c r="P29" t="str">
        <f t="shared" si="1"/>
        <v>Arrêté ministériel POLLEC 2020_RH_3 du 02-12-2020</v>
      </c>
    </row>
    <row r="30" spans="1:16" x14ac:dyDescent="0.25">
      <c r="A30" t="s">
        <v>459</v>
      </c>
      <c r="B30" s="89" t="s">
        <v>1319</v>
      </c>
      <c r="C30" s="95">
        <v>33600</v>
      </c>
      <c r="D30" s="95">
        <f>C30</f>
        <v>33600</v>
      </c>
      <c r="E30" s="68" t="s">
        <v>460</v>
      </c>
      <c r="F30" s="68" t="s">
        <v>461</v>
      </c>
      <c r="G30" s="68" t="s">
        <v>333</v>
      </c>
      <c r="H30" s="68" t="s">
        <v>362</v>
      </c>
      <c r="I30" s="68" t="s">
        <v>363</v>
      </c>
      <c r="J30" s="241" t="s">
        <v>1318</v>
      </c>
      <c r="K30" t="s">
        <v>462</v>
      </c>
      <c r="L30">
        <v>7160</v>
      </c>
      <c r="M30" t="s">
        <v>463</v>
      </c>
      <c r="N30" t="s">
        <v>338</v>
      </c>
      <c r="O30" s="90" t="s">
        <v>339</v>
      </c>
      <c r="P30" t="str">
        <f t="shared" si="1"/>
        <v>Arrêté ministériel POLLEC 2020_RH_5 du 02-12-2020</v>
      </c>
    </row>
    <row r="31" spans="1:16" x14ac:dyDescent="0.25">
      <c r="A31" t="s">
        <v>464</v>
      </c>
      <c r="B31" s="89" t="s">
        <v>1319</v>
      </c>
      <c r="C31" s="95">
        <v>67200</v>
      </c>
      <c r="D31" s="95">
        <f>C31</f>
        <v>67200</v>
      </c>
      <c r="E31" s="68" t="s">
        <v>465</v>
      </c>
      <c r="F31" s="68" t="s">
        <v>466</v>
      </c>
      <c r="G31" s="68" t="s">
        <v>333</v>
      </c>
      <c r="H31" s="68" t="s">
        <v>362</v>
      </c>
      <c r="I31" s="68" t="s">
        <v>363</v>
      </c>
      <c r="J31" s="241" t="s">
        <v>1318</v>
      </c>
      <c r="K31" t="s">
        <v>467</v>
      </c>
      <c r="L31">
        <v>6000</v>
      </c>
      <c r="M31" t="s">
        <v>468</v>
      </c>
      <c r="N31" t="s">
        <v>338</v>
      </c>
      <c r="O31" s="90" t="s">
        <v>339</v>
      </c>
      <c r="P31" t="str">
        <f t="shared" si="1"/>
        <v>Arrêté ministériel POLLEC 2020_RH_5 du 02-12-2020</v>
      </c>
    </row>
    <row r="32" spans="1:16" x14ac:dyDescent="0.25">
      <c r="A32" t="s">
        <v>1146</v>
      </c>
      <c r="B32" s="89" t="s">
        <v>1320</v>
      </c>
      <c r="C32" s="95">
        <v>33600</v>
      </c>
      <c r="D32" s="95">
        <f>C32*0.8</f>
        <v>26880</v>
      </c>
      <c r="E32" t="s">
        <v>1241</v>
      </c>
      <c r="F32" s="68" t="s">
        <v>1176</v>
      </c>
      <c r="G32" s="68" t="s">
        <v>1193</v>
      </c>
      <c r="H32" s="68" t="s">
        <v>1195</v>
      </c>
      <c r="I32" s="68" t="s">
        <v>1197</v>
      </c>
      <c r="J32" s="68">
        <v>500070344</v>
      </c>
      <c r="K32" t="s">
        <v>1285</v>
      </c>
      <c r="L32">
        <v>6200</v>
      </c>
      <c r="M32" t="s">
        <v>1211</v>
      </c>
      <c r="N32" t="s">
        <v>1227</v>
      </c>
      <c r="O32" s="238" t="s">
        <v>1291</v>
      </c>
      <c r="P32" t="str">
        <f t="shared" si="1"/>
        <v>Arrêté ministériel POLLEC 2021_P21_RH1 du 13-12-2021</v>
      </c>
    </row>
    <row r="33" spans="1:16" x14ac:dyDescent="0.25">
      <c r="A33" t="s">
        <v>1160</v>
      </c>
      <c r="B33" s="89" t="s">
        <v>1320</v>
      </c>
      <c r="C33" s="95">
        <v>33600</v>
      </c>
      <c r="D33" s="95">
        <f>C33*0.8</f>
        <v>26880</v>
      </c>
      <c r="E33" s="68" t="s">
        <v>1245</v>
      </c>
      <c r="F33" s="68" t="s">
        <v>1190</v>
      </c>
      <c r="G33" s="68" t="s">
        <v>1193</v>
      </c>
      <c r="H33" s="68" t="s">
        <v>1194</v>
      </c>
      <c r="I33" s="68" t="s">
        <v>1196</v>
      </c>
      <c r="J33" s="68">
        <v>500070345</v>
      </c>
      <c r="K33" t="s">
        <v>1284</v>
      </c>
      <c r="L33">
        <v>4053</v>
      </c>
      <c r="M33" t="s">
        <v>1225</v>
      </c>
      <c r="N33" t="s">
        <v>1227</v>
      </c>
      <c r="O33" s="240" t="s">
        <v>1291</v>
      </c>
      <c r="P33" t="str">
        <f t="shared" si="1"/>
        <v>Arrêté ministériel POLLEC 2021_P21_RH2 du 13-12-2021</v>
      </c>
    </row>
    <row r="34" spans="1:16" x14ac:dyDescent="0.25">
      <c r="A34" t="s">
        <v>469</v>
      </c>
      <c r="B34" s="89" t="s">
        <v>1319</v>
      </c>
      <c r="C34" s="95">
        <v>33600</v>
      </c>
      <c r="D34" s="95">
        <f t="shared" ref="D34:D39" si="2">C34</f>
        <v>33600</v>
      </c>
      <c r="E34" s="68" t="s">
        <v>470</v>
      </c>
      <c r="F34" s="68" t="s">
        <v>471</v>
      </c>
      <c r="G34" s="68" t="s">
        <v>333</v>
      </c>
      <c r="H34" s="68" t="s">
        <v>362</v>
      </c>
      <c r="I34" s="68" t="s">
        <v>363</v>
      </c>
      <c r="J34" s="241" t="s">
        <v>1318</v>
      </c>
      <c r="K34" t="s">
        <v>472</v>
      </c>
      <c r="L34">
        <v>1325</v>
      </c>
      <c r="M34" t="s">
        <v>473</v>
      </c>
      <c r="N34" t="s">
        <v>338</v>
      </c>
      <c r="O34" s="90" t="s">
        <v>339</v>
      </c>
      <c r="P34" t="str">
        <f t="shared" ref="P34:P65" si="3">CONCATENATE(N34,H34,O34)</f>
        <v>Arrêté ministériel POLLEC 2020_RH_5 du 02-12-2020</v>
      </c>
    </row>
    <row r="35" spans="1:16" x14ac:dyDescent="0.25">
      <c r="A35" t="s">
        <v>474</v>
      </c>
      <c r="B35" s="89" t="s">
        <v>1319</v>
      </c>
      <c r="C35" s="95">
        <v>22400</v>
      </c>
      <c r="D35" s="95">
        <f t="shared" si="2"/>
        <v>22400</v>
      </c>
      <c r="E35" s="68" t="s">
        <v>475</v>
      </c>
      <c r="F35" s="68" t="s">
        <v>476</v>
      </c>
      <c r="G35" s="68" t="s">
        <v>333</v>
      </c>
      <c r="H35" s="68" t="s">
        <v>362</v>
      </c>
      <c r="I35" s="68" t="s">
        <v>363</v>
      </c>
      <c r="J35" s="241" t="s">
        <v>1318</v>
      </c>
      <c r="K35" t="s">
        <v>477</v>
      </c>
      <c r="L35">
        <v>7950</v>
      </c>
      <c r="M35" t="s">
        <v>478</v>
      </c>
      <c r="N35" t="s">
        <v>338</v>
      </c>
      <c r="O35" s="90" t="s">
        <v>339</v>
      </c>
      <c r="P35" t="str">
        <f t="shared" si="3"/>
        <v>Arrêté ministériel POLLEC 2020_RH_5 du 02-12-2020</v>
      </c>
    </row>
    <row r="36" spans="1:16" x14ac:dyDescent="0.25">
      <c r="A36" t="s">
        <v>479</v>
      </c>
      <c r="B36" s="89" t="s">
        <v>1319</v>
      </c>
      <c r="C36" s="95">
        <v>22400</v>
      </c>
      <c r="D36" s="95">
        <f t="shared" si="2"/>
        <v>22400</v>
      </c>
      <c r="E36" s="68" t="s">
        <v>480</v>
      </c>
      <c r="F36" s="68" t="s">
        <v>481</v>
      </c>
      <c r="G36" s="68" t="s">
        <v>333</v>
      </c>
      <c r="H36" s="68" t="s">
        <v>334</v>
      </c>
      <c r="I36" s="68" t="s">
        <v>335</v>
      </c>
      <c r="J36" s="241" t="s">
        <v>1318</v>
      </c>
      <c r="K36" t="s">
        <v>482</v>
      </c>
      <c r="L36">
        <v>6460</v>
      </c>
      <c r="M36" t="s">
        <v>483</v>
      </c>
      <c r="N36" t="s">
        <v>338</v>
      </c>
      <c r="O36" s="90" t="s">
        <v>339</v>
      </c>
      <c r="P36" t="str">
        <f t="shared" si="3"/>
        <v>Arrêté ministériel POLLEC 2020_RH_3 du 02-12-2020</v>
      </c>
    </row>
    <row r="37" spans="1:16" x14ac:dyDescent="0.25">
      <c r="A37" t="s">
        <v>484</v>
      </c>
      <c r="B37" s="89" t="s">
        <v>1319</v>
      </c>
      <c r="C37" s="95">
        <v>22400</v>
      </c>
      <c r="D37" s="95">
        <f t="shared" si="2"/>
        <v>22400</v>
      </c>
      <c r="E37" s="68" t="s">
        <v>485</v>
      </c>
      <c r="F37" s="68" t="s">
        <v>486</v>
      </c>
      <c r="G37" s="68" t="s">
        <v>333</v>
      </c>
      <c r="H37" s="68" t="s">
        <v>362</v>
      </c>
      <c r="I37" s="68" t="s">
        <v>363</v>
      </c>
      <c r="J37" s="241" t="s">
        <v>1318</v>
      </c>
      <c r="K37" t="s">
        <v>487</v>
      </c>
      <c r="L37">
        <v>6810</v>
      </c>
      <c r="M37" t="s">
        <v>488</v>
      </c>
      <c r="N37" t="s">
        <v>338</v>
      </c>
      <c r="O37" s="90" t="s">
        <v>339</v>
      </c>
      <c r="P37" t="str">
        <f t="shared" si="3"/>
        <v>Arrêté ministériel POLLEC 2020_RH_5 du 02-12-2020</v>
      </c>
    </row>
    <row r="38" spans="1:16" x14ac:dyDescent="0.25">
      <c r="A38" t="s">
        <v>489</v>
      </c>
      <c r="B38" s="89" t="s">
        <v>1319</v>
      </c>
      <c r="C38" s="95">
        <v>33600</v>
      </c>
      <c r="D38" s="95">
        <f t="shared" si="2"/>
        <v>33600</v>
      </c>
      <c r="E38" s="68" t="s">
        <v>490</v>
      </c>
      <c r="F38" s="68" t="s">
        <v>491</v>
      </c>
      <c r="G38" s="68" t="s">
        <v>333</v>
      </c>
      <c r="H38" s="68" t="s">
        <v>350</v>
      </c>
      <c r="I38" s="68" t="s">
        <v>351</v>
      </c>
      <c r="J38" s="241" t="s">
        <v>1318</v>
      </c>
      <c r="K38" t="s">
        <v>492</v>
      </c>
      <c r="L38">
        <v>7780</v>
      </c>
      <c r="M38" t="s">
        <v>493</v>
      </c>
      <c r="N38" t="s">
        <v>338</v>
      </c>
      <c r="O38" s="90" t="s">
        <v>339</v>
      </c>
      <c r="P38" t="str">
        <f t="shared" si="3"/>
        <v>Arrêté ministériel POLLEC 2020_RH_1 du 02-12-2020</v>
      </c>
    </row>
    <row r="39" spans="1:16" x14ac:dyDescent="0.25">
      <c r="A39" t="s">
        <v>494</v>
      </c>
      <c r="B39" s="89" t="s">
        <v>1319</v>
      </c>
      <c r="C39" s="95">
        <v>134400</v>
      </c>
      <c r="D39" s="95">
        <f t="shared" si="2"/>
        <v>134400</v>
      </c>
      <c r="E39" s="95" t="s">
        <v>495</v>
      </c>
      <c r="F39" s="68" t="s">
        <v>496</v>
      </c>
      <c r="G39" s="68" t="s">
        <v>449</v>
      </c>
      <c r="H39" s="68" t="s">
        <v>450</v>
      </c>
      <c r="I39" s="68" t="s">
        <v>451</v>
      </c>
      <c r="J39" s="241" t="s">
        <v>1318</v>
      </c>
      <c r="K39" t="s">
        <v>497</v>
      </c>
      <c r="L39">
        <v>6730</v>
      </c>
      <c r="M39" t="s">
        <v>498</v>
      </c>
      <c r="N39" t="s">
        <v>338</v>
      </c>
      <c r="O39" s="90" t="s">
        <v>339</v>
      </c>
      <c r="P39" t="str">
        <f t="shared" si="3"/>
        <v>Arrêté ministériel POLLEC 2020_SUPRA_RH_2 du 02-12-2020</v>
      </c>
    </row>
    <row r="40" spans="1:16" x14ac:dyDescent="0.25">
      <c r="A40" t="s">
        <v>1136</v>
      </c>
      <c r="B40" s="89" t="s">
        <v>1320</v>
      </c>
      <c r="C40" s="95">
        <v>33600</v>
      </c>
      <c r="D40" s="95">
        <f>C40*0.8</f>
        <v>26880</v>
      </c>
      <c r="E40" s="68" t="s">
        <v>1231</v>
      </c>
      <c r="F40" s="68" t="s">
        <v>1166</v>
      </c>
      <c r="G40" s="68" t="s">
        <v>1193</v>
      </c>
      <c r="H40" s="68" t="s">
        <v>1194</v>
      </c>
      <c r="I40" s="68" t="s">
        <v>1196</v>
      </c>
      <c r="J40" s="68">
        <v>500070345</v>
      </c>
      <c r="K40" t="s">
        <v>1283</v>
      </c>
      <c r="L40">
        <v>6180</v>
      </c>
      <c r="M40" t="s">
        <v>1201</v>
      </c>
      <c r="N40" t="s">
        <v>1227</v>
      </c>
      <c r="O40" s="238" t="s">
        <v>1291</v>
      </c>
      <c r="P40" t="str">
        <f t="shared" si="3"/>
        <v>Arrêté ministériel POLLEC 2021_P21_RH2 du 13-12-2021</v>
      </c>
    </row>
    <row r="41" spans="1:16" x14ac:dyDescent="0.25">
      <c r="A41" t="s">
        <v>499</v>
      </c>
      <c r="B41" s="89" t="s">
        <v>1319</v>
      </c>
      <c r="C41" s="95">
        <v>22400</v>
      </c>
      <c r="D41" s="95">
        <f t="shared" ref="D41:D50" si="4">C41</f>
        <v>22400</v>
      </c>
      <c r="E41" s="68" t="s">
        <v>500</v>
      </c>
      <c r="F41" s="68" t="s">
        <v>501</v>
      </c>
      <c r="G41" s="68" t="s">
        <v>333</v>
      </c>
      <c r="H41" s="68" t="s">
        <v>343</v>
      </c>
      <c r="I41" s="68" t="s">
        <v>344</v>
      </c>
      <c r="J41" s="241" t="s">
        <v>1318</v>
      </c>
      <c r="K41" t="s">
        <v>502</v>
      </c>
      <c r="L41">
        <v>1490</v>
      </c>
      <c r="M41" t="s">
        <v>503</v>
      </c>
      <c r="N41" t="s">
        <v>338</v>
      </c>
      <c r="O41" s="90" t="s">
        <v>339</v>
      </c>
      <c r="P41" t="str">
        <f t="shared" si="3"/>
        <v>Arrêté ministériel POLLEC 2020_RH_4 du 02-12-2020</v>
      </c>
    </row>
    <row r="42" spans="1:16" x14ac:dyDescent="0.25">
      <c r="A42" t="s">
        <v>504</v>
      </c>
      <c r="B42" s="89" t="s">
        <v>1319</v>
      </c>
      <c r="C42" s="95">
        <v>33600</v>
      </c>
      <c r="D42" s="95">
        <f t="shared" si="4"/>
        <v>33600</v>
      </c>
      <c r="E42" s="68" t="s">
        <v>505</v>
      </c>
      <c r="F42" s="68" t="s">
        <v>506</v>
      </c>
      <c r="G42" s="68" t="s">
        <v>333</v>
      </c>
      <c r="H42" s="68" t="s">
        <v>334</v>
      </c>
      <c r="I42" s="68" t="s">
        <v>335</v>
      </c>
      <c r="J42" s="241" t="s">
        <v>1318</v>
      </c>
      <c r="K42" t="s">
        <v>507</v>
      </c>
      <c r="L42">
        <v>5660</v>
      </c>
      <c r="M42" t="s">
        <v>508</v>
      </c>
      <c r="N42" t="s">
        <v>338</v>
      </c>
      <c r="O42" s="90" t="s">
        <v>339</v>
      </c>
      <c r="P42" t="str">
        <f t="shared" si="3"/>
        <v>Arrêté ministériel POLLEC 2020_RH_3 du 02-12-2020</v>
      </c>
    </row>
    <row r="43" spans="1:16" x14ac:dyDescent="0.25">
      <c r="A43" t="s">
        <v>509</v>
      </c>
      <c r="B43" s="89" t="s">
        <v>1319</v>
      </c>
      <c r="C43" s="95">
        <v>22400</v>
      </c>
      <c r="D43" s="95">
        <f t="shared" si="4"/>
        <v>22400</v>
      </c>
      <c r="E43" s="68" t="s">
        <v>510</v>
      </c>
      <c r="F43" s="68" t="s">
        <v>511</v>
      </c>
      <c r="G43" s="68" t="s">
        <v>333</v>
      </c>
      <c r="H43" s="68" t="s">
        <v>362</v>
      </c>
      <c r="I43" s="68" t="s">
        <v>363</v>
      </c>
      <c r="J43" s="241" t="s">
        <v>1318</v>
      </c>
      <c r="K43" t="s">
        <v>512</v>
      </c>
      <c r="L43">
        <v>4607</v>
      </c>
      <c r="M43" t="s">
        <v>513</v>
      </c>
      <c r="N43" t="s">
        <v>338</v>
      </c>
      <c r="O43" s="90" t="s">
        <v>339</v>
      </c>
      <c r="P43" t="str">
        <f t="shared" si="3"/>
        <v>Arrêté ministériel POLLEC 2020_RH_5 du 02-12-2020</v>
      </c>
    </row>
    <row r="44" spans="1:16" x14ac:dyDescent="0.25">
      <c r="A44" t="s">
        <v>514</v>
      </c>
      <c r="B44" s="89" t="s">
        <v>1319</v>
      </c>
      <c r="C44" s="95">
        <v>33600</v>
      </c>
      <c r="D44" s="95">
        <f t="shared" si="4"/>
        <v>33600</v>
      </c>
      <c r="E44" s="68" t="s">
        <v>515</v>
      </c>
      <c r="F44" s="68" t="s">
        <v>516</v>
      </c>
      <c r="G44" s="68" t="s">
        <v>333</v>
      </c>
      <c r="H44" s="68" t="s">
        <v>350</v>
      </c>
      <c r="I44" s="68" t="s">
        <v>351</v>
      </c>
      <c r="J44" s="241" t="s">
        <v>1318</v>
      </c>
      <c r="K44" t="s">
        <v>517</v>
      </c>
      <c r="L44">
        <v>5500</v>
      </c>
      <c r="M44" t="s">
        <v>518</v>
      </c>
      <c r="N44" t="s">
        <v>338</v>
      </c>
      <c r="O44" s="90" t="s">
        <v>339</v>
      </c>
      <c r="P44" t="str">
        <f t="shared" si="3"/>
        <v>Arrêté ministériel POLLEC 2020_RH_1 du 02-12-2020</v>
      </c>
    </row>
    <row r="45" spans="1:16" x14ac:dyDescent="0.25">
      <c r="A45" t="s">
        <v>519</v>
      </c>
      <c r="B45" s="89" t="s">
        <v>1319</v>
      </c>
      <c r="C45" s="95">
        <v>33600</v>
      </c>
      <c r="D45" s="95">
        <f t="shared" si="4"/>
        <v>33600</v>
      </c>
      <c r="E45" s="68" t="s">
        <v>520</v>
      </c>
      <c r="F45" s="68" t="s">
        <v>521</v>
      </c>
      <c r="G45" s="68" t="s">
        <v>333</v>
      </c>
      <c r="H45" s="68" t="s">
        <v>522</v>
      </c>
      <c r="I45" s="68" t="s">
        <v>523</v>
      </c>
      <c r="J45" s="241" t="s">
        <v>1318</v>
      </c>
      <c r="K45" t="s">
        <v>524</v>
      </c>
      <c r="L45">
        <v>4820</v>
      </c>
      <c r="M45" t="s">
        <v>525</v>
      </c>
      <c r="N45" t="s">
        <v>338</v>
      </c>
      <c r="O45" s="90" t="s">
        <v>339</v>
      </c>
      <c r="P45" t="str">
        <f t="shared" si="3"/>
        <v>Arrêté ministériel POLLEC 2020_RH_2 du 02-12-2020</v>
      </c>
    </row>
    <row r="46" spans="1:16" x14ac:dyDescent="0.25">
      <c r="A46" t="s">
        <v>526</v>
      </c>
      <c r="B46" s="89" t="s">
        <v>1319</v>
      </c>
      <c r="C46" s="95">
        <v>33600</v>
      </c>
      <c r="D46" s="95">
        <f t="shared" si="4"/>
        <v>33600</v>
      </c>
      <c r="E46" s="68" t="s">
        <v>527</v>
      </c>
      <c r="F46" s="68" t="s">
        <v>528</v>
      </c>
      <c r="G46" s="68" t="s">
        <v>333</v>
      </c>
      <c r="H46" s="68" t="s">
        <v>362</v>
      </c>
      <c r="I46" s="68" t="s">
        <v>363</v>
      </c>
      <c r="J46" s="241" t="s">
        <v>1318</v>
      </c>
      <c r="K46" t="s">
        <v>529</v>
      </c>
      <c r="L46">
        <v>6940</v>
      </c>
      <c r="M46" t="s">
        <v>530</v>
      </c>
      <c r="N46" t="s">
        <v>338</v>
      </c>
      <c r="O46" s="90" t="s">
        <v>339</v>
      </c>
      <c r="P46" t="str">
        <f t="shared" si="3"/>
        <v>Arrêté ministériel POLLEC 2020_RH_5 du 02-12-2020</v>
      </c>
    </row>
    <row r="47" spans="1:16" x14ac:dyDescent="0.25">
      <c r="A47" t="s">
        <v>531</v>
      </c>
      <c r="B47" s="89" t="s">
        <v>1319</v>
      </c>
      <c r="C47" s="95">
        <v>33600</v>
      </c>
      <c r="D47" s="95">
        <f t="shared" si="4"/>
        <v>33600</v>
      </c>
      <c r="E47" s="68" t="s">
        <v>532</v>
      </c>
      <c r="F47" s="68" t="s">
        <v>533</v>
      </c>
      <c r="G47" s="68" t="s">
        <v>333</v>
      </c>
      <c r="H47" s="68" t="s">
        <v>522</v>
      </c>
      <c r="I47" s="68" t="s">
        <v>523</v>
      </c>
      <c r="J47" s="241" t="s">
        <v>1318</v>
      </c>
      <c r="K47" t="s">
        <v>534</v>
      </c>
      <c r="L47">
        <v>7190</v>
      </c>
      <c r="M47" t="s">
        <v>535</v>
      </c>
      <c r="N47" t="s">
        <v>338</v>
      </c>
      <c r="O47" s="90" t="s">
        <v>339</v>
      </c>
      <c r="P47" t="str">
        <f t="shared" si="3"/>
        <v>Arrêté ministériel POLLEC 2020_RH_2 du 02-12-2020</v>
      </c>
    </row>
    <row r="48" spans="1:16" x14ac:dyDescent="0.25">
      <c r="A48" t="s">
        <v>536</v>
      </c>
      <c r="B48" s="89" t="s">
        <v>1319</v>
      </c>
      <c r="C48" s="95">
        <v>33600</v>
      </c>
      <c r="D48" s="95">
        <f t="shared" si="4"/>
        <v>33600</v>
      </c>
      <c r="E48" s="68" t="s">
        <v>537</v>
      </c>
      <c r="F48" s="68" t="s">
        <v>538</v>
      </c>
      <c r="G48" s="68" t="s">
        <v>333</v>
      </c>
      <c r="H48" s="68" t="s">
        <v>362</v>
      </c>
      <c r="I48" s="68" t="s">
        <v>363</v>
      </c>
      <c r="J48" s="241" t="s">
        <v>1318</v>
      </c>
      <c r="K48" t="s">
        <v>539</v>
      </c>
      <c r="L48">
        <v>5310</v>
      </c>
      <c r="M48" t="s">
        <v>540</v>
      </c>
      <c r="N48" t="s">
        <v>338</v>
      </c>
      <c r="O48" s="90" t="s">
        <v>339</v>
      </c>
      <c r="P48" t="str">
        <f t="shared" si="3"/>
        <v>Arrêté ministériel POLLEC 2020_RH_5 du 02-12-2020</v>
      </c>
    </row>
    <row r="49" spans="1:16" x14ac:dyDescent="0.25">
      <c r="A49" t="s">
        <v>541</v>
      </c>
      <c r="B49" s="89" t="s">
        <v>1319</v>
      </c>
      <c r="C49" s="95">
        <v>33600</v>
      </c>
      <c r="D49" s="95">
        <f t="shared" si="4"/>
        <v>33600</v>
      </c>
      <c r="E49" s="68" t="s">
        <v>542</v>
      </c>
      <c r="F49" s="68" t="s">
        <v>543</v>
      </c>
      <c r="G49" s="68" t="s">
        <v>333</v>
      </c>
      <c r="H49" s="68" t="s">
        <v>362</v>
      </c>
      <c r="I49" s="68" t="s">
        <v>363</v>
      </c>
      <c r="J49" s="241" t="s">
        <v>1318</v>
      </c>
      <c r="K49" t="s">
        <v>544</v>
      </c>
      <c r="L49">
        <v>7850</v>
      </c>
      <c r="M49" t="s">
        <v>545</v>
      </c>
      <c r="N49" t="s">
        <v>338</v>
      </c>
      <c r="O49" s="90" t="s">
        <v>339</v>
      </c>
      <c r="P49" t="str">
        <f t="shared" si="3"/>
        <v>Arrêté ministériel POLLEC 2020_RH_5 du 02-12-2020</v>
      </c>
    </row>
    <row r="50" spans="1:16" x14ac:dyDescent="0.25">
      <c r="A50" t="s">
        <v>546</v>
      </c>
      <c r="B50" s="89" t="s">
        <v>1319</v>
      </c>
      <c r="C50" s="95">
        <v>22400</v>
      </c>
      <c r="D50" s="95">
        <f t="shared" si="4"/>
        <v>22400</v>
      </c>
      <c r="E50" s="68" t="s">
        <v>547</v>
      </c>
      <c r="F50" s="68" t="s">
        <v>548</v>
      </c>
      <c r="G50" s="68" t="s">
        <v>333</v>
      </c>
      <c r="H50" s="68" t="s">
        <v>362</v>
      </c>
      <c r="I50" s="68" t="s">
        <v>363</v>
      </c>
      <c r="J50" s="241" t="s">
        <v>1318</v>
      </c>
      <c r="K50" t="s">
        <v>549</v>
      </c>
      <c r="L50">
        <v>4480</v>
      </c>
      <c r="M50" t="s">
        <v>550</v>
      </c>
      <c r="N50" t="s">
        <v>338</v>
      </c>
      <c r="O50" s="90" t="s">
        <v>339</v>
      </c>
      <c r="P50" t="str">
        <f t="shared" si="3"/>
        <v>Arrêté ministériel POLLEC 2020_RH_5 du 02-12-2020</v>
      </c>
    </row>
    <row r="51" spans="1:16" x14ac:dyDescent="0.25">
      <c r="A51" t="s">
        <v>1156</v>
      </c>
      <c r="B51" s="89" t="s">
        <v>1320</v>
      </c>
      <c r="C51" s="95">
        <v>22400</v>
      </c>
      <c r="D51" s="95">
        <f>C51*0.8</f>
        <v>17920</v>
      </c>
      <c r="E51" s="68" t="s">
        <v>1246</v>
      </c>
      <c r="F51" s="68" t="s">
        <v>1186</v>
      </c>
      <c r="G51" s="68" t="s">
        <v>1193</v>
      </c>
      <c r="H51" s="68" t="s">
        <v>1195</v>
      </c>
      <c r="I51" s="68" t="s">
        <v>1197</v>
      </c>
      <c r="J51" s="68">
        <v>500070344</v>
      </c>
      <c r="K51" t="s">
        <v>1282</v>
      </c>
      <c r="L51">
        <v>6997</v>
      </c>
      <c r="M51" t="s">
        <v>1221</v>
      </c>
      <c r="N51" t="s">
        <v>1227</v>
      </c>
      <c r="O51" s="238" t="s">
        <v>1291</v>
      </c>
      <c r="P51" t="str">
        <f t="shared" si="3"/>
        <v>Arrêté ministériel POLLEC 2021_P21_RH1 du 13-12-2021</v>
      </c>
    </row>
    <row r="52" spans="1:16" x14ac:dyDescent="0.25">
      <c r="A52" t="s">
        <v>551</v>
      </c>
      <c r="B52" s="89" t="s">
        <v>1319</v>
      </c>
      <c r="C52" s="95">
        <v>33600</v>
      </c>
      <c r="D52" s="95">
        <f t="shared" ref="D52:D57" si="5">C52</f>
        <v>33600</v>
      </c>
      <c r="E52" s="68" t="s">
        <v>552</v>
      </c>
      <c r="F52" s="68" t="s">
        <v>553</v>
      </c>
      <c r="G52" s="68" t="s">
        <v>333</v>
      </c>
      <c r="H52" s="68" t="s">
        <v>350</v>
      </c>
      <c r="I52" s="68" t="s">
        <v>351</v>
      </c>
      <c r="J52" s="241" t="s">
        <v>1318</v>
      </c>
      <c r="K52" t="s">
        <v>554</v>
      </c>
      <c r="L52">
        <v>4130</v>
      </c>
      <c r="M52" t="s">
        <v>555</v>
      </c>
      <c r="N52" t="s">
        <v>338</v>
      </c>
      <c r="O52" s="90" t="s">
        <v>339</v>
      </c>
      <c r="P52" t="str">
        <f t="shared" si="3"/>
        <v>Arrêté ministériel POLLEC 2020_RH_1 du 02-12-2020</v>
      </c>
    </row>
    <row r="53" spans="1:16" x14ac:dyDescent="0.25">
      <c r="A53" t="s">
        <v>556</v>
      </c>
      <c r="B53" s="89" t="s">
        <v>1319</v>
      </c>
      <c r="C53" s="95">
        <v>22400</v>
      </c>
      <c r="D53" s="95">
        <f t="shared" si="5"/>
        <v>22400</v>
      </c>
      <c r="E53" s="68" t="s">
        <v>557</v>
      </c>
      <c r="F53" s="68" t="s">
        <v>558</v>
      </c>
      <c r="G53" s="68" t="s">
        <v>333</v>
      </c>
      <c r="H53" s="68" t="s">
        <v>559</v>
      </c>
      <c r="I53" s="68" t="s">
        <v>560</v>
      </c>
      <c r="J53" s="241" t="s">
        <v>1318</v>
      </c>
      <c r="K53" t="s">
        <v>561</v>
      </c>
      <c r="L53">
        <v>7730</v>
      </c>
      <c r="M53" t="s">
        <v>562</v>
      </c>
      <c r="N53" t="s">
        <v>338</v>
      </c>
      <c r="O53" s="90" t="s">
        <v>339</v>
      </c>
      <c r="P53" t="str">
        <f t="shared" si="3"/>
        <v>Arrêté ministériel POLLEC 2020_RH_6 du 02-12-2020</v>
      </c>
    </row>
    <row r="54" spans="1:16" x14ac:dyDescent="0.25">
      <c r="A54" t="s">
        <v>563</v>
      </c>
      <c r="B54" s="89" t="s">
        <v>1319</v>
      </c>
      <c r="C54" s="95">
        <v>22400</v>
      </c>
      <c r="D54" s="95">
        <f t="shared" si="5"/>
        <v>22400</v>
      </c>
      <c r="E54" s="68" t="s">
        <v>564</v>
      </c>
      <c r="F54" s="68" t="s">
        <v>565</v>
      </c>
      <c r="G54" s="68" t="s">
        <v>333</v>
      </c>
      <c r="H54" s="68" t="s">
        <v>343</v>
      </c>
      <c r="I54" s="68" t="s">
        <v>344</v>
      </c>
      <c r="J54" s="241" t="s">
        <v>1318</v>
      </c>
      <c r="K54" t="s">
        <v>566</v>
      </c>
      <c r="L54">
        <v>6740</v>
      </c>
      <c r="M54" t="s">
        <v>567</v>
      </c>
      <c r="N54" t="s">
        <v>338</v>
      </c>
      <c r="O54" s="90" t="s">
        <v>339</v>
      </c>
      <c r="P54" t="str">
        <f t="shared" si="3"/>
        <v>Arrêté ministériel POLLEC 2020_RH_4 du 02-12-2020</v>
      </c>
    </row>
    <row r="55" spans="1:16" x14ac:dyDescent="0.25">
      <c r="A55" t="s">
        <v>568</v>
      </c>
      <c r="B55" s="89" t="s">
        <v>1319</v>
      </c>
      <c r="C55" s="95">
        <v>22400</v>
      </c>
      <c r="D55" s="95">
        <f t="shared" si="5"/>
        <v>22400</v>
      </c>
      <c r="E55" s="68" t="s">
        <v>569</v>
      </c>
      <c r="F55" s="68" t="s">
        <v>570</v>
      </c>
      <c r="G55" s="68" t="s">
        <v>333</v>
      </c>
      <c r="H55" s="68" t="s">
        <v>559</v>
      </c>
      <c r="I55" s="68" t="s">
        <v>560</v>
      </c>
      <c r="J55" s="241" t="s">
        <v>1318</v>
      </c>
      <c r="K55" t="s">
        <v>571</v>
      </c>
      <c r="L55">
        <v>6637</v>
      </c>
      <c r="M55" t="s">
        <v>572</v>
      </c>
      <c r="N55" t="s">
        <v>338</v>
      </c>
      <c r="O55" s="90" t="s">
        <v>339</v>
      </c>
      <c r="P55" t="str">
        <f t="shared" si="3"/>
        <v>Arrêté ministériel POLLEC 2020_RH_6 du 02-12-2020</v>
      </c>
    </row>
    <row r="56" spans="1:16" x14ac:dyDescent="0.25">
      <c r="A56" t="s">
        <v>573</v>
      </c>
      <c r="B56" s="89" t="s">
        <v>1319</v>
      </c>
      <c r="C56" s="95">
        <v>33600</v>
      </c>
      <c r="D56" s="95">
        <f t="shared" si="5"/>
        <v>33600</v>
      </c>
      <c r="E56" s="68" t="s">
        <v>574</v>
      </c>
      <c r="F56" s="68" t="s">
        <v>575</v>
      </c>
      <c r="G56" s="68" t="s">
        <v>333</v>
      </c>
      <c r="H56" s="68" t="s">
        <v>559</v>
      </c>
      <c r="I56" s="68" t="s">
        <v>560</v>
      </c>
      <c r="J56" s="241" t="s">
        <v>1318</v>
      </c>
      <c r="K56" t="s">
        <v>576</v>
      </c>
      <c r="L56">
        <v>4400</v>
      </c>
      <c r="M56" t="s">
        <v>577</v>
      </c>
      <c r="N56" t="s">
        <v>338</v>
      </c>
      <c r="O56" s="90" t="s">
        <v>339</v>
      </c>
      <c r="P56" t="str">
        <f t="shared" si="3"/>
        <v>Arrêté ministériel POLLEC 2020_RH_6 du 02-12-2020</v>
      </c>
    </row>
    <row r="57" spans="1:16" x14ac:dyDescent="0.25">
      <c r="A57" t="s">
        <v>578</v>
      </c>
      <c r="B57" s="89" t="s">
        <v>1319</v>
      </c>
      <c r="C57" s="95">
        <v>33600</v>
      </c>
      <c r="D57" s="95">
        <f t="shared" si="5"/>
        <v>33600</v>
      </c>
      <c r="E57" s="68" t="s">
        <v>579</v>
      </c>
      <c r="F57" s="68" t="s">
        <v>580</v>
      </c>
      <c r="G57" s="68" t="s">
        <v>333</v>
      </c>
      <c r="H57" s="68" t="s">
        <v>522</v>
      </c>
      <c r="I57" s="68" t="s">
        <v>523</v>
      </c>
      <c r="J57" s="241" t="s">
        <v>1318</v>
      </c>
      <c r="K57" t="s">
        <v>581</v>
      </c>
      <c r="L57">
        <v>6220</v>
      </c>
      <c r="M57" t="s">
        <v>582</v>
      </c>
      <c r="N57" t="s">
        <v>338</v>
      </c>
      <c r="O57" s="90" t="s">
        <v>339</v>
      </c>
      <c r="P57" t="str">
        <f t="shared" si="3"/>
        <v>Arrêté ministériel POLLEC 2020_RH_2 du 02-12-2020</v>
      </c>
    </row>
    <row r="58" spans="1:16" x14ac:dyDescent="0.25">
      <c r="A58" t="s">
        <v>1153</v>
      </c>
      <c r="B58" s="89" t="s">
        <v>1320</v>
      </c>
      <c r="C58" s="95">
        <v>22400</v>
      </c>
      <c r="D58" s="95">
        <f>C58*0.8</f>
        <v>17920</v>
      </c>
      <c r="E58" s="68" t="s">
        <v>1247</v>
      </c>
      <c r="F58" s="68" t="s">
        <v>1183</v>
      </c>
      <c r="G58" s="68" t="s">
        <v>1193</v>
      </c>
      <c r="H58" s="68" t="s">
        <v>1195</v>
      </c>
      <c r="I58" s="68" t="s">
        <v>1197</v>
      </c>
      <c r="J58" s="68">
        <v>500070344</v>
      </c>
      <c r="K58" t="s">
        <v>1281</v>
      </c>
      <c r="L58">
        <v>7880</v>
      </c>
      <c r="M58" t="s">
        <v>1218</v>
      </c>
      <c r="N58" t="s">
        <v>1227</v>
      </c>
      <c r="O58" s="238" t="s">
        <v>1291</v>
      </c>
      <c r="P58" t="str">
        <f t="shared" si="3"/>
        <v>Arrêté ministériel POLLEC 2021_P21_RH1 du 13-12-2021</v>
      </c>
    </row>
    <row r="59" spans="1:16" x14ac:dyDescent="0.25">
      <c r="A59" t="s">
        <v>1159</v>
      </c>
      <c r="B59" s="89" t="s">
        <v>1320</v>
      </c>
      <c r="C59" s="95">
        <v>22400</v>
      </c>
      <c r="D59" s="95">
        <f>C59*0.8</f>
        <v>17920</v>
      </c>
      <c r="E59" s="68" t="s">
        <v>1248</v>
      </c>
      <c r="F59" s="68" t="s">
        <v>1189</v>
      </c>
      <c r="G59" s="68" t="s">
        <v>1193</v>
      </c>
      <c r="H59" s="68" t="s">
        <v>1194</v>
      </c>
      <c r="I59" s="68" t="s">
        <v>1196</v>
      </c>
      <c r="J59" s="68">
        <v>500070345</v>
      </c>
      <c r="K59" t="s">
        <v>1280</v>
      </c>
      <c r="L59">
        <v>5150</v>
      </c>
      <c r="M59" t="s">
        <v>1224</v>
      </c>
      <c r="N59" t="s">
        <v>1227</v>
      </c>
      <c r="O59" s="240" t="s">
        <v>1291</v>
      </c>
      <c r="P59" t="str">
        <f t="shared" si="3"/>
        <v>Arrêté ministériel POLLEC 2021_P21_RH2 du 13-12-2021</v>
      </c>
    </row>
    <row r="60" spans="1:16" x14ac:dyDescent="0.25">
      <c r="A60" t="s">
        <v>583</v>
      </c>
      <c r="B60" s="89" t="s">
        <v>1319</v>
      </c>
      <c r="C60" s="95">
        <v>33600</v>
      </c>
      <c r="D60" s="95">
        <f>C60</f>
        <v>33600</v>
      </c>
      <c r="E60" s="68" t="s">
        <v>584</v>
      </c>
      <c r="F60" s="68" t="s">
        <v>585</v>
      </c>
      <c r="G60" s="68" t="s">
        <v>333</v>
      </c>
      <c r="H60" s="68" t="s">
        <v>350</v>
      </c>
      <c r="I60" s="68" t="s">
        <v>351</v>
      </c>
      <c r="J60" s="241" t="s">
        <v>1318</v>
      </c>
      <c r="K60" t="s">
        <v>586</v>
      </c>
      <c r="L60">
        <v>5620</v>
      </c>
      <c r="M60" t="s">
        <v>587</v>
      </c>
      <c r="N60" t="s">
        <v>338</v>
      </c>
      <c r="O60" s="90" t="s">
        <v>339</v>
      </c>
      <c r="P60" t="str">
        <f t="shared" si="3"/>
        <v>Arrêté ministériel POLLEC 2020_RH_1 du 02-12-2020</v>
      </c>
    </row>
    <row r="61" spans="1:16" x14ac:dyDescent="0.25">
      <c r="A61" t="s">
        <v>588</v>
      </c>
      <c r="B61" s="89" t="s">
        <v>1319</v>
      </c>
      <c r="C61" s="95">
        <v>22400</v>
      </c>
      <c r="D61" s="95">
        <f>C61</f>
        <v>22400</v>
      </c>
      <c r="E61" s="68" t="s">
        <v>589</v>
      </c>
      <c r="F61" s="68" t="s">
        <v>590</v>
      </c>
      <c r="G61" s="68" t="s">
        <v>333</v>
      </c>
      <c r="H61" s="68" t="s">
        <v>559</v>
      </c>
      <c r="I61" s="68" t="s">
        <v>560</v>
      </c>
      <c r="J61" s="241" t="s">
        <v>1318</v>
      </c>
      <c r="K61" t="s">
        <v>591</v>
      </c>
      <c r="L61">
        <v>6820</v>
      </c>
      <c r="M61" t="s">
        <v>592</v>
      </c>
      <c r="N61" t="s">
        <v>338</v>
      </c>
      <c r="O61" s="90" t="s">
        <v>339</v>
      </c>
      <c r="P61" t="str">
        <f t="shared" si="3"/>
        <v>Arrêté ministériel POLLEC 2020_RH_6 du 02-12-2020</v>
      </c>
    </row>
    <row r="62" spans="1:16" x14ac:dyDescent="0.25">
      <c r="A62" t="s">
        <v>593</v>
      </c>
      <c r="B62" s="89" t="s">
        <v>1319</v>
      </c>
      <c r="C62" s="95">
        <v>33600</v>
      </c>
      <c r="D62" s="95">
        <f>C62</f>
        <v>33600</v>
      </c>
      <c r="E62" s="68" t="s">
        <v>594</v>
      </c>
      <c r="F62" s="68" t="s">
        <v>595</v>
      </c>
      <c r="G62" s="68" t="s">
        <v>333</v>
      </c>
      <c r="H62" s="68" t="s">
        <v>522</v>
      </c>
      <c r="I62" s="68" t="s">
        <v>523</v>
      </c>
      <c r="J62" s="241" t="s">
        <v>1318</v>
      </c>
      <c r="K62" t="s">
        <v>596</v>
      </c>
      <c r="L62">
        <v>6140</v>
      </c>
      <c r="M62" t="s">
        <v>597</v>
      </c>
      <c r="N62" t="s">
        <v>338</v>
      </c>
      <c r="O62" s="90" t="s">
        <v>339</v>
      </c>
      <c r="P62" t="str">
        <f t="shared" si="3"/>
        <v>Arrêté ministériel POLLEC 2020_RH_2 du 02-12-2020</v>
      </c>
    </row>
    <row r="63" spans="1:16" x14ac:dyDescent="0.25">
      <c r="A63" t="s">
        <v>598</v>
      </c>
      <c r="B63" s="89" t="s">
        <v>1319</v>
      </c>
      <c r="C63" s="95">
        <v>33600</v>
      </c>
      <c r="D63" s="95">
        <f>C63</f>
        <v>33600</v>
      </c>
      <c r="E63" s="68" t="s">
        <v>599</v>
      </c>
      <c r="F63" s="68" t="s">
        <v>600</v>
      </c>
      <c r="G63" s="68" t="s">
        <v>333</v>
      </c>
      <c r="H63" s="68" t="s">
        <v>559</v>
      </c>
      <c r="I63" s="68" t="s">
        <v>560</v>
      </c>
      <c r="J63" s="241" t="s">
        <v>1318</v>
      </c>
      <c r="K63" t="s">
        <v>601</v>
      </c>
      <c r="L63">
        <v>7080</v>
      </c>
      <c r="M63" t="s">
        <v>602</v>
      </c>
      <c r="N63" t="s">
        <v>338</v>
      </c>
      <c r="O63" s="90" t="s">
        <v>339</v>
      </c>
      <c r="P63" t="str">
        <f t="shared" si="3"/>
        <v>Arrêté ministériel POLLEC 2020_RH_6 du 02-12-2020</v>
      </c>
    </row>
    <row r="64" spans="1:16" x14ac:dyDescent="0.25">
      <c r="A64" t="s">
        <v>603</v>
      </c>
      <c r="B64" s="89" t="s">
        <v>1319</v>
      </c>
      <c r="C64" s="95">
        <v>33600</v>
      </c>
      <c r="D64" s="95">
        <f>C64</f>
        <v>33600</v>
      </c>
      <c r="E64" s="68" t="s">
        <v>604</v>
      </c>
      <c r="F64" s="68" t="s">
        <v>605</v>
      </c>
      <c r="G64" s="68" t="s">
        <v>333</v>
      </c>
      <c r="H64" s="68" t="s">
        <v>522</v>
      </c>
      <c r="I64" s="68" t="s">
        <v>523</v>
      </c>
      <c r="J64" s="241" t="s">
        <v>1318</v>
      </c>
      <c r="K64" t="s">
        <v>606</v>
      </c>
      <c r="L64">
        <v>7910</v>
      </c>
      <c r="M64" t="s">
        <v>607</v>
      </c>
      <c r="N64" t="s">
        <v>338</v>
      </c>
      <c r="O64" s="90" t="s">
        <v>339</v>
      </c>
      <c r="P64" t="str">
        <f t="shared" si="3"/>
        <v>Arrêté ministériel POLLEC 2020_RH_2 du 02-12-2020</v>
      </c>
    </row>
    <row r="65" spans="1:16" x14ac:dyDescent="0.25">
      <c r="A65" t="s">
        <v>1157</v>
      </c>
      <c r="B65" s="89" t="s">
        <v>1320</v>
      </c>
      <c r="C65" s="95">
        <v>22400</v>
      </c>
      <c r="D65" s="95">
        <f>C65*0.8</f>
        <v>17920</v>
      </c>
      <c r="E65" s="68" t="s">
        <v>1249</v>
      </c>
      <c r="F65" s="68" t="s">
        <v>1187</v>
      </c>
      <c r="G65" s="68" t="s">
        <v>1193</v>
      </c>
      <c r="H65" s="68" t="s">
        <v>1194</v>
      </c>
      <c r="I65" s="68" t="s">
        <v>1196</v>
      </c>
      <c r="J65" s="68">
        <v>500070345</v>
      </c>
      <c r="K65" t="s">
        <v>1279</v>
      </c>
      <c r="L65">
        <v>6440</v>
      </c>
      <c r="M65" t="s">
        <v>1222</v>
      </c>
      <c r="N65" t="s">
        <v>1227</v>
      </c>
      <c r="O65" s="240" t="s">
        <v>1291</v>
      </c>
      <c r="P65" t="str">
        <f t="shared" si="3"/>
        <v>Arrêté ministériel POLLEC 2021_P21_RH2 du 13-12-2021</v>
      </c>
    </row>
    <row r="66" spans="1:16" x14ac:dyDescent="0.25">
      <c r="A66" t="s">
        <v>608</v>
      </c>
      <c r="B66" s="89" t="s">
        <v>1319</v>
      </c>
      <c r="C66" s="95">
        <v>67200</v>
      </c>
      <c r="D66" s="95">
        <f t="shared" ref="D66:D77" si="6">C66</f>
        <v>67200</v>
      </c>
      <c r="E66" s="95" t="s">
        <v>609</v>
      </c>
      <c r="F66" s="68" t="s">
        <v>610</v>
      </c>
      <c r="G66" s="68" t="s">
        <v>611</v>
      </c>
      <c r="H66" s="68" t="s">
        <v>612</v>
      </c>
      <c r="I66" s="68" t="s">
        <v>613</v>
      </c>
      <c r="J66" s="241" t="s">
        <v>1318</v>
      </c>
      <c r="K66" t="s">
        <v>614</v>
      </c>
      <c r="L66">
        <v>6987</v>
      </c>
      <c r="M66" t="s">
        <v>615</v>
      </c>
      <c r="N66" t="s">
        <v>338</v>
      </c>
      <c r="O66" s="90" t="s">
        <v>339</v>
      </c>
      <c r="P66" t="str">
        <f t="shared" ref="P66:P97" si="7">CONCATENATE(N66,H66,O66)</f>
        <v>Arrêté ministériel POLLEC 2020_SUPRA_RH_1 du 02-12-2020</v>
      </c>
    </row>
    <row r="67" spans="1:16" x14ac:dyDescent="0.25">
      <c r="A67" t="s">
        <v>616</v>
      </c>
      <c r="B67" s="89" t="s">
        <v>1319</v>
      </c>
      <c r="C67" s="95">
        <v>33600</v>
      </c>
      <c r="D67" s="95">
        <f t="shared" si="6"/>
        <v>33600</v>
      </c>
      <c r="E67" s="68" t="s">
        <v>617</v>
      </c>
      <c r="F67" s="68" t="s">
        <v>618</v>
      </c>
      <c r="G67" s="68" t="s">
        <v>333</v>
      </c>
      <c r="H67" s="68" t="s">
        <v>522</v>
      </c>
      <c r="I67" s="68" t="s">
        <v>523</v>
      </c>
      <c r="J67" s="241" t="s">
        <v>1318</v>
      </c>
      <c r="K67" t="s">
        <v>619</v>
      </c>
      <c r="L67">
        <v>5030</v>
      </c>
      <c r="M67" t="s">
        <v>620</v>
      </c>
      <c r="N67" t="s">
        <v>338</v>
      </c>
      <c r="O67" s="90" t="s">
        <v>339</v>
      </c>
      <c r="P67" t="str">
        <f t="shared" si="7"/>
        <v>Arrêté ministériel POLLEC 2020_RH_2 du 02-12-2020</v>
      </c>
    </row>
    <row r="68" spans="1:16" x14ac:dyDescent="0.25">
      <c r="A68" t="s">
        <v>621</v>
      </c>
      <c r="B68" s="89" t="s">
        <v>1319</v>
      </c>
      <c r="C68" s="95">
        <v>33600</v>
      </c>
      <c r="D68" s="95">
        <f t="shared" si="6"/>
        <v>33600</v>
      </c>
      <c r="E68" s="68" t="s">
        <v>622</v>
      </c>
      <c r="F68" s="68" t="s">
        <v>623</v>
      </c>
      <c r="G68" s="68" t="s">
        <v>333</v>
      </c>
      <c r="H68" s="68" t="s">
        <v>559</v>
      </c>
      <c r="I68" s="68" t="s">
        <v>560</v>
      </c>
      <c r="J68" s="241" t="s">
        <v>1318</v>
      </c>
      <c r="K68" t="s">
        <v>624</v>
      </c>
      <c r="L68">
        <v>1470</v>
      </c>
      <c r="M68" t="s">
        <v>625</v>
      </c>
      <c r="N68" t="s">
        <v>338</v>
      </c>
      <c r="O68" s="90" t="s">
        <v>339</v>
      </c>
      <c r="P68" t="str">
        <f t="shared" si="7"/>
        <v>Arrêté ministériel POLLEC 2020_RH_6 du 02-12-2020</v>
      </c>
    </row>
    <row r="69" spans="1:16" x14ac:dyDescent="0.25">
      <c r="A69" t="s">
        <v>626</v>
      </c>
      <c r="B69" s="89" t="s">
        <v>1319</v>
      </c>
      <c r="C69" s="95">
        <v>33600</v>
      </c>
      <c r="D69" s="95">
        <f t="shared" si="6"/>
        <v>33600</v>
      </c>
      <c r="E69" s="68" t="s">
        <v>627</v>
      </c>
      <c r="F69" s="68" t="s">
        <v>628</v>
      </c>
      <c r="G69" s="68" t="s">
        <v>333</v>
      </c>
      <c r="H69" s="68" t="s">
        <v>559</v>
      </c>
      <c r="I69" s="68" t="s">
        <v>560</v>
      </c>
      <c r="J69" s="241" t="s">
        <v>1318</v>
      </c>
      <c r="K69" t="s">
        <v>629</v>
      </c>
      <c r="L69">
        <v>6280</v>
      </c>
      <c r="M69" t="s">
        <v>630</v>
      </c>
      <c r="N69" t="s">
        <v>338</v>
      </c>
      <c r="O69" s="90" t="s">
        <v>339</v>
      </c>
      <c r="P69" t="str">
        <f t="shared" si="7"/>
        <v>Arrêté ministériel POLLEC 2020_RH_6 du 02-12-2020</v>
      </c>
    </row>
    <row r="70" spans="1:16" x14ac:dyDescent="0.25">
      <c r="A70" t="s">
        <v>631</v>
      </c>
      <c r="B70" s="89" t="s">
        <v>1319</v>
      </c>
      <c r="C70" s="95">
        <v>22400</v>
      </c>
      <c r="D70" s="95">
        <f t="shared" si="6"/>
        <v>22400</v>
      </c>
      <c r="E70" s="68" t="s">
        <v>632</v>
      </c>
      <c r="F70" s="68" t="s">
        <v>633</v>
      </c>
      <c r="G70" s="68" t="s">
        <v>333</v>
      </c>
      <c r="H70" s="68" t="s">
        <v>522</v>
      </c>
      <c r="I70" s="68" t="s">
        <v>523</v>
      </c>
      <c r="J70" s="241" t="s">
        <v>1318</v>
      </c>
      <c r="K70" t="s">
        <v>634</v>
      </c>
      <c r="L70">
        <v>5340</v>
      </c>
      <c r="M70" t="s">
        <v>635</v>
      </c>
      <c r="N70" t="s">
        <v>338</v>
      </c>
      <c r="O70" s="90" t="s">
        <v>339</v>
      </c>
      <c r="P70" t="str">
        <f t="shared" si="7"/>
        <v>Arrêté ministériel POLLEC 2020_RH_2 du 02-12-2020</v>
      </c>
    </row>
    <row r="71" spans="1:16" x14ac:dyDescent="0.25">
      <c r="A71" t="s">
        <v>636</v>
      </c>
      <c r="B71" s="89" t="s">
        <v>1319</v>
      </c>
      <c r="C71" s="95">
        <v>22400</v>
      </c>
      <c r="D71" s="95">
        <f t="shared" si="6"/>
        <v>22400</v>
      </c>
      <c r="E71" s="68" t="s">
        <v>637</v>
      </c>
      <c r="F71" s="68" t="s">
        <v>638</v>
      </c>
      <c r="G71" s="68" t="s">
        <v>333</v>
      </c>
      <c r="H71" s="68" t="s">
        <v>522</v>
      </c>
      <c r="I71" s="68" t="s">
        <v>523</v>
      </c>
      <c r="J71" s="241" t="s">
        <v>1318</v>
      </c>
      <c r="K71" t="s">
        <v>639</v>
      </c>
      <c r="L71">
        <v>6671</v>
      </c>
      <c r="M71" t="s">
        <v>640</v>
      </c>
      <c r="N71" t="s">
        <v>338</v>
      </c>
      <c r="O71" s="90" t="s">
        <v>339</v>
      </c>
      <c r="P71" t="str">
        <f t="shared" si="7"/>
        <v>Arrêté ministériel POLLEC 2020_RH_2 du 02-12-2020</v>
      </c>
    </row>
    <row r="72" spans="1:16" x14ac:dyDescent="0.25">
      <c r="A72" t="s">
        <v>641</v>
      </c>
      <c r="B72" s="89" t="s">
        <v>1319</v>
      </c>
      <c r="C72" s="95">
        <v>33600</v>
      </c>
      <c r="D72" s="95">
        <f t="shared" si="6"/>
        <v>33600</v>
      </c>
      <c r="E72" s="68" t="s">
        <v>642</v>
      </c>
      <c r="F72" s="68" t="s">
        <v>643</v>
      </c>
      <c r="G72" s="68" t="s">
        <v>333</v>
      </c>
      <c r="H72" s="68" t="s">
        <v>559</v>
      </c>
      <c r="I72" s="68" t="s">
        <v>560</v>
      </c>
      <c r="J72" s="241" t="s">
        <v>1318</v>
      </c>
      <c r="K72" t="s">
        <v>644</v>
      </c>
      <c r="L72">
        <v>4460</v>
      </c>
      <c r="M72" t="s">
        <v>645</v>
      </c>
      <c r="N72" t="s">
        <v>338</v>
      </c>
      <c r="O72" s="90" t="s">
        <v>339</v>
      </c>
      <c r="P72" t="str">
        <f t="shared" si="7"/>
        <v>Arrêté ministériel POLLEC 2020_RH_6 du 02-12-2020</v>
      </c>
    </row>
    <row r="73" spans="1:16" x14ac:dyDescent="0.25">
      <c r="A73" t="s">
        <v>646</v>
      </c>
      <c r="B73" s="89" t="s">
        <v>1319</v>
      </c>
      <c r="C73" s="95">
        <v>33600</v>
      </c>
      <c r="D73" s="95">
        <f t="shared" si="6"/>
        <v>33600</v>
      </c>
      <c r="E73" s="68" t="s">
        <v>647</v>
      </c>
      <c r="F73" s="68" t="s">
        <v>648</v>
      </c>
      <c r="G73" s="68" t="s">
        <v>333</v>
      </c>
      <c r="H73" s="68" t="s">
        <v>559</v>
      </c>
      <c r="I73" s="68" t="s">
        <v>560</v>
      </c>
      <c r="J73" s="241" t="s">
        <v>1318</v>
      </c>
      <c r="K73" t="s">
        <v>649</v>
      </c>
      <c r="L73">
        <v>1390</v>
      </c>
      <c r="M73" t="s">
        <v>650</v>
      </c>
      <c r="N73" t="s">
        <v>338</v>
      </c>
      <c r="O73" s="90" t="s">
        <v>339</v>
      </c>
      <c r="P73" t="str">
        <f t="shared" si="7"/>
        <v>Arrêté ministériel POLLEC 2020_RH_6 du 02-12-2020</v>
      </c>
    </row>
    <row r="74" spans="1:16" x14ac:dyDescent="0.25">
      <c r="A74" t="s">
        <v>651</v>
      </c>
      <c r="B74" s="89" t="s">
        <v>1319</v>
      </c>
      <c r="C74" s="95">
        <v>67200</v>
      </c>
      <c r="D74" s="95">
        <f t="shared" si="6"/>
        <v>67200</v>
      </c>
      <c r="E74" s="95" t="s">
        <v>652</v>
      </c>
      <c r="F74" s="68" t="s">
        <v>653</v>
      </c>
      <c r="G74" s="68" t="s">
        <v>611</v>
      </c>
      <c r="H74" s="68" t="s">
        <v>612</v>
      </c>
      <c r="I74" s="68" t="s">
        <v>613</v>
      </c>
      <c r="J74" s="241" t="s">
        <v>1318</v>
      </c>
      <c r="K74" t="s">
        <v>654</v>
      </c>
      <c r="L74">
        <v>4577</v>
      </c>
      <c r="M74" t="s">
        <v>655</v>
      </c>
      <c r="N74" t="s">
        <v>338</v>
      </c>
      <c r="O74" s="90" t="s">
        <v>339</v>
      </c>
      <c r="P74" t="str">
        <f t="shared" si="7"/>
        <v>Arrêté ministériel POLLEC 2020_SUPRA_RH_1 du 02-12-2020</v>
      </c>
    </row>
    <row r="75" spans="1:16" x14ac:dyDescent="0.25">
      <c r="A75" t="s">
        <v>656</v>
      </c>
      <c r="B75" s="89" t="s">
        <v>1319</v>
      </c>
      <c r="C75" s="95">
        <v>67200</v>
      </c>
      <c r="D75" s="95">
        <f t="shared" si="6"/>
        <v>67200</v>
      </c>
      <c r="E75" s="95" t="s">
        <v>657</v>
      </c>
      <c r="F75" s="68" t="s">
        <v>658</v>
      </c>
      <c r="G75" s="68" t="s">
        <v>611</v>
      </c>
      <c r="H75" s="68" t="s">
        <v>612</v>
      </c>
      <c r="I75" s="68" t="s">
        <v>613</v>
      </c>
      <c r="J75" s="241" t="s">
        <v>1318</v>
      </c>
      <c r="K75" t="s">
        <v>659</v>
      </c>
      <c r="L75">
        <v>5340</v>
      </c>
      <c r="M75" t="s">
        <v>631</v>
      </c>
      <c r="N75" t="s">
        <v>338</v>
      </c>
      <c r="O75" s="90" t="s">
        <v>339</v>
      </c>
      <c r="P75" t="str">
        <f t="shared" si="7"/>
        <v>Arrêté ministériel POLLEC 2020_SUPRA_RH_1 du 02-12-2020</v>
      </c>
    </row>
    <row r="76" spans="1:16" x14ac:dyDescent="0.25">
      <c r="A76" t="s">
        <v>660</v>
      </c>
      <c r="B76" s="89" t="s">
        <v>1319</v>
      </c>
      <c r="C76" s="95">
        <v>22400</v>
      </c>
      <c r="D76" s="95">
        <f t="shared" si="6"/>
        <v>22400</v>
      </c>
      <c r="E76" s="68" t="s">
        <v>661</v>
      </c>
      <c r="F76" s="68" t="s">
        <v>662</v>
      </c>
      <c r="G76" s="68" t="s">
        <v>333</v>
      </c>
      <c r="H76" s="68" t="s">
        <v>559</v>
      </c>
      <c r="I76" s="68" t="s">
        <v>560</v>
      </c>
      <c r="J76" s="241" t="s">
        <v>1318</v>
      </c>
      <c r="K76" t="s">
        <v>663</v>
      </c>
      <c r="L76">
        <v>6720</v>
      </c>
      <c r="M76" t="s">
        <v>664</v>
      </c>
      <c r="N76" t="s">
        <v>338</v>
      </c>
      <c r="O76" s="90" t="s">
        <v>339</v>
      </c>
      <c r="P76" t="str">
        <f t="shared" si="7"/>
        <v>Arrêté ministériel POLLEC 2020_RH_6 du 02-12-2020</v>
      </c>
    </row>
    <row r="77" spans="1:16" x14ac:dyDescent="0.25">
      <c r="A77" t="s">
        <v>665</v>
      </c>
      <c r="B77" s="89" t="s">
        <v>1319</v>
      </c>
      <c r="C77" s="95">
        <v>22400</v>
      </c>
      <c r="D77" s="95">
        <f t="shared" si="6"/>
        <v>22400</v>
      </c>
      <c r="E77" s="68" t="s">
        <v>666</v>
      </c>
      <c r="F77" s="68" t="s">
        <v>667</v>
      </c>
      <c r="G77" s="68" t="s">
        <v>333</v>
      </c>
      <c r="H77" s="68" t="s">
        <v>522</v>
      </c>
      <c r="I77" s="68" t="s">
        <v>523</v>
      </c>
      <c r="J77" s="241" t="s">
        <v>1318</v>
      </c>
      <c r="K77" t="s">
        <v>668</v>
      </c>
      <c r="L77">
        <v>4180</v>
      </c>
      <c r="M77" t="s">
        <v>669</v>
      </c>
      <c r="N77" t="s">
        <v>338</v>
      </c>
      <c r="O77" s="90" t="s">
        <v>339</v>
      </c>
      <c r="P77" t="str">
        <f t="shared" si="7"/>
        <v>Arrêté ministériel POLLEC 2020_RH_2 du 02-12-2020</v>
      </c>
    </row>
    <row r="78" spans="1:16" x14ac:dyDescent="0.25">
      <c r="A78" t="s">
        <v>1143</v>
      </c>
      <c r="B78" s="89" t="s">
        <v>1320</v>
      </c>
      <c r="C78" s="95">
        <v>33600</v>
      </c>
      <c r="D78" s="95">
        <f>C78*0.8</f>
        <v>26880</v>
      </c>
      <c r="E78" t="s">
        <v>1238</v>
      </c>
      <c r="F78" s="68" t="s">
        <v>1173</v>
      </c>
      <c r="G78" s="68" t="s">
        <v>1193</v>
      </c>
      <c r="H78" s="68" t="s">
        <v>1194</v>
      </c>
      <c r="I78" s="68" t="s">
        <v>1196</v>
      </c>
      <c r="J78" s="68">
        <v>500070345</v>
      </c>
      <c r="K78" t="s">
        <v>1278</v>
      </c>
      <c r="L78">
        <v>4280</v>
      </c>
      <c r="M78" t="s">
        <v>1208</v>
      </c>
      <c r="N78" t="s">
        <v>1227</v>
      </c>
      <c r="O78" s="238" t="s">
        <v>1291</v>
      </c>
      <c r="P78" t="str">
        <f t="shared" si="7"/>
        <v>Arrêté ministériel POLLEC 2021_P21_RH2 du 13-12-2021</v>
      </c>
    </row>
    <row r="79" spans="1:16" x14ac:dyDescent="0.25">
      <c r="A79" t="s">
        <v>670</v>
      </c>
      <c r="B79" s="89" t="s">
        <v>1319</v>
      </c>
      <c r="C79" s="95">
        <v>22400</v>
      </c>
      <c r="D79" s="95">
        <f>C79</f>
        <v>22400</v>
      </c>
      <c r="E79" s="68" t="s">
        <v>671</v>
      </c>
      <c r="F79" s="68" t="s">
        <v>672</v>
      </c>
      <c r="G79" s="68" t="s">
        <v>333</v>
      </c>
      <c r="H79" s="68" t="s">
        <v>343</v>
      </c>
      <c r="I79" s="68" t="s">
        <v>344</v>
      </c>
      <c r="J79" s="241" t="s">
        <v>1318</v>
      </c>
      <c r="K79" t="s">
        <v>673</v>
      </c>
      <c r="L79">
        <v>5540</v>
      </c>
      <c r="M79" t="s">
        <v>674</v>
      </c>
      <c r="N79" t="s">
        <v>338</v>
      </c>
      <c r="O79" s="90" t="s">
        <v>339</v>
      </c>
      <c r="P79" t="str">
        <f t="shared" si="7"/>
        <v>Arrêté ministériel POLLEC 2020_RH_4 du 02-12-2020</v>
      </c>
    </row>
    <row r="80" spans="1:16" x14ac:dyDescent="0.25">
      <c r="A80" t="s">
        <v>675</v>
      </c>
      <c r="B80" s="89" t="s">
        <v>1319</v>
      </c>
      <c r="C80" s="95">
        <v>22400</v>
      </c>
      <c r="D80" s="95">
        <f>C80</f>
        <v>22400</v>
      </c>
      <c r="E80" s="68" t="s">
        <v>676</v>
      </c>
      <c r="F80" s="68" t="s">
        <v>677</v>
      </c>
      <c r="G80" s="68" t="s">
        <v>333</v>
      </c>
      <c r="H80" s="68" t="s">
        <v>522</v>
      </c>
      <c r="I80" s="68" t="s">
        <v>523</v>
      </c>
      <c r="J80" s="241" t="s">
        <v>1318</v>
      </c>
      <c r="K80" t="s">
        <v>678</v>
      </c>
      <c r="L80">
        <v>5370</v>
      </c>
      <c r="M80" t="s">
        <v>679</v>
      </c>
      <c r="N80" t="s">
        <v>338</v>
      </c>
      <c r="O80" s="90" t="s">
        <v>339</v>
      </c>
      <c r="P80" t="str">
        <f t="shared" si="7"/>
        <v>Arrêté ministériel POLLEC 2020_RH_2 du 02-12-2020</v>
      </c>
    </row>
    <row r="81" spans="1:16" x14ac:dyDescent="0.25">
      <c r="A81" t="s">
        <v>1154</v>
      </c>
      <c r="B81" s="89" t="s">
        <v>1320</v>
      </c>
      <c r="C81" s="95">
        <v>22400</v>
      </c>
      <c r="D81" s="95">
        <f>C81*0.8</f>
        <v>17920</v>
      </c>
      <c r="E81" s="68" t="s">
        <v>1250</v>
      </c>
      <c r="F81" s="68" t="s">
        <v>1184</v>
      </c>
      <c r="G81" s="68" t="s">
        <v>1193</v>
      </c>
      <c r="H81" s="68" t="s">
        <v>1195</v>
      </c>
      <c r="I81" s="68" t="s">
        <v>1197</v>
      </c>
      <c r="J81" s="68">
        <v>500070344</v>
      </c>
      <c r="K81" t="s">
        <v>749</v>
      </c>
      <c r="L81">
        <v>7350</v>
      </c>
      <c r="M81" t="s">
        <v>1219</v>
      </c>
      <c r="N81" t="s">
        <v>1227</v>
      </c>
      <c r="O81" s="240" t="s">
        <v>1291</v>
      </c>
      <c r="P81" t="str">
        <f t="shared" si="7"/>
        <v>Arrêté ministériel POLLEC 2021_P21_RH1 du 13-12-2021</v>
      </c>
    </row>
    <row r="82" spans="1:16" x14ac:dyDescent="0.25">
      <c r="A82" t="s">
        <v>680</v>
      </c>
      <c r="B82" s="89" t="s">
        <v>1319</v>
      </c>
      <c r="C82" s="95">
        <v>22400</v>
      </c>
      <c r="D82" s="95">
        <f t="shared" ref="D82:D88" si="8">C82</f>
        <v>22400</v>
      </c>
      <c r="E82" s="68" t="s">
        <v>681</v>
      </c>
      <c r="F82" s="68" t="s">
        <v>682</v>
      </c>
      <c r="G82" s="68" t="s">
        <v>333</v>
      </c>
      <c r="H82" s="68" t="s">
        <v>522</v>
      </c>
      <c r="I82" s="68" t="s">
        <v>523</v>
      </c>
      <c r="J82" s="241" t="s">
        <v>1318</v>
      </c>
      <c r="K82" t="s">
        <v>683</v>
      </c>
      <c r="L82">
        <v>6887</v>
      </c>
      <c r="M82" t="s">
        <v>684</v>
      </c>
      <c r="N82" t="s">
        <v>338</v>
      </c>
      <c r="O82" s="90" t="s">
        <v>339</v>
      </c>
      <c r="P82" t="str">
        <f t="shared" si="7"/>
        <v>Arrêté ministériel POLLEC 2020_RH_2 du 02-12-2020</v>
      </c>
    </row>
    <row r="83" spans="1:16" x14ac:dyDescent="0.25">
      <c r="A83" t="s">
        <v>685</v>
      </c>
      <c r="B83" s="89" t="s">
        <v>1319</v>
      </c>
      <c r="C83" s="95">
        <v>22400</v>
      </c>
      <c r="D83" s="95">
        <f t="shared" si="8"/>
        <v>22400</v>
      </c>
      <c r="E83" s="68" t="s">
        <v>686</v>
      </c>
      <c r="F83" s="68" t="s">
        <v>687</v>
      </c>
      <c r="G83" s="68" t="s">
        <v>333</v>
      </c>
      <c r="H83" s="68" t="s">
        <v>343</v>
      </c>
      <c r="I83" s="68" t="s">
        <v>344</v>
      </c>
      <c r="J83" s="241" t="s">
        <v>1318</v>
      </c>
      <c r="K83" t="s">
        <v>688</v>
      </c>
      <c r="L83">
        <v>4218</v>
      </c>
      <c r="M83" t="s">
        <v>689</v>
      </c>
      <c r="N83" t="s">
        <v>338</v>
      </c>
      <c r="O83" s="90" t="s">
        <v>339</v>
      </c>
      <c r="P83" t="str">
        <f t="shared" si="7"/>
        <v>Arrêté ministériel POLLEC 2020_RH_4 du 02-12-2020</v>
      </c>
    </row>
    <row r="84" spans="1:16" x14ac:dyDescent="0.25">
      <c r="A84" t="s">
        <v>690</v>
      </c>
      <c r="B84" s="89" t="s">
        <v>1319</v>
      </c>
      <c r="C84" s="95">
        <v>33600</v>
      </c>
      <c r="D84" s="95">
        <f t="shared" si="8"/>
        <v>33600</v>
      </c>
      <c r="E84" s="68" t="s">
        <v>691</v>
      </c>
      <c r="F84" s="68" t="s">
        <v>692</v>
      </c>
      <c r="G84" s="68" t="s">
        <v>333</v>
      </c>
      <c r="H84" s="68" t="s">
        <v>559</v>
      </c>
      <c r="I84" s="68" t="s">
        <v>560</v>
      </c>
      <c r="J84" s="241" t="s">
        <v>1318</v>
      </c>
      <c r="K84" t="s">
        <v>693</v>
      </c>
      <c r="L84">
        <v>4650</v>
      </c>
      <c r="M84" t="s">
        <v>694</v>
      </c>
      <c r="N84" t="s">
        <v>338</v>
      </c>
      <c r="O84" s="90" t="s">
        <v>339</v>
      </c>
      <c r="P84" t="str">
        <f t="shared" si="7"/>
        <v>Arrêté ministériel POLLEC 2020_RH_6 du 02-12-2020</v>
      </c>
    </row>
    <row r="85" spans="1:16" x14ac:dyDescent="0.25">
      <c r="A85" t="s">
        <v>695</v>
      </c>
      <c r="B85" s="89" t="s">
        <v>1319</v>
      </c>
      <c r="C85" s="95">
        <v>22400</v>
      </c>
      <c r="D85" s="95">
        <f t="shared" si="8"/>
        <v>22400</v>
      </c>
      <c r="E85" s="68" t="s">
        <v>696</v>
      </c>
      <c r="F85" s="68" t="s">
        <v>697</v>
      </c>
      <c r="G85" s="68" t="s">
        <v>333</v>
      </c>
      <c r="H85" s="68" t="s">
        <v>559</v>
      </c>
      <c r="I85" s="68" t="s">
        <v>560</v>
      </c>
      <c r="J85" s="241" t="s">
        <v>1318</v>
      </c>
      <c r="K85" t="s">
        <v>1277</v>
      </c>
      <c r="L85">
        <v>6990</v>
      </c>
      <c r="M85" t="s">
        <v>698</v>
      </c>
      <c r="N85" t="s">
        <v>338</v>
      </c>
      <c r="O85" s="90" t="s">
        <v>339</v>
      </c>
      <c r="P85" t="str">
        <f t="shared" si="7"/>
        <v>Arrêté ministériel POLLEC 2020_RH_6 du 02-12-2020</v>
      </c>
    </row>
    <row r="86" spans="1:16" x14ac:dyDescent="0.25">
      <c r="A86" t="s">
        <v>699</v>
      </c>
      <c r="B86" s="89" t="s">
        <v>1319</v>
      </c>
      <c r="C86" s="95">
        <v>22400</v>
      </c>
      <c r="D86" s="95">
        <f t="shared" si="8"/>
        <v>22400</v>
      </c>
      <c r="E86" s="68" t="s">
        <v>700</v>
      </c>
      <c r="F86" s="68" t="s">
        <v>701</v>
      </c>
      <c r="G86" s="68" t="s">
        <v>333</v>
      </c>
      <c r="H86" s="68" t="s">
        <v>559</v>
      </c>
      <c r="I86" s="68" t="s">
        <v>560</v>
      </c>
      <c r="J86" s="241" t="s">
        <v>1318</v>
      </c>
      <c r="K86" t="s">
        <v>1276</v>
      </c>
      <c r="L86">
        <v>6660</v>
      </c>
      <c r="M86" t="s">
        <v>702</v>
      </c>
      <c r="N86" t="s">
        <v>338</v>
      </c>
      <c r="O86" s="90" t="s">
        <v>339</v>
      </c>
      <c r="P86" t="str">
        <f t="shared" si="7"/>
        <v>Arrêté ministériel POLLEC 2020_RH_6 du 02-12-2020</v>
      </c>
    </row>
    <row r="87" spans="1:16" x14ac:dyDescent="0.25">
      <c r="A87" t="s">
        <v>703</v>
      </c>
      <c r="B87" s="89" t="s">
        <v>1319</v>
      </c>
      <c r="C87" s="95">
        <v>134400</v>
      </c>
      <c r="D87" s="95">
        <f t="shared" si="8"/>
        <v>134400</v>
      </c>
      <c r="E87" s="95" t="s">
        <v>704</v>
      </c>
      <c r="F87" s="68" t="s">
        <v>705</v>
      </c>
      <c r="G87" s="68" t="s">
        <v>449</v>
      </c>
      <c r="H87" s="68" t="s">
        <v>450</v>
      </c>
      <c r="I87" s="68" t="s">
        <v>451</v>
      </c>
      <c r="J87" s="241" t="s">
        <v>1318</v>
      </c>
      <c r="K87" t="s">
        <v>706</v>
      </c>
      <c r="L87">
        <v>7500</v>
      </c>
      <c r="M87" t="s">
        <v>707</v>
      </c>
      <c r="N87" t="s">
        <v>338</v>
      </c>
      <c r="O87" s="90" t="s">
        <v>339</v>
      </c>
      <c r="P87" t="str">
        <f t="shared" si="7"/>
        <v>Arrêté ministériel POLLEC 2020_SUPRA_RH_2 du 02-12-2020</v>
      </c>
    </row>
    <row r="88" spans="1:16" x14ac:dyDescent="0.25">
      <c r="A88" t="s">
        <v>708</v>
      </c>
      <c r="B88" s="89" t="s">
        <v>1319</v>
      </c>
      <c r="C88" s="95">
        <v>134400</v>
      </c>
      <c r="D88" s="95">
        <f t="shared" si="8"/>
        <v>134400</v>
      </c>
      <c r="E88" s="95" t="s">
        <v>709</v>
      </c>
      <c r="F88" s="68" t="s">
        <v>710</v>
      </c>
      <c r="G88" s="68" t="s">
        <v>449</v>
      </c>
      <c r="H88" s="68" t="s">
        <v>450</v>
      </c>
      <c r="I88" s="68" t="s">
        <v>451</v>
      </c>
      <c r="J88" s="241" t="s">
        <v>1318</v>
      </c>
      <c r="K88" t="s">
        <v>1274</v>
      </c>
      <c r="L88">
        <v>1400</v>
      </c>
      <c r="M88" t="s">
        <v>711</v>
      </c>
      <c r="N88" t="s">
        <v>338</v>
      </c>
      <c r="O88" s="90" t="s">
        <v>339</v>
      </c>
      <c r="P88" t="str">
        <f t="shared" si="7"/>
        <v>Arrêté ministériel POLLEC 2020_SUPRA_RH_2 du 02-12-2020</v>
      </c>
    </row>
    <row r="89" spans="1:16" x14ac:dyDescent="0.25">
      <c r="A89" t="s">
        <v>1139</v>
      </c>
      <c r="B89" s="89" t="s">
        <v>1320</v>
      </c>
      <c r="C89" s="95">
        <v>22400</v>
      </c>
      <c r="D89" s="95">
        <f>C89*0.8</f>
        <v>17920</v>
      </c>
      <c r="E89" t="s">
        <v>1234</v>
      </c>
      <c r="F89" s="68" t="s">
        <v>1169</v>
      </c>
      <c r="G89" s="68" t="s">
        <v>1193</v>
      </c>
      <c r="H89" s="68" t="s">
        <v>1195</v>
      </c>
      <c r="I89" s="68" t="s">
        <v>1197</v>
      </c>
      <c r="J89" s="68">
        <v>500070344</v>
      </c>
      <c r="K89" t="s">
        <v>1275</v>
      </c>
      <c r="L89">
        <v>1315</v>
      </c>
      <c r="M89" t="s">
        <v>1204</v>
      </c>
      <c r="N89" t="s">
        <v>1227</v>
      </c>
      <c r="O89" s="238" t="s">
        <v>1291</v>
      </c>
      <c r="P89" t="str">
        <f t="shared" si="7"/>
        <v>Arrêté ministériel POLLEC 2021_P21_RH1 du 13-12-2021</v>
      </c>
    </row>
    <row r="90" spans="1:16" x14ac:dyDescent="0.25">
      <c r="A90" t="s">
        <v>712</v>
      </c>
      <c r="B90" s="89" t="s">
        <v>1319</v>
      </c>
      <c r="C90" s="95">
        <v>22400</v>
      </c>
      <c r="D90" s="95">
        <f t="shared" ref="D90:D97" si="9">C90</f>
        <v>22400</v>
      </c>
      <c r="E90" s="68" t="s">
        <v>713</v>
      </c>
      <c r="F90" s="68" t="s">
        <v>714</v>
      </c>
      <c r="G90" s="68" t="s">
        <v>333</v>
      </c>
      <c r="H90" s="68" t="s">
        <v>350</v>
      </c>
      <c r="I90" s="68" t="s">
        <v>351</v>
      </c>
      <c r="J90" s="241" t="s">
        <v>1318</v>
      </c>
      <c r="K90" t="s">
        <v>715</v>
      </c>
      <c r="L90">
        <v>1460</v>
      </c>
      <c r="M90" t="s">
        <v>716</v>
      </c>
      <c r="N90" t="s">
        <v>338</v>
      </c>
      <c r="O90" s="90" t="s">
        <v>339</v>
      </c>
      <c r="P90" t="str">
        <f t="shared" si="7"/>
        <v>Arrêté ministériel POLLEC 2020_RH_1 du 02-12-2020</v>
      </c>
    </row>
    <row r="91" spans="1:16" x14ac:dyDescent="0.25">
      <c r="A91" t="s">
        <v>717</v>
      </c>
      <c r="B91" s="89" t="s">
        <v>1319</v>
      </c>
      <c r="C91" s="95">
        <v>22400</v>
      </c>
      <c r="D91" s="95">
        <f t="shared" si="9"/>
        <v>22400</v>
      </c>
      <c r="E91" s="68" t="s">
        <v>718</v>
      </c>
      <c r="F91" s="68" t="s">
        <v>719</v>
      </c>
      <c r="G91" s="68" t="s">
        <v>333</v>
      </c>
      <c r="H91" s="68" t="s">
        <v>350</v>
      </c>
      <c r="I91" s="68" t="s">
        <v>351</v>
      </c>
      <c r="J91" s="241" t="s">
        <v>1318</v>
      </c>
      <c r="K91" t="s">
        <v>720</v>
      </c>
      <c r="L91">
        <v>4845</v>
      </c>
      <c r="M91" t="s">
        <v>721</v>
      </c>
      <c r="N91" t="s">
        <v>338</v>
      </c>
      <c r="O91" s="90" t="s">
        <v>339</v>
      </c>
      <c r="P91" t="str">
        <f t="shared" si="7"/>
        <v>Arrêté ministériel POLLEC 2020_RH_1 du 02-12-2020</v>
      </c>
    </row>
    <row r="92" spans="1:16" x14ac:dyDescent="0.25">
      <c r="A92" t="s">
        <v>722</v>
      </c>
      <c r="B92" s="89" t="s">
        <v>1319</v>
      </c>
      <c r="C92" s="95">
        <v>33600</v>
      </c>
      <c r="D92" s="95">
        <f t="shared" si="9"/>
        <v>33600</v>
      </c>
      <c r="E92" s="68" t="s">
        <v>723</v>
      </c>
      <c r="F92" s="68" t="s">
        <v>724</v>
      </c>
      <c r="G92" s="68" t="s">
        <v>333</v>
      </c>
      <c r="H92" s="68" t="s">
        <v>559</v>
      </c>
      <c r="I92" s="68" t="s">
        <v>560</v>
      </c>
      <c r="J92" s="241" t="s">
        <v>1318</v>
      </c>
      <c r="K92" t="s">
        <v>725</v>
      </c>
      <c r="L92">
        <v>1370</v>
      </c>
      <c r="M92" t="s">
        <v>726</v>
      </c>
      <c r="N92" t="s">
        <v>338</v>
      </c>
      <c r="O92" s="90" t="s">
        <v>339</v>
      </c>
      <c r="P92" t="str">
        <f t="shared" si="7"/>
        <v>Arrêté ministériel POLLEC 2020_RH_6 du 02-12-2020</v>
      </c>
    </row>
    <row r="93" spans="1:16" x14ac:dyDescent="0.25">
      <c r="A93" t="s">
        <v>727</v>
      </c>
      <c r="B93" s="89" t="s">
        <v>1319</v>
      </c>
      <c r="C93" s="95">
        <v>22400</v>
      </c>
      <c r="D93" s="95">
        <f t="shared" si="9"/>
        <v>22400</v>
      </c>
      <c r="E93" s="68" t="s">
        <v>728</v>
      </c>
      <c r="F93" s="68" t="s">
        <v>729</v>
      </c>
      <c r="G93" s="68" t="s">
        <v>333</v>
      </c>
      <c r="H93" s="68" t="s">
        <v>334</v>
      </c>
      <c r="I93" s="68" t="s">
        <v>335</v>
      </c>
      <c r="J93" s="241" t="s">
        <v>1318</v>
      </c>
      <c r="K93" t="s">
        <v>730</v>
      </c>
      <c r="L93">
        <v>5080</v>
      </c>
      <c r="M93" t="s">
        <v>731</v>
      </c>
      <c r="N93" t="s">
        <v>338</v>
      </c>
      <c r="O93" s="90" t="s">
        <v>339</v>
      </c>
      <c r="P93" t="str">
        <f t="shared" si="7"/>
        <v>Arrêté ministériel POLLEC 2020_RH_3 du 02-12-2020</v>
      </c>
    </row>
    <row r="94" spans="1:16" x14ac:dyDescent="0.25">
      <c r="A94" t="s">
        <v>732</v>
      </c>
      <c r="B94" s="89" t="s">
        <v>1319</v>
      </c>
      <c r="C94" s="95">
        <v>22400</v>
      </c>
      <c r="D94" s="95">
        <f t="shared" si="9"/>
        <v>22400</v>
      </c>
      <c r="E94" s="68" t="s">
        <v>733</v>
      </c>
      <c r="F94" s="68" t="s">
        <v>734</v>
      </c>
      <c r="G94" s="68" t="s">
        <v>333</v>
      </c>
      <c r="H94" s="68" t="s">
        <v>350</v>
      </c>
      <c r="I94" s="68" t="s">
        <v>351</v>
      </c>
      <c r="J94" s="241" t="s">
        <v>1318</v>
      </c>
      <c r="K94" t="s">
        <v>735</v>
      </c>
      <c r="L94">
        <v>1310</v>
      </c>
      <c r="M94" t="s">
        <v>736</v>
      </c>
      <c r="N94" t="s">
        <v>338</v>
      </c>
      <c r="O94" s="90" t="s">
        <v>339</v>
      </c>
      <c r="P94" t="str">
        <f t="shared" si="7"/>
        <v>Arrêté ministériel POLLEC 2020_RH_1 du 02-12-2020</v>
      </c>
    </row>
    <row r="95" spans="1:16" x14ac:dyDescent="0.25">
      <c r="A95" t="s">
        <v>737</v>
      </c>
      <c r="B95" s="89" t="s">
        <v>1319</v>
      </c>
      <c r="C95" s="95">
        <v>67200</v>
      </c>
      <c r="D95" s="95">
        <f t="shared" si="9"/>
        <v>67200</v>
      </c>
      <c r="E95" s="68" t="s">
        <v>738</v>
      </c>
      <c r="F95" s="68" t="s">
        <v>739</v>
      </c>
      <c r="G95" s="68" t="s">
        <v>333</v>
      </c>
      <c r="H95" s="68" t="s">
        <v>350</v>
      </c>
      <c r="I95" s="68" t="s">
        <v>351</v>
      </c>
      <c r="J95" s="241" t="s">
        <v>1318</v>
      </c>
      <c r="K95" t="s">
        <v>688</v>
      </c>
      <c r="L95">
        <v>7100</v>
      </c>
      <c r="M95" t="s">
        <v>740</v>
      </c>
      <c r="N95" t="s">
        <v>338</v>
      </c>
      <c r="O95" s="90" t="s">
        <v>339</v>
      </c>
      <c r="P95" t="str">
        <f t="shared" si="7"/>
        <v>Arrêté ministériel POLLEC 2020_RH_1 du 02-12-2020</v>
      </c>
    </row>
    <row r="96" spans="1:16" x14ac:dyDescent="0.25">
      <c r="A96" t="s">
        <v>741</v>
      </c>
      <c r="B96" s="89" t="s">
        <v>1319</v>
      </c>
      <c r="C96" s="95">
        <v>22400</v>
      </c>
      <c r="D96" s="95">
        <f t="shared" si="9"/>
        <v>22400</v>
      </c>
      <c r="E96" s="68" t="s">
        <v>742</v>
      </c>
      <c r="F96" s="68" t="s">
        <v>743</v>
      </c>
      <c r="G96" s="68" t="s">
        <v>333</v>
      </c>
      <c r="H96" s="68" t="s">
        <v>559</v>
      </c>
      <c r="I96" s="68" t="s">
        <v>560</v>
      </c>
      <c r="J96" s="241" t="s">
        <v>1318</v>
      </c>
      <c r="K96" t="s">
        <v>744</v>
      </c>
      <c r="L96">
        <v>6980</v>
      </c>
      <c r="M96" t="s">
        <v>745</v>
      </c>
      <c r="N96" t="s">
        <v>338</v>
      </c>
      <c r="O96" s="90" t="s">
        <v>339</v>
      </c>
      <c r="P96" t="str">
        <f t="shared" si="7"/>
        <v>Arrêté ministériel POLLEC 2020_RH_6 du 02-12-2020</v>
      </c>
    </row>
    <row r="97" spans="1:16" x14ac:dyDescent="0.25">
      <c r="A97" t="s">
        <v>746</v>
      </c>
      <c r="B97" s="89" t="s">
        <v>1319</v>
      </c>
      <c r="C97" s="95">
        <v>33600</v>
      </c>
      <c r="D97" s="95">
        <f t="shared" si="9"/>
        <v>33600</v>
      </c>
      <c r="E97" s="68" t="s">
        <v>747</v>
      </c>
      <c r="F97" s="68" t="s">
        <v>748</v>
      </c>
      <c r="G97" s="68" t="s">
        <v>333</v>
      </c>
      <c r="H97" s="68" t="s">
        <v>559</v>
      </c>
      <c r="I97" s="68" t="s">
        <v>560</v>
      </c>
      <c r="J97" s="241" t="s">
        <v>1318</v>
      </c>
      <c r="K97" t="s">
        <v>749</v>
      </c>
      <c r="L97">
        <v>1380</v>
      </c>
      <c r="M97" t="s">
        <v>750</v>
      </c>
      <c r="N97" t="s">
        <v>338</v>
      </c>
      <c r="O97" s="90" t="s">
        <v>339</v>
      </c>
      <c r="P97" t="str">
        <f t="shared" si="7"/>
        <v>Arrêté ministériel POLLEC 2020_RH_6 du 02-12-2020</v>
      </c>
    </row>
    <row r="98" spans="1:16" x14ac:dyDescent="0.25">
      <c r="A98" t="s">
        <v>1161</v>
      </c>
      <c r="B98" s="89" t="s">
        <v>1320</v>
      </c>
      <c r="C98" s="95">
        <v>22400</v>
      </c>
      <c r="D98" s="95">
        <f>C98*0.8</f>
        <v>17920</v>
      </c>
      <c r="E98" s="68" t="s">
        <v>1251</v>
      </c>
      <c r="F98" s="68" t="s">
        <v>1191</v>
      </c>
      <c r="G98" s="68" t="s">
        <v>1193</v>
      </c>
      <c r="H98" s="68" t="s">
        <v>1195</v>
      </c>
      <c r="I98" s="68" t="s">
        <v>1197</v>
      </c>
      <c r="J98" s="68">
        <v>500070344</v>
      </c>
      <c r="K98" t="s">
        <v>1273</v>
      </c>
      <c r="L98">
        <v>7070</v>
      </c>
      <c r="M98" t="s">
        <v>1226</v>
      </c>
      <c r="N98" t="s">
        <v>1227</v>
      </c>
      <c r="O98" s="238" t="s">
        <v>1291</v>
      </c>
      <c r="P98" t="str">
        <f t="shared" ref="P98:P129" si="10">CONCATENATE(N98,H98,O98)</f>
        <v>Arrêté ministériel POLLEC 2021_P21_RH1 du 13-12-2021</v>
      </c>
    </row>
    <row r="99" spans="1:16" x14ac:dyDescent="0.25">
      <c r="A99" t="s">
        <v>1148</v>
      </c>
      <c r="B99" s="89" t="s">
        <v>1320</v>
      </c>
      <c r="C99" s="95">
        <v>22400</v>
      </c>
      <c r="D99" s="95">
        <f>C99*0.8</f>
        <v>17920</v>
      </c>
      <c r="E99" s="68" t="s">
        <v>1252</v>
      </c>
      <c r="F99" s="68" t="s">
        <v>1178</v>
      </c>
      <c r="G99" s="68" t="s">
        <v>1193</v>
      </c>
      <c r="H99" s="68" t="s">
        <v>1194</v>
      </c>
      <c r="I99" s="68" t="s">
        <v>1196</v>
      </c>
      <c r="J99" s="68">
        <v>500070345</v>
      </c>
      <c r="K99" t="s">
        <v>1272</v>
      </c>
      <c r="L99">
        <v>6860</v>
      </c>
      <c r="M99" t="s">
        <v>1213</v>
      </c>
      <c r="N99" t="s">
        <v>1227</v>
      </c>
      <c r="O99" s="240" t="s">
        <v>1291</v>
      </c>
      <c r="P99" t="str">
        <f t="shared" si="10"/>
        <v>Arrêté ministériel POLLEC 2021_P21_RH2 du 13-12-2021</v>
      </c>
    </row>
    <row r="100" spans="1:16" x14ac:dyDescent="0.25">
      <c r="A100" t="s">
        <v>751</v>
      </c>
      <c r="B100" s="89" t="s">
        <v>1319</v>
      </c>
      <c r="C100" s="95">
        <v>22400</v>
      </c>
      <c r="D100" s="95">
        <f t="shared" ref="D100:D119" si="11">C100</f>
        <v>22400</v>
      </c>
      <c r="E100" s="68" t="s">
        <v>752</v>
      </c>
      <c r="F100" s="68" t="s">
        <v>753</v>
      </c>
      <c r="G100" s="68" t="s">
        <v>333</v>
      </c>
      <c r="H100" s="68" t="s">
        <v>350</v>
      </c>
      <c r="I100" s="68" t="s">
        <v>351</v>
      </c>
      <c r="J100" s="241" t="s">
        <v>1318</v>
      </c>
      <c r="K100" t="s">
        <v>754</v>
      </c>
      <c r="L100">
        <v>7870</v>
      </c>
      <c r="M100" t="s">
        <v>755</v>
      </c>
      <c r="N100" t="s">
        <v>338</v>
      </c>
      <c r="O100" s="90" t="s">
        <v>339</v>
      </c>
      <c r="P100" t="str">
        <f t="shared" si="10"/>
        <v>Arrêté ministériel POLLEC 2020_RH_1 du 02-12-2020</v>
      </c>
    </row>
    <row r="101" spans="1:16" x14ac:dyDescent="0.25">
      <c r="A101" t="s">
        <v>756</v>
      </c>
      <c r="B101" s="89" t="s">
        <v>1319</v>
      </c>
      <c r="C101" s="95">
        <v>22400</v>
      </c>
      <c r="D101" s="95">
        <f t="shared" si="11"/>
        <v>22400</v>
      </c>
      <c r="E101" s="68" t="s">
        <v>757</v>
      </c>
      <c r="F101" s="68" t="s">
        <v>758</v>
      </c>
      <c r="G101" s="68" t="s">
        <v>333</v>
      </c>
      <c r="H101" s="68" t="s">
        <v>559</v>
      </c>
      <c r="I101" s="68" t="s">
        <v>560</v>
      </c>
      <c r="J101" s="241" t="s">
        <v>1318</v>
      </c>
      <c r="K101" t="s">
        <v>759</v>
      </c>
      <c r="L101">
        <v>6210</v>
      </c>
      <c r="M101" t="s">
        <v>760</v>
      </c>
      <c r="N101" t="s">
        <v>338</v>
      </c>
      <c r="O101" s="90" t="s">
        <v>339</v>
      </c>
      <c r="P101" t="str">
        <f t="shared" si="10"/>
        <v>Arrêté ministériel POLLEC 2020_RH_6 du 02-12-2020</v>
      </c>
    </row>
    <row r="102" spans="1:16" x14ac:dyDescent="0.25">
      <c r="A102" t="s">
        <v>761</v>
      </c>
      <c r="B102" s="89" t="s">
        <v>1319</v>
      </c>
      <c r="C102" s="95">
        <v>33600</v>
      </c>
      <c r="D102" s="95">
        <f t="shared" si="11"/>
        <v>33600</v>
      </c>
      <c r="E102" s="68" t="s">
        <v>762</v>
      </c>
      <c r="F102" s="68" t="s">
        <v>763</v>
      </c>
      <c r="G102" s="68" t="s">
        <v>333</v>
      </c>
      <c r="H102" s="68" t="s">
        <v>559</v>
      </c>
      <c r="I102" s="68" t="s">
        <v>560</v>
      </c>
      <c r="J102" s="241" t="s">
        <v>1318</v>
      </c>
      <c r="K102" t="s">
        <v>764</v>
      </c>
      <c r="L102">
        <v>7860</v>
      </c>
      <c r="M102" t="s">
        <v>765</v>
      </c>
      <c r="N102" t="s">
        <v>338</v>
      </c>
      <c r="O102" s="90" t="s">
        <v>339</v>
      </c>
      <c r="P102" t="str">
        <f t="shared" si="10"/>
        <v>Arrêté ministériel POLLEC 2020_RH_6 du 02-12-2020</v>
      </c>
    </row>
    <row r="103" spans="1:16" x14ac:dyDescent="0.25">
      <c r="A103" t="s">
        <v>766</v>
      </c>
      <c r="B103" s="89" t="s">
        <v>1319</v>
      </c>
      <c r="C103" s="95">
        <v>22400</v>
      </c>
      <c r="D103" s="95">
        <f t="shared" si="11"/>
        <v>22400</v>
      </c>
      <c r="E103" s="68" t="s">
        <v>767</v>
      </c>
      <c r="F103" s="68" t="s">
        <v>768</v>
      </c>
      <c r="G103" s="68" t="s">
        <v>333</v>
      </c>
      <c r="H103" s="68" t="s">
        <v>559</v>
      </c>
      <c r="I103" s="68" t="s">
        <v>560</v>
      </c>
      <c r="J103" s="241" t="s">
        <v>1318</v>
      </c>
      <c r="K103" t="s">
        <v>769</v>
      </c>
      <c r="L103">
        <v>6890</v>
      </c>
      <c r="M103" t="s">
        <v>770</v>
      </c>
      <c r="N103" t="s">
        <v>338</v>
      </c>
      <c r="O103" s="90" t="s">
        <v>339</v>
      </c>
      <c r="P103" t="str">
        <f t="shared" si="10"/>
        <v>Arrêté ministériel POLLEC 2020_RH_6 du 02-12-2020</v>
      </c>
    </row>
    <row r="104" spans="1:16" x14ac:dyDescent="0.25">
      <c r="A104" t="s">
        <v>771</v>
      </c>
      <c r="B104" s="89" t="s">
        <v>1319</v>
      </c>
      <c r="C104" s="95">
        <v>33600</v>
      </c>
      <c r="D104" s="95">
        <f t="shared" si="11"/>
        <v>33600</v>
      </c>
      <c r="E104" s="68" t="s">
        <v>772</v>
      </c>
      <c r="F104" s="68" t="s">
        <v>773</v>
      </c>
      <c r="G104" s="68" t="s">
        <v>333</v>
      </c>
      <c r="H104" s="68" t="s">
        <v>343</v>
      </c>
      <c r="I104" s="68" t="s">
        <v>344</v>
      </c>
      <c r="J104" s="241" t="s">
        <v>1318</v>
      </c>
      <c r="K104" t="s">
        <v>774</v>
      </c>
      <c r="L104">
        <v>6800</v>
      </c>
      <c r="M104" t="s">
        <v>775</v>
      </c>
      <c r="N104" t="s">
        <v>338</v>
      </c>
      <c r="O104" s="90" t="s">
        <v>339</v>
      </c>
      <c r="P104" t="str">
        <f t="shared" si="10"/>
        <v>Arrêté ministériel POLLEC 2020_RH_4 du 02-12-2020</v>
      </c>
    </row>
    <row r="105" spans="1:16" x14ac:dyDescent="0.25">
      <c r="A105" t="s">
        <v>776</v>
      </c>
      <c r="B105" s="89" t="s">
        <v>1319</v>
      </c>
      <c r="C105" s="95">
        <v>67200</v>
      </c>
      <c r="D105" s="95">
        <f t="shared" si="11"/>
        <v>67200</v>
      </c>
      <c r="E105" s="68" t="s">
        <v>777</v>
      </c>
      <c r="F105" s="68" t="s">
        <v>778</v>
      </c>
      <c r="G105" s="68" t="s">
        <v>333</v>
      </c>
      <c r="H105" s="68" t="s">
        <v>350</v>
      </c>
      <c r="I105" s="68" t="s">
        <v>351</v>
      </c>
      <c r="J105" s="241" t="s">
        <v>1318</v>
      </c>
      <c r="K105" t="s">
        <v>779</v>
      </c>
      <c r="L105">
        <v>4000</v>
      </c>
      <c r="M105" t="s">
        <v>780</v>
      </c>
      <c r="N105" t="s">
        <v>338</v>
      </c>
      <c r="O105" s="90" t="s">
        <v>339</v>
      </c>
      <c r="P105" t="str">
        <f t="shared" si="10"/>
        <v>Arrêté ministériel POLLEC 2020_RH_1 du 02-12-2020</v>
      </c>
    </row>
    <row r="106" spans="1:16" x14ac:dyDescent="0.25">
      <c r="A106" t="s">
        <v>781</v>
      </c>
      <c r="B106" s="89" t="s">
        <v>1319</v>
      </c>
      <c r="C106" s="95">
        <v>22400</v>
      </c>
      <c r="D106" s="95">
        <f t="shared" si="11"/>
        <v>22400</v>
      </c>
      <c r="E106" s="68" t="s">
        <v>782</v>
      </c>
      <c r="F106" s="68" t="s">
        <v>783</v>
      </c>
      <c r="G106" s="68" t="s">
        <v>333</v>
      </c>
      <c r="H106" s="68" t="s">
        <v>784</v>
      </c>
      <c r="I106" s="68" t="s">
        <v>785</v>
      </c>
      <c r="J106" s="241" t="s">
        <v>1318</v>
      </c>
      <c r="K106" t="s">
        <v>786</v>
      </c>
      <c r="L106">
        <v>4830</v>
      </c>
      <c r="M106" t="s">
        <v>787</v>
      </c>
      <c r="N106" t="s">
        <v>338</v>
      </c>
      <c r="O106" s="90" t="s">
        <v>339</v>
      </c>
      <c r="P106" t="str">
        <f t="shared" si="10"/>
        <v>Arrêté ministériel POLLEC 2020_RH_7 du 02-12-2020</v>
      </c>
    </row>
    <row r="107" spans="1:16" x14ac:dyDescent="0.25">
      <c r="A107" t="s">
        <v>788</v>
      </c>
      <c r="B107" s="89" t="s">
        <v>1319</v>
      </c>
      <c r="C107" s="95">
        <v>22400</v>
      </c>
      <c r="D107" s="95">
        <f t="shared" si="11"/>
        <v>22400</v>
      </c>
      <c r="E107" s="68" t="s">
        <v>789</v>
      </c>
      <c r="F107" s="68" t="s">
        <v>790</v>
      </c>
      <c r="G107" s="68" t="s">
        <v>333</v>
      </c>
      <c r="H107" s="68" t="s">
        <v>784</v>
      </c>
      <c r="I107" s="68" t="s">
        <v>785</v>
      </c>
      <c r="J107" s="241" t="s">
        <v>1318</v>
      </c>
      <c r="K107" t="s">
        <v>791</v>
      </c>
      <c r="L107">
        <v>6540</v>
      </c>
      <c r="M107" t="s">
        <v>792</v>
      </c>
      <c r="N107" t="s">
        <v>338</v>
      </c>
      <c r="O107" s="90" t="s">
        <v>339</v>
      </c>
      <c r="P107" t="str">
        <f t="shared" si="10"/>
        <v>Arrêté ministériel POLLEC 2020_RH_7 du 02-12-2020</v>
      </c>
    </row>
    <row r="108" spans="1:16" x14ac:dyDescent="0.25">
      <c r="A108" t="s">
        <v>793</v>
      </c>
      <c r="B108" s="89" t="s">
        <v>1319</v>
      </c>
      <c r="C108" s="95">
        <v>33600</v>
      </c>
      <c r="D108" s="95">
        <f t="shared" si="11"/>
        <v>33600</v>
      </c>
      <c r="E108" s="68" t="s">
        <v>794</v>
      </c>
      <c r="F108" s="68" t="s">
        <v>795</v>
      </c>
      <c r="G108" s="68" t="s">
        <v>333</v>
      </c>
      <c r="H108" s="68" t="s">
        <v>334</v>
      </c>
      <c r="I108" s="68" t="s">
        <v>335</v>
      </c>
      <c r="J108" s="241" t="s">
        <v>1318</v>
      </c>
      <c r="K108" t="s">
        <v>796</v>
      </c>
      <c r="L108">
        <v>4960</v>
      </c>
      <c r="M108" t="s">
        <v>797</v>
      </c>
      <c r="N108" t="s">
        <v>338</v>
      </c>
      <c r="O108" s="90" t="s">
        <v>339</v>
      </c>
      <c r="P108" t="str">
        <f t="shared" si="10"/>
        <v>Arrêté ministériel POLLEC 2020_RH_3 du 02-12-2020</v>
      </c>
    </row>
    <row r="109" spans="1:16" x14ac:dyDescent="0.25">
      <c r="A109" t="s">
        <v>798</v>
      </c>
      <c r="B109" s="89" t="s">
        <v>1319</v>
      </c>
      <c r="C109" s="95">
        <v>22400</v>
      </c>
      <c r="D109" s="95">
        <f t="shared" si="11"/>
        <v>22400</v>
      </c>
      <c r="E109" s="68" t="s">
        <v>799</v>
      </c>
      <c r="F109" s="68" t="s">
        <v>800</v>
      </c>
      <c r="G109" s="68" t="s">
        <v>333</v>
      </c>
      <c r="H109" s="68" t="s">
        <v>350</v>
      </c>
      <c r="I109" s="68" t="s">
        <v>351</v>
      </c>
      <c r="J109" s="241" t="s">
        <v>1318</v>
      </c>
      <c r="K109" t="s">
        <v>801</v>
      </c>
      <c r="L109">
        <v>6630</v>
      </c>
      <c r="M109" t="s">
        <v>802</v>
      </c>
      <c r="N109" t="s">
        <v>338</v>
      </c>
      <c r="O109" s="90" t="s">
        <v>339</v>
      </c>
      <c r="P109" t="str">
        <f t="shared" si="10"/>
        <v>Arrêté ministériel POLLEC 2020_RH_1 du 02-12-2020</v>
      </c>
    </row>
    <row r="110" spans="1:16" x14ac:dyDescent="0.25">
      <c r="A110" t="s">
        <v>803</v>
      </c>
      <c r="B110" s="89" t="s">
        <v>1319</v>
      </c>
      <c r="C110" s="95">
        <v>22400</v>
      </c>
      <c r="D110" s="95">
        <f t="shared" si="11"/>
        <v>22400</v>
      </c>
      <c r="E110" s="68" t="s">
        <v>804</v>
      </c>
      <c r="F110" s="68" t="s">
        <v>805</v>
      </c>
      <c r="G110" s="68" t="s">
        <v>333</v>
      </c>
      <c r="H110" s="68" t="s">
        <v>343</v>
      </c>
      <c r="I110" s="68" t="s">
        <v>344</v>
      </c>
      <c r="J110" s="241" t="s">
        <v>1318</v>
      </c>
      <c r="K110" t="s">
        <v>806</v>
      </c>
      <c r="L110">
        <v>6769</v>
      </c>
      <c r="M110" t="s">
        <v>807</v>
      </c>
      <c r="N110" t="s">
        <v>338</v>
      </c>
      <c r="O110" s="90" t="s">
        <v>339</v>
      </c>
      <c r="P110" t="str">
        <f t="shared" si="10"/>
        <v>Arrêté ministériel POLLEC 2020_RH_4 du 02-12-2020</v>
      </c>
    </row>
    <row r="111" spans="1:16" x14ac:dyDescent="0.25">
      <c r="A111" t="s">
        <v>808</v>
      </c>
      <c r="B111" s="89" t="s">
        <v>1319</v>
      </c>
      <c r="C111" s="95">
        <v>22400</v>
      </c>
      <c r="D111" s="95">
        <f t="shared" si="11"/>
        <v>22400</v>
      </c>
      <c r="E111" s="68" t="s">
        <v>809</v>
      </c>
      <c r="F111" s="68" t="s">
        <v>810</v>
      </c>
      <c r="G111" s="68" t="s">
        <v>333</v>
      </c>
      <c r="H111" s="68" t="s">
        <v>784</v>
      </c>
      <c r="I111" s="68" t="s">
        <v>785</v>
      </c>
      <c r="J111" s="241" t="s">
        <v>1318</v>
      </c>
      <c r="K111" t="s">
        <v>811</v>
      </c>
      <c r="L111">
        <v>6590</v>
      </c>
      <c r="M111" t="s">
        <v>812</v>
      </c>
      <c r="N111" t="s">
        <v>338</v>
      </c>
      <c r="O111" s="90" t="s">
        <v>339</v>
      </c>
      <c r="P111" t="str">
        <f t="shared" si="10"/>
        <v>Arrêté ministériel POLLEC 2020_RH_7 du 02-12-2020</v>
      </c>
    </row>
    <row r="112" spans="1:16" x14ac:dyDescent="0.25">
      <c r="A112" t="s">
        <v>813</v>
      </c>
      <c r="B112" s="89" t="s">
        <v>1319</v>
      </c>
      <c r="C112" s="95">
        <v>67200</v>
      </c>
      <c r="D112" s="95">
        <f t="shared" si="11"/>
        <v>67200</v>
      </c>
      <c r="E112" s="68" t="s">
        <v>814</v>
      </c>
      <c r="F112" s="68" t="s">
        <v>815</v>
      </c>
      <c r="G112" s="68" t="s">
        <v>333</v>
      </c>
      <c r="H112" s="68" t="s">
        <v>350</v>
      </c>
      <c r="I112" s="68" t="s">
        <v>351</v>
      </c>
      <c r="J112" s="241" t="s">
        <v>1318</v>
      </c>
      <c r="K112" t="s">
        <v>816</v>
      </c>
      <c r="L112">
        <v>7000</v>
      </c>
      <c r="M112" t="s">
        <v>817</v>
      </c>
      <c r="N112" t="s">
        <v>338</v>
      </c>
      <c r="O112" s="90" t="s">
        <v>339</v>
      </c>
      <c r="P112" t="str">
        <f t="shared" si="10"/>
        <v>Arrêté ministériel POLLEC 2020_RH_1 du 02-12-2020</v>
      </c>
    </row>
    <row r="113" spans="1:16" x14ac:dyDescent="0.25">
      <c r="A113" t="s">
        <v>818</v>
      </c>
      <c r="B113" s="89" t="s">
        <v>1319</v>
      </c>
      <c r="C113" s="95">
        <v>22400</v>
      </c>
      <c r="D113" s="95">
        <f t="shared" si="11"/>
        <v>22400</v>
      </c>
      <c r="E113" s="68" t="s">
        <v>819</v>
      </c>
      <c r="F113" s="68" t="s">
        <v>820</v>
      </c>
      <c r="G113" s="68" t="s">
        <v>333</v>
      </c>
      <c r="H113" s="68" t="s">
        <v>784</v>
      </c>
      <c r="I113" s="68" t="s">
        <v>785</v>
      </c>
      <c r="J113" s="241" t="s">
        <v>1318</v>
      </c>
      <c r="K113" t="s">
        <v>821</v>
      </c>
      <c r="L113">
        <v>1435</v>
      </c>
      <c r="M113" t="s">
        <v>822</v>
      </c>
      <c r="N113" t="s">
        <v>338</v>
      </c>
      <c r="O113" s="90" t="s">
        <v>339</v>
      </c>
      <c r="P113" t="str">
        <f t="shared" si="10"/>
        <v>Arrêté ministériel POLLEC 2020_RH_7 du 02-12-2020</v>
      </c>
    </row>
    <row r="114" spans="1:16" x14ac:dyDescent="0.25">
      <c r="A114" t="s">
        <v>823</v>
      </c>
      <c r="B114" s="89" t="s">
        <v>1319</v>
      </c>
      <c r="C114" s="95">
        <v>67200</v>
      </c>
      <c r="D114" s="95">
        <f t="shared" si="11"/>
        <v>67200</v>
      </c>
      <c r="E114" s="68" t="s">
        <v>824</v>
      </c>
      <c r="F114" s="68" t="s">
        <v>825</v>
      </c>
      <c r="G114" s="68" t="s">
        <v>333</v>
      </c>
      <c r="H114" s="68" t="s">
        <v>522</v>
      </c>
      <c r="I114" s="68" t="s">
        <v>523</v>
      </c>
      <c r="J114" s="241" t="s">
        <v>1318</v>
      </c>
      <c r="K114" t="s">
        <v>826</v>
      </c>
      <c r="L114">
        <v>7700</v>
      </c>
      <c r="M114" t="s">
        <v>827</v>
      </c>
      <c r="N114" t="s">
        <v>338</v>
      </c>
      <c r="O114" s="90" t="s">
        <v>339</v>
      </c>
      <c r="P114" t="str">
        <f t="shared" si="10"/>
        <v>Arrêté ministériel POLLEC 2020_RH_2 du 02-12-2020</v>
      </c>
    </row>
    <row r="115" spans="1:16" x14ac:dyDescent="0.25">
      <c r="A115" t="s">
        <v>828</v>
      </c>
      <c r="B115" s="89" t="s">
        <v>1319</v>
      </c>
      <c r="C115" s="95">
        <v>22400</v>
      </c>
      <c r="D115" s="95">
        <f t="shared" si="11"/>
        <v>22400</v>
      </c>
      <c r="E115" s="68" t="s">
        <v>829</v>
      </c>
      <c r="F115" s="68" t="s">
        <v>830</v>
      </c>
      <c r="G115" s="68" t="s">
        <v>333</v>
      </c>
      <c r="H115" s="68" t="s">
        <v>343</v>
      </c>
      <c r="I115" s="68" t="s">
        <v>344</v>
      </c>
      <c r="J115" s="241" t="s">
        <v>1318</v>
      </c>
      <c r="K115" t="s">
        <v>831</v>
      </c>
      <c r="L115">
        <v>6750</v>
      </c>
      <c r="M115" t="s">
        <v>832</v>
      </c>
      <c r="N115" t="s">
        <v>338</v>
      </c>
      <c r="O115" s="90" t="s">
        <v>339</v>
      </c>
      <c r="P115" t="str">
        <f t="shared" si="10"/>
        <v>Arrêté ministériel POLLEC 2020_RH_4 du 02-12-2020</v>
      </c>
    </row>
    <row r="116" spans="1:16" x14ac:dyDescent="0.25">
      <c r="A116" t="s">
        <v>453</v>
      </c>
      <c r="B116" s="89" t="s">
        <v>1319</v>
      </c>
      <c r="C116" s="95">
        <v>67200</v>
      </c>
      <c r="D116" s="95">
        <f t="shared" si="11"/>
        <v>67200</v>
      </c>
      <c r="E116" s="68" t="s">
        <v>833</v>
      </c>
      <c r="F116" s="68" t="s">
        <v>834</v>
      </c>
      <c r="G116" s="68" t="s">
        <v>333</v>
      </c>
      <c r="H116" s="68" t="s">
        <v>784</v>
      </c>
      <c r="I116" s="68" t="s">
        <v>785</v>
      </c>
      <c r="J116" s="241" t="s">
        <v>1318</v>
      </c>
      <c r="K116" t="s">
        <v>835</v>
      </c>
      <c r="L116">
        <v>5000</v>
      </c>
      <c r="M116" t="s">
        <v>836</v>
      </c>
      <c r="N116" t="s">
        <v>338</v>
      </c>
      <c r="O116" s="90" t="s">
        <v>339</v>
      </c>
      <c r="P116" t="str">
        <f t="shared" si="10"/>
        <v>Arrêté ministériel POLLEC 2020_RH_7 du 02-12-2020</v>
      </c>
    </row>
    <row r="117" spans="1:16" x14ac:dyDescent="0.25">
      <c r="A117" t="s">
        <v>837</v>
      </c>
      <c r="B117" s="89" t="s">
        <v>1319</v>
      </c>
      <c r="C117" s="95">
        <v>22400</v>
      </c>
      <c r="D117" s="95">
        <f t="shared" si="11"/>
        <v>22400</v>
      </c>
      <c r="E117" s="68" t="s">
        <v>838</v>
      </c>
      <c r="F117" s="68" t="s">
        <v>839</v>
      </c>
      <c r="G117" s="68" t="s">
        <v>333</v>
      </c>
      <c r="H117" s="68" t="s">
        <v>784</v>
      </c>
      <c r="I117" s="68" t="s">
        <v>785</v>
      </c>
      <c r="J117" s="241" t="s">
        <v>1318</v>
      </c>
      <c r="K117" t="s">
        <v>840</v>
      </c>
      <c r="L117">
        <v>6950</v>
      </c>
      <c r="M117" t="s">
        <v>841</v>
      </c>
      <c r="N117" t="s">
        <v>338</v>
      </c>
      <c r="O117" s="90" t="s">
        <v>339</v>
      </c>
      <c r="P117" t="str">
        <f t="shared" si="10"/>
        <v>Arrêté ministériel POLLEC 2020_RH_7 du 02-12-2020</v>
      </c>
    </row>
    <row r="118" spans="1:16" x14ac:dyDescent="0.25">
      <c r="A118" t="s">
        <v>842</v>
      </c>
      <c r="B118" s="89" t="s">
        <v>1319</v>
      </c>
      <c r="C118" s="95">
        <v>22400</v>
      </c>
      <c r="D118" s="95">
        <f t="shared" si="11"/>
        <v>22400</v>
      </c>
      <c r="E118" s="68" t="s">
        <v>843</v>
      </c>
      <c r="F118" s="68" t="s">
        <v>844</v>
      </c>
      <c r="G118" s="68" t="s">
        <v>333</v>
      </c>
      <c r="H118" s="68" t="s">
        <v>334</v>
      </c>
      <c r="I118" s="68" t="s">
        <v>335</v>
      </c>
      <c r="J118" s="241" t="s">
        <v>1318</v>
      </c>
      <c r="K118" t="s">
        <v>811</v>
      </c>
      <c r="L118">
        <v>6840</v>
      </c>
      <c r="M118" t="s">
        <v>845</v>
      </c>
      <c r="N118" t="s">
        <v>338</v>
      </c>
      <c r="O118" s="90" t="s">
        <v>339</v>
      </c>
      <c r="P118" t="str">
        <f t="shared" si="10"/>
        <v>Arrêté ministériel POLLEC 2020_RH_3 du 02-12-2020</v>
      </c>
    </row>
    <row r="119" spans="1:16" x14ac:dyDescent="0.25">
      <c r="A119" t="s">
        <v>846</v>
      </c>
      <c r="B119" s="89" t="s">
        <v>1319</v>
      </c>
      <c r="C119" s="95">
        <v>22400</v>
      </c>
      <c r="D119" s="95">
        <f t="shared" si="11"/>
        <v>22400</v>
      </c>
      <c r="E119" s="68" t="s">
        <v>847</v>
      </c>
      <c r="F119" s="68" t="s">
        <v>848</v>
      </c>
      <c r="G119" s="68" t="s">
        <v>333</v>
      </c>
      <c r="H119" s="68" t="s">
        <v>334</v>
      </c>
      <c r="I119" s="68" t="s">
        <v>335</v>
      </c>
      <c r="J119" s="241" t="s">
        <v>1318</v>
      </c>
      <c r="K119" t="s">
        <v>849</v>
      </c>
      <c r="L119">
        <v>4120</v>
      </c>
      <c r="M119" t="s">
        <v>850</v>
      </c>
      <c r="N119" t="s">
        <v>338</v>
      </c>
      <c r="O119" s="90" t="s">
        <v>339</v>
      </c>
      <c r="P119" t="str">
        <f t="shared" si="10"/>
        <v>Arrêté ministériel POLLEC 2020_RH_3 du 02-12-2020</v>
      </c>
    </row>
    <row r="120" spans="1:16" x14ac:dyDescent="0.25">
      <c r="A120" t="s">
        <v>1162</v>
      </c>
      <c r="B120" s="89" t="s">
        <v>1320</v>
      </c>
      <c r="C120" s="95">
        <v>33600</v>
      </c>
      <c r="D120" s="95">
        <f>C120*0.8</f>
        <v>26880</v>
      </c>
      <c r="E120" s="68" t="s">
        <v>1253</v>
      </c>
      <c r="F120" s="68" t="s">
        <v>1192</v>
      </c>
      <c r="G120" s="68" t="s">
        <v>1193</v>
      </c>
      <c r="H120" s="68" t="s">
        <v>1194</v>
      </c>
      <c r="I120" s="68" t="s">
        <v>1196</v>
      </c>
      <c r="J120" s="68">
        <v>500070345</v>
      </c>
      <c r="K120" t="s">
        <v>1271</v>
      </c>
      <c r="L120">
        <v>1400</v>
      </c>
      <c r="M120" t="s">
        <v>711</v>
      </c>
      <c r="N120" t="s">
        <v>1227</v>
      </c>
      <c r="O120" s="238" t="s">
        <v>1291</v>
      </c>
      <c r="P120" t="str">
        <f t="shared" si="10"/>
        <v>Arrêté ministériel POLLEC 2021_P21_RH2 du 13-12-2021</v>
      </c>
    </row>
    <row r="121" spans="1:16" x14ac:dyDescent="0.25">
      <c r="A121" t="s">
        <v>1141</v>
      </c>
      <c r="B121" s="89" t="s">
        <v>1320</v>
      </c>
      <c r="C121" s="95">
        <v>22400</v>
      </c>
      <c r="D121" s="95">
        <f>C121*0.8</f>
        <v>17920</v>
      </c>
      <c r="E121" s="68" t="s">
        <v>1236</v>
      </c>
      <c r="F121" s="68" t="s">
        <v>1171</v>
      </c>
      <c r="G121" s="68" t="s">
        <v>1193</v>
      </c>
      <c r="H121" s="68" t="s">
        <v>1194</v>
      </c>
      <c r="I121" s="68" t="s">
        <v>1196</v>
      </c>
      <c r="J121" s="68">
        <v>500070345</v>
      </c>
      <c r="K121" t="s">
        <v>1270</v>
      </c>
      <c r="L121">
        <v>5350</v>
      </c>
      <c r="M121" t="s">
        <v>1206</v>
      </c>
      <c r="N121" t="s">
        <v>1227</v>
      </c>
      <c r="O121" s="240" t="s">
        <v>1291</v>
      </c>
      <c r="P121" t="str">
        <f t="shared" si="10"/>
        <v>Arrêté ministériel POLLEC 2021_P21_RH2 du 13-12-2021</v>
      </c>
    </row>
    <row r="122" spans="1:16" x14ac:dyDescent="0.25">
      <c r="A122" t="s">
        <v>1138</v>
      </c>
      <c r="B122" s="89" t="s">
        <v>1320</v>
      </c>
      <c r="C122" s="95">
        <v>22400</v>
      </c>
      <c r="D122" s="95">
        <f>C122*0.8</f>
        <v>17920</v>
      </c>
      <c r="E122" t="s">
        <v>1233</v>
      </c>
      <c r="F122" s="68" t="s">
        <v>1168</v>
      </c>
      <c r="G122" s="68" t="s">
        <v>1193</v>
      </c>
      <c r="H122" s="68" t="s">
        <v>1194</v>
      </c>
      <c r="I122" s="68" t="s">
        <v>1196</v>
      </c>
      <c r="J122" s="68">
        <v>500070345</v>
      </c>
      <c r="K122" t="s">
        <v>1269</v>
      </c>
      <c r="L122">
        <v>5520</v>
      </c>
      <c r="M122" t="s">
        <v>1203</v>
      </c>
      <c r="N122" t="s">
        <v>1227</v>
      </c>
      <c r="O122" s="238" t="s">
        <v>1291</v>
      </c>
      <c r="P122" t="str">
        <f t="shared" si="10"/>
        <v>Arrêté ministériel POLLEC 2021_P21_RH2 du 13-12-2021</v>
      </c>
    </row>
    <row r="123" spans="1:16" x14ac:dyDescent="0.25">
      <c r="A123" t="s">
        <v>851</v>
      </c>
      <c r="B123" s="89" t="s">
        <v>1319</v>
      </c>
      <c r="C123" s="95">
        <v>22400</v>
      </c>
      <c r="D123" s="95">
        <f t="shared" ref="D123:D145" si="12">C123</f>
        <v>22400</v>
      </c>
      <c r="E123" s="68" t="s">
        <v>852</v>
      </c>
      <c r="F123" s="68" t="s">
        <v>853</v>
      </c>
      <c r="G123" s="68" t="s">
        <v>333</v>
      </c>
      <c r="H123" s="68" t="s">
        <v>522</v>
      </c>
      <c r="I123" s="68" t="s">
        <v>523</v>
      </c>
      <c r="J123" s="241" t="s">
        <v>1318</v>
      </c>
      <c r="K123" t="s">
        <v>854</v>
      </c>
      <c r="L123">
        <v>1350</v>
      </c>
      <c r="M123" t="s">
        <v>855</v>
      </c>
      <c r="N123" t="s">
        <v>338</v>
      </c>
      <c r="O123" s="90" t="s">
        <v>339</v>
      </c>
      <c r="P123" t="str">
        <f t="shared" si="10"/>
        <v>Arrêté ministériel POLLEC 2020_RH_2 du 02-12-2020</v>
      </c>
    </row>
    <row r="124" spans="1:16" x14ac:dyDescent="0.25">
      <c r="A124" t="s">
        <v>856</v>
      </c>
      <c r="B124" s="89" t="s">
        <v>1319</v>
      </c>
      <c r="C124" s="95">
        <v>33600</v>
      </c>
      <c r="D124" s="95">
        <f t="shared" si="12"/>
        <v>33600</v>
      </c>
      <c r="E124" s="68" t="s">
        <v>857</v>
      </c>
      <c r="F124" s="68" t="s">
        <v>858</v>
      </c>
      <c r="G124" s="68" t="s">
        <v>333</v>
      </c>
      <c r="H124" s="68" t="s">
        <v>522</v>
      </c>
      <c r="I124" s="68" t="s">
        <v>523</v>
      </c>
      <c r="J124" s="241" t="s">
        <v>1318</v>
      </c>
      <c r="K124" t="s">
        <v>859</v>
      </c>
      <c r="L124">
        <v>1340</v>
      </c>
      <c r="M124" t="s">
        <v>860</v>
      </c>
      <c r="N124" t="s">
        <v>338</v>
      </c>
      <c r="O124" s="90" t="s">
        <v>339</v>
      </c>
      <c r="P124" t="str">
        <f t="shared" si="10"/>
        <v>Arrêté ministériel POLLEC 2020_RH_2 du 02-12-2020</v>
      </c>
    </row>
    <row r="125" spans="1:16" x14ac:dyDescent="0.25">
      <c r="A125" t="s">
        <v>861</v>
      </c>
      <c r="B125" s="89" t="s">
        <v>1319</v>
      </c>
      <c r="C125" s="95">
        <v>33600</v>
      </c>
      <c r="D125" s="95">
        <f t="shared" si="12"/>
        <v>33600</v>
      </c>
      <c r="E125" s="68" t="s">
        <v>862</v>
      </c>
      <c r="F125" s="68" t="s">
        <v>863</v>
      </c>
      <c r="G125" s="68" t="s">
        <v>333</v>
      </c>
      <c r="H125" s="68" t="s">
        <v>784</v>
      </c>
      <c r="I125" s="68" t="s">
        <v>785</v>
      </c>
      <c r="J125" s="241" t="s">
        <v>1318</v>
      </c>
      <c r="K125" t="s">
        <v>864</v>
      </c>
      <c r="L125">
        <v>4684</v>
      </c>
      <c r="M125" t="s">
        <v>865</v>
      </c>
      <c r="N125" t="s">
        <v>338</v>
      </c>
      <c r="O125" s="90" t="s">
        <v>339</v>
      </c>
      <c r="P125" t="str">
        <f t="shared" si="10"/>
        <v>Arrêté ministériel POLLEC 2020_RH_7 du 02-12-2020</v>
      </c>
    </row>
    <row r="126" spans="1:16" x14ac:dyDescent="0.25">
      <c r="A126" t="s">
        <v>866</v>
      </c>
      <c r="B126" s="89" t="s">
        <v>1319</v>
      </c>
      <c r="C126" s="95">
        <v>22400</v>
      </c>
      <c r="D126" s="95">
        <f t="shared" si="12"/>
        <v>22400</v>
      </c>
      <c r="E126" s="68" t="s">
        <v>867</v>
      </c>
      <c r="F126" s="68" t="s">
        <v>868</v>
      </c>
      <c r="G126" s="68" t="s">
        <v>333</v>
      </c>
      <c r="H126" s="68" t="s">
        <v>334</v>
      </c>
      <c r="I126" s="68" t="s">
        <v>335</v>
      </c>
      <c r="J126" s="241" t="s">
        <v>1318</v>
      </c>
      <c r="K126" t="s">
        <v>869</v>
      </c>
      <c r="L126">
        <v>6850</v>
      </c>
      <c r="M126" t="s">
        <v>870</v>
      </c>
      <c r="N126" t="s">
        <v>338</v>
      </c>
      <c r="O126" s="90" t="s">
        <v>339</v>
      </c>
      <c r="P126" t="str">
        <f t="shared" si="10"/>
        <v>Arrêté ministériel POLLEC 2020_RH_3 du 02-12-2020</v>
      </c>
    </row>
    <row r="127" spans="1:16" x14ac:dyDescent="0.25">
      <c r="A127" t="s">
        <v>871</v>
      </c>
      <c r="B127" s="89" t="s">
        <v>1319</v>
      </c>
      <c r="C127" s="95">
        <v>67200</v>
      </c>
      <c r="D127" s="95">
        <f t="shared" si="12"/>
        <v>67200</v>
      </c>
      <c r="E127" s="95" t="s">
        <v>872</v>
      </c>
      <c r="F127" s="68" t="s">
        <v>873</v>
      </c>
      <c r="G127" s="68" t="s">
        <v>611</v>
      </c>
      <c r="H127" s="68" t="s">
        <v>612</v>
      </c>
      <c r="I127" s="68" t="s">
        <v>613</v>
      </c>
      <c r="J127" s="241" t="s">
        <v>1318</v>
      </c>
      <c r="K127" t="s">
        <v>874</v>
      </c>
      <c r="L127">
        <v>6900</v>
      </c>
      <c r="M127" t="s">
        <v>875</v>
      </c>
      <c r="N127" t="s">
        <v>338</v>
      </c>
      <c r="O127" s="90" t="s">
        <v>339</v>
      </c>
      <c r="P127" t="str">
        <f t="shared" si="10"/>
        <v>Arrêté ministériel POLLEC 2020_SUPRA_RH_1 du 02-12-2020</v>
      </c>
    </row>
    <row r="128" spans="1:16" x14ac:dyDescent="0.25">
      <c r="A128" t="s">
        <v>876</v>
      </c>
      <c r="B128" s="89" t="s">
        <v>1319</v>
      </c>
      <c r="C128" s="95">
        <v>22400</v>
      </c>
      <c r="D128" s="95">
        <f t="shared" si="12"/>
        <v>22400</v>
      </c>
      <c r="E128" s="68" t="s">
        <v>877</v>
      </c>
      <c r="F128" s="68" t="s">
        <v>878</v>
      </c>
      <c r="G128" s="68" t="s">
        <v>333</v>
      </c>
      <c r="H128" s="68" t="s">
        <v>784</v>
      </c>
      <c r="I128" s="68" t="s">
        <v>785</v>
      </c>
      <c r="J128" s="241" t="s">
        <v>1318</v>
      </c>
      <c r="K128" t="s">
        <v>879</v>
      </c>
      <c r="L128">
        <v>7740</v>
      </c>
      <c r="M128" t="s">
        <v>880</v>
      </c>
      <c r="N128" t="s">
        <v>338</v>
      </c>
      <c r="O128" s="90" t="s">
        <v>339</v>
      </c>
      <c r="P128" t="str">
        <f t="shared" si="10"/>
        <v>Arrêté ministériel POLLEC 2020_RH_7 du 02-12-2020</v>
      </c>
    </row>
    <row r="129" spans="1:16" x14ac:dyDescent="0.25">
      <c r="A129" t="s">
        <v>881</v>
      </c>
      <c r="B129" s="89" t="s">
        <v>1319</v>
      </c>
      <c r="C129" s="95">
        <v>33600</v>
      </c>
      <c r="D129" s="95">
        <f t="shared" si="12"/>
        <v>33600</v>
      </c>
      <c r="E129" s="68" t="s">
        <v>882</v>
      </c>
      <c r="F129" s="68" t="s">
        <v>883</v>
      </c>
      <c r="G129" s="68" t="s">
        <v>333</v>
      </c>
      <c r="H129" s="68" t="s">
        <v>343</v>
      </c>
      <c r="I129" s="68" t="s">
        <v>344</v>
      </c>
      <c r="J129" s="241" t="s">
        <v>1318</v>
      </c>
      <c r="K129" t="s">
        <v>884</v>
      </c>
      <c r="L129">
        <v>7600</v>
      </c>
      <c r="M129" t="s">
        <v>885</v>
      </c>
      <c r="N129" t="s">
        <v>338</v>
      </c>
      <c r="O129" s="90" t="s">
        <v>339</v>
      </c>
      <c r="P129" t="str">
        <f t="shared" si="10"/>
        <v>Arrêté ministériel POLLEC 2020_RH_4 du 02-12-2020</v>
      </c>
    </row>
    <row r="130" spans="1:16" x14ac:dyDescent="0.25">
      <c r="A130" t="s">
        <v>886</v>
      </c>
      <c r="B130" s="89" t="s">
        <v>1319</v>
      </c>
      <c r="C130" s="95">
        <v>22400</v>
      </c>
      <c r="D130" s="95">
        <f t="shared" si="12"/>
        <v>22400</v>
      </c>
      <c r="E130" s="68" t="s">
        <v>887</v>
      </c>
      <c r="F130" s="68" t="s">
        <v>888</v>
      </c>
      <c r="G130" s="68" t="s">
        <v>333</v>
      </c>
      <c r="H130" s="68" t="s">
        <v>784</v>
      </c>
      <c r="I130" s="68" t="s">
        <v>785</v>
      </c>
      <c r="J130" s="241" t="s">
        <v>1318</v>
      </c>
      <c r="K130" t="s">
        <v>889</v>
      </c>
      <c r="L130">
        <v>1360</v>
      </c>
      <c r="M130" t="s">
        <v>890</v>
      </c>
      <c r="N130" t="s">
        <v>338</v>
      </c>
      <c r="O130" s="90" t="s">
        <v>339</v>
      </c>
      <c r="P130" t="str">
        <f t="shared" ref="P130:P161" si="13">CONCATENATE(N130,H130,O130)</f>
        <v>Arrêté ministériel POLLEC 2020_RH_7 du 02-12-2020</v>
      </c>
    </row>
    <row r="131" spans="1:16" x14ac:dyDescent="0.25">
      <c r="A131" t="s">
        <v>891</v>
      </c>
      <c r="B131" s="89" t="s">
        <v>1319</v>
      </c>
      <c r="C131" s="95">
        <v>22400</v>
      </c>
      <c r="D131" s="95">
        <f t="shared" si="12"/>
        <v>22400</v>
      </c>
      <c r="E131" s="68" t="s">
        <v>892</v>
      </c>
      <c r="F131" s="68" t="s">
        <v>893</v>
      </c>
      <c r="G131" s="68" t="s">
        <v>333</v>
      </c>
      <c r="H131" s="68" t="s">
        <v>522</v>
      </c>
      <c r="I131" s="68" t="s">
        <v>523</v>
      </c>
      <c r="J131" s="241" t="s">
        <v>1318</v>
      </c>
      <c r="K131" t="s">
        <v>894</v>
      </c>
      <c r="L131">
        <v>5600</v>
      </c>
      <c r="M131" t="s">
        <v>895</v>
      </c>
      <c r="N131" t="s">
        <v>338</v>
      </c>
      <c r="O131" s="90" t="s">
        <v>339</v>
      </c>
      <c r="P131" t="str">
        <f t="shared" si="13"/>
        <v>Arrêté ministériel POLLEC 2020_RH_2 du 02-12-2020</v>
      </c>
    </row>
    <row r="132" spans="1:16" x14ac:dyDescent="0.25">
      <c r="A132" t="s">
        <v>896</v>
      </c>
      <c r="B132" s="89" t="s">
        <v>1319</v>
      </c>
      <c r="C132" s="95">
        <v>33600</v>
      </c>
      <c r="D132" s="95">
        <f t="shared" si="12"/>
        <v>33600</v>
      </c>
      <c r="E132" s="68" t="s">
        <v>897</v>
      </c>
      <c r="F132" s="68" t="s">
        <v>898</v>
      </c>
      <c r="G132" s="68" t="s">
        <v>333</v>
      </c>
      <c r="H132" s="68" t="s">
        <v>334</v>
      </c>
      <c r="I132" s="68" t="s">
        <v>335</v>
      </c>
      <c r="J132" s="241" t="s">
        <v>1318</v>
      </c>
      <c r="K132" t="s">
        <v>899</v>
      </c>
      <c r="L132">
        <v>6230</v>
      </c>
      <c r="M132" t="s">
        <v>900</v>
      </c>
      <c r="N132" t="s">
        <v>338</v>
      </c>
      <c r="O132" s="90" t="s">
        <v>339</v>
      </c>
      <c r="P132" t="str">
        <f t="shared" si="13"/>
        <v>Arrêté ministériel POLLEC 2020_RH_3 du 02-12-2020</v>
      </c>
    </row>
    <row r="133" spans="1:16" x14ac:dyDescent="0.25">
      <c r="A133" t="s">
        <v>901</v>
      </c>
      <c r="B133" s="89" t="s">
        <v>1319</v>
      </c>
      <c r="C133" s="95">
        <v>33600</v>
      </c>
      <c r="D133" s="95">
        <f t="shared" si="12"/>
        <v>33600</v>
      </c>
      <c r="E133" s="68" t="s">
        <v>902</v>
      </c>
      <c r="F133" s="68" t="s">
        <v>903</v>
      </c>
      <c r="G133" s="68" t="s">
        <v>333</v>
      </c>
      <c r="H133" s="68" t="s">
        <v>784</v>
      </c>
      <c r="I133" s="68" t="s">
        <v>785</v>
      </c>
      <c r="J133" s="241" t="s">
        <v>1318</v>
      </c>
      <c r="K133" t="s">
        <v>904</v>
      </c>
      <c r="L133">
        <v>5170</v>
      </c>
      <c r="M133" t="s">
        <v>905</v>
      </c>
      <c r="N133" t="s">
        <v>338</v>
      </c>
      <c r="O133" s="90" t="s">
        <v>339</v>
      </c>
      <c r="P133" t="str">
        <f t="shared" si="13"/>
        <v>Arrêté ministériel POLLEC 2020_RH_7 du 02-12-2020</v>
      </c>
    </row>
    <row r="134" spans="1:16" x14ac:dyDescent="0.25">
      <c r="A134" t="s">
        <v>906</v>
      </c>
      <c r="B134" s="89" t="s">
        <v>1319</v>
      </c>
      <c r="C134" s="95">
        <v>134400</v>
      </c>
      <c r="D134" s="95">
        <f t="shared" si="12"/>
        <v>134400</v>
      </c>
      <c r="E134" s="95" t="s">
        <v>907</v>
      </c>
      <c r="F134" s="68" t="s">
        <v>908</v>
      </c>
      <c r="G134" s="68" t="s">
        <v>909</v>
      </c>
      <c r="H134" s="68" t="s">
        <v>910</v>
      </c>
      <c r="I134" s="68" t="s">
        <v>911</v>
      </c>
      <c r="J134" s="241" t="s">
        <v>1318</v>
      </c>
      <c r="K134" t="s">
        <v>912</v>
      </c>
      <c r="L134">
        <v>7000</v>
      </c>
      <c r="M134" t="s">
        <v>813</v>
      </c>
      <c r="N134" t="s">
        <v>338</v>
      </c>
      <c r="O134" s="90" t="s">
        <v>339</v>
      </c>
      <c r="P134" t="str">
        <f t="shared" si="13"/>
        <v>Arrêté ministériel POLLEC 2020_SUPRA_RH_3 du 02-12-2020</v>
      </c>
    </row>
    <row r="135" spans="1:16" x14ac:dyDescent="0.25">
      <c r="A135" t="s">
        <v>913</v>
      </c>
      <c r="B135" s="89" t="s">
        <v>1319</v>
      </c>
      <c r="C135" s="95">
        <v>134400</v>
      </c>
      <c r="D135" s="95">
        <f t="shared" si="12"/>
        <v>134400</v>
      </c>
      <c r="E135" s="95" t="s">
        <v>914</v>
      </c>
      <c r="F135" s="68" t="s">
        <v>915</v>
      </c>
      <c r="G135" s="68" t="s">
        <v>909</v>
      </c>
      <c r="H135" s="68" t="s">
        <v>910</v>
      </c>
      <c r="I135" s="68" t="s">
        <v>911</v>
      </c>
      <c r="J135" s="241" t="s">
        <v>1318</v>
      </c>
      <c r="K135" t="s">
        <v>916</v>
      </c>
      <c r="L135">
        <v>4000</v>
      </c>
      <c r="M135" t="s">
        <v>776</v>
      </c>
      <c r="N135" t="s">
        <v>338</v>
      </c>
      <c r="O135" s="90" t="s">
        <v>339</v>
      </c>
      <c r="P135" t="str">
        <f t="shared" si="13"/>
        <v>Arrêté ministériel POLLEC 2020_SUPRA_RH_3 du 02-12-2020</v>
      </c>
    </row>
    <row r="136" spans="1:16" x14ac:dyDescent="0.25">
      <c r="A136" t="s">
        <v>917</v>
      </c>
      <c r="B136" s="89" t="s">
        <v>1319</v>
      </c>
      <c r="C136" s="95">
        <v>134400</v>
      </c>
      <c r="D136" s="95">
        <f t="shared" si="12"/>
        <v>134400</v>
      </c>
      <c r="E136" s="95" t="s">
        <v>918</v>
      </c>
      <c r="F136" s="68" t="s">
        <v>919</v>
      </c>
      <c r="G136" s="68" t="s">
        <v>909</v>
      </c>
      <c r="H136" s="68" t="s">
        <v>910</v>
      </c>
      <c r="I136" s="68" t="s">
        <v>911</v>
      </c>
      <c r="J136" s="241" t="s">
        <v>1318</v>
      </c>
      <c r="K136" t="s">
        <v>920</v>
      </c>
      <c r="L136">
        <v>6700</v>
      </c>
      <c r="M136" t="s">
        <v>359</v>
      </c>
      <c r="N136" t="s">
        <v>338</v>
      </c>
      <c r="O136" s="90" t="s">
        <v>339</v>
      </c>
      <c r="P136" t="str">
        <f t="shared" si="13"/>
        <v>Arrêté ministériel POLLEC 2020_SUPRA_RH_3 du 02-12-2020</v>
      </c>
    </row>
    <row r="137" spans="1:16" x14ac:dyDescent="0.25">
      <c r="A137" t="s">
        <v>921</v>
      </c>
      <c r="B137" s="89" t="s">
        <v>1319</v>
      </c>
      <c r="C137" s="95">
        <v>33600</v>
      </c>
      <c r="D137" s="95">
        <f t="shared" si="12"/>
        <v>33600</v>
      </c>
      <c r="E137" s="68" t="s">
        <v>922</v>
      </c>
      <c r="F137" s="68" t="s">
        <v>923</v>
      </c>
      <c r="G137" s="68" t="s">
        <v>333</v>
      </c>
      <c r="H137" s="68" t="s">
        <v>522</v>
      </c>
      <c r="I137" s="68" t="s">
        <v>523</v>
      </c>
      <c r="J137" s="241" t="s">
        <v>1318</v>
      </c>
      <c r="K137" t="s">
        <v>924</v>
      </c>
      <c r="L137">
        <v>7390</v>
      </c>
      <c r="M137" t="s">
        <v>925</v>
      </c>
      <c r="N137" t="s">
        <v>338</v>
      </c>
      <c r="O137" s="90" t="s">
        <v>339</v>
      </c>
      <c r="P137" t="str">
        <f t="shared" si="13"/>
        <v>Arrêté ministériel POLLEC 2020_RH_2 du 02-12-2020</v>
      </c>
    </row>
    <row r="138" spans="1:16" x14ac:dyDescent="0.25">
      <c r="A138" t="s">
        <v>926</v>
      </c>
      <c r="B138" s="89" t="s">
        <v>1319</v>
      </c>
      <c r="C138" s="95">
        <v>22400</v>
      </c>
      <c r="D138" s="95">
        <f t="shared" si="12"/>
        <v>22400</v>
      </c>
      <c r="E138" s="68" t="s">
        <v>927</v>
      </c>
      <c r="F138" s="68" t="s">
        <v>928</v>
      </c>
      <c r="G138" s="68" t="s">
        <v>333</v>
      </c>
      <c r="H138" s="68" t="s">
        <v>350</v>
      </c>
      <c r="I138" s="68" t="s">
        <v>351</v>
      </c>
      <c r="J138" s="241" t="s">
        <v>1318</v>
      </c>
      <c r="K138" t="s">
        <v>929</v>
      </c>
      <c r="L138">
        <v>1367</v>
      </c>
      <c r="M138" t="s">
        <v>930</v>
      </c>
      <c r="N138" t="s">
        <v>338</v>
      </c>
      <c r="O138" s="90" t="s">
        <v>339</v>
      </c>
      <c r="P138" t="str">
        <f t="shared" si="13"/>
        <v>Arrêté ministériel POLLEC 2020_RH_1 du 02-12-2020</v>
      </c>
    </row>
    <row r="139" spans="1:16" x14ac:dyDescent="0.25">
      <c r="A139" t="s">
        <v>615</v>
      </c>
      <c r="B139" s="89" t="s">
        <v>1319</v>
      </c>
      <c r="C139" s="95">
        <v>22400</v>
      </c>
      <c r="D139" s="95">
        <f t="shared" si="12"/>
        <v>22400</v>
      </c>
      <c r="E139" s="68" t="s">
        <v>931</v>
      </c>
      <c r="F139" s="68" t="s">
        <v>932</v>
      </c>
      <c r="G139" s="68" t="s">
        <v>333</v>
      </c>
      <c r="H139" s="68" t="s">
        <v>522</v>
      </c>
      <c r="I139" s="68" t="s">
        <v>523</v>
      </c>
      <c r="J139" s="241" t="s">
        <v>1318</v>
      </c>
      <c r="K139" t="s">
        <v>933</v>
      </c>
      <c r="L139">
        <v>6987</v>
      </c>
      <c r="M139" t="s">
        <v>934</v>
      </c>
      <c r="N139" t="s">
        <v>338</v>
      </c>
      <c r="O139" s="90" t="s">
        <v>339</v>
      </c>
      <c r="P139" t="str">
        <f t="shared" si="13"/>
        <v>Arrêté ministériel POLLEC 2020_RH_2 du 02-12-2020</v>
      </c>
    </row>
    <row r="140" spans="1:16" x14ac:dyDescent="0.25">
      <c r="A140" t="s">
        <v>935</v>
      </c>
      <c r="B140" s="89" t="s">
        <v>1319</v>
      </c>
      <c r="C140" s="95">
        <v>33600</v>
      </c>
      <c r="D140" s="95">
        <f t="shared" si="12"/>
        <v>33600</v>
      </c>
      <c r="E140" s="68" t="s">
        <v>936</v>
      </c>
      <c r="F140" s="68" t="s">
        <v>937</v>
      </c>
      <c r="G140" s="68" t="s">
        <v>333</v>
      </c>
      <c r="H140" s="68" t="s">
        <v>784</v>
      </c>
      <c r="I140" s="68" t="s">
        <v>785</v>
      </c>
      <c r="J140" s="241" t="s">
        <v>1318</v>
      </c>
      <c r="K140" t="s">
        <v>938</v>
      </c>
      <c r="L140">
        <v>1330</v>
      </c>
      <c r="M140" t="s">
        <v>939</v>
      </c>
      <c r="N140" t="s">
        <v>338</v>
      </c>
      <c r="O140" s="90" t="s">
        <v>339</v>
      </c>
      <c r="P140" t="str">
        <f t="shared" si="13"/>
        <v>Arrêté ministériel POLLEC 2020_RH_7 du 02-12-2020</v>
      </c>
    </row>
    <row r="141" spans="1:16" x14ac:dyDescent="0.25">
      <c r="A141" t="s">
        <v>940</v>
      </c>
      <c r="B141" s="89" t="s">
        <v>1319</v>
      </c>
      <c r="C141" s="95">
        <v>33600</v>
      </c>
      <c r="D141" s="95">
        <f t="shared" si="12"/>
        <v>33600</v>
      </c>
      <c r="E141" s="68" t="s">
        <v>941</v>
      </c>
      <c r="F141" s="68" t="s">
        <v>942</v>
      </c>
      <c r="G141" s="68" t="s">
        <v>333</v>
      </c>
      <c r="H141" s="68" t="s">
        <v>522</v>
      </c>
      <c r="I141" s="68" t="s">
        <v>523</v>
      </c>
      <c r="J141" s="241" t="s">
        <v>1318</v>
      </c>
      <c r="K141" t="s">
        <v>943</v>
      </c>
      <c r="L141">
        <v>5580</v>
      </c>
      <c r="M141" t="s">
        <v>944</v>
      </c>
      <c r="N141" t="s">
        <v>338</v>
      </c>
      <c r="O141" s="90" t="s">
        <v>339</v>
      </c>
      <c r="P141" t="str">
        <f t="shared" si="13"/>
        <v>Arrêté ministériel POLLEC 2020_RH_2 du 02-12-2020</v>
      </c>
    </row>
    <row r="142" spans="1:16" x14ac:dyDescent="0.25">
      <c r="A142" t="s">
        <v>945</v>
      </c>
      <c r="B142" s="89" t="s">
        <v>1319</v>
      </c>
      <c r="C142" s="95">
        <v>22400</v>
      </c>
      <c r="D142" s="95">
        <f t="shared" si="12"/>
        <v>22400</v>
      </c>
      <c r="E142" s="68" t="s">
        <v>946</v>
      </c>
      <c r="F142" s="68" t="s">
        <v>947</v>
      </c>
      <c r="G142" s="68" t="s">
        <v>333</v>
      </c>
      <c r="H142" s="68" t="s">
        <v>784</v>
      </c>
      <c r="I142" s="68" t="s">
        <v>785</v>
      </c>
      <c r="J142" s="241" t="s">
        <v>1318</v>
      </c>
      <c r="K142" t="s">
        <v>948</v>
      </c>
      <c r="L142">
        <v>6767</v>
      </c>
      <c r="M142" t="s">
        <v>949</v>
      </c>
      <c r="N142" t="s">
        <v>338</v>
      </c>
      <c r="O142" s="90" t="s">
        <v>339</v>
      </c>
      <c r="P142" t="str">
        <f t="shared" si="13"/>
        <v>Arrêté ministériel POLLEC 2020_RH_7 du 02-12-2020</v>
      </c>
    </row>
    <row r="143" spans="1:16" x14ac:dyDescent="0.25">
      <c r="A143" t="s">
        <v>950</v>
      </c>
      <c r="B143" s="89" t="s">
        <v>1319</v>
      </c>
      <c r="C143" s="95">
        <v>22400</v>
      </c>
      <c r="D143" s="95">
        <f t="shared" si="12"/>
        <v>22400</v>
      </c>
      <c r="E143" s="68" t="s">
        <v>951</v>
      </c>
      <c r="F143" s="68" t="s">
        <v>952</v>
      </c>
      <c r="G143" s="68" t="s">
        <v>333</v>
      </c>
      <c r="H143" s="68" t="s">
        <v>334</v>
      </c>
      <c r="I143" s="68" t="s">
        <v>335</v>
      </c>
      <c r="J143" s="241" t="s">
        <v>1318</v>
      </c>
      <c r="K143" t="s">
        <v>953</v>
      </c>
      <c r="L143">
        <v>7618</v>
      </c>
      <c r="M143" t="s">
        <v>954</v>
      </c>
      <c r="N143" t="s">
        <v>338</v>
      </c>
      <c r="O143" s="90" t="s">
        <v>339</v>
      </c>
      <c r="P143" t="str">
        <f t="shared" si="13"/>
        <v>Arrêté ministériel POLLEC 2020_RH_3 du 02-12-2020</v>
      </c>
    </row>
    <row r="144" spans="1:16" x14ac:dyDescent="0.25">
      <c r="A144" t="s">
        <v>955</v>
      </c>
      <c r="B144" s="89" t="s">
        <v>1319</v>
      </c>
      <c r="C144" s="95">
        <v>22400</v>
      </c>
      <c r="D144" s="95">
        <f t="shared" si="12"/>
        <v>22400</v>
      </c>
      <c r="E144" s="68" t="s">
        <v>956</v>
      </c>
      <c r="F144" s="68" t="s">
        <v>957</v>
      </c>
      <c r="G144" s="68" t="s">
        <v>333</v>
      </c>
      <c r="H144" s="68" t="s">
        <v>784</v>
      </c>
      <c r="I144" s="68" t="s">
        <v>785</v>
      </c>
      <c r="J144" s="241" t="s">
        <v>1318</v>
      </c>
      <c r="K144" t="s">
        <v>958</v>
      </c>
      <c r="L144">
        <v>4470</v>
      </c>
      <c r="M144" t="s">
        <v>959</v>
      </c>
      <c r="N144" t="s">
        <v>338</v>
      </c>
      <c r="O144" s="90" t="s">
        <v>339</v>
      </c>
      <c r="P144" t="str">
        <f t="shared" si="13"/>
        <v>Arrêté ministériel POLLEC 2020_RH_7 du 02-12-2020</v>
      </c>
    </row>
    <row r="145" spans="1:16" x14ac:dyDescent="0.25">
      <c r="A145" t="s">
        <v>960</v>
      </c>
      <c r="B145" s="89" t="s">
        <v>1319</v>
      </c>
      <c r="C145" s="95">
        <v>33600</v>
      </c>
      <c r="D145" s="95">
        <f t="shared" si="12"/>
        <v>33600</v>
      </c>
      <c r="E145" s="68" t="s">
        <v>961</v>
      </c>
      <c r="F145" s="68" t="s">
        <v>962</v>
      </c>
      <c r="G145" s="68" t="s">
        <v>333</v>
      </c>
      <c r="H145" s="68" t="s">
        <v>784</v>
      </c>
      <c r="I145" s="68" t="s">
        <v>785</v>
      </c>
      <c r="J145" s="241" t="s">
        <v>1318</v>
      </c>
      <c r="K145" t="s">
        <v>963</v>
      </c>
      <c r="L145">
        <v>7330</v>
      </c>
      <c r="M145" t="s">
        <v>964</v>
      </c>
      <c r="N145" t="s">
        <v>338</v>
      </c>
      <c r="O145" s="90" t="s">
        <v>339</v>
      </c>
      <c r="P145" t="str">
        <f t="shared" si="13"/>
        <v>Arrêté ministériel POLLEC 2020_RH_7 du 02-12-2020</v>
      </c>
    </row>
    <row r="146" spans="1:16" x14ac:dyDescent="0.25">
      <c r="A146" t="s">
        <v>1137</v>
      </c>
      <c r="B146" s="89" t="s">
        <v>1320</v>
      </c>
      <c r="C146" s="95">
        <v>22400</v>
      </c>
      <c r="D146" s="95">
        <f>C146*0.8</f>
        <v>17920</v>
      </c>
      <c r="E146" t="s">
        <v>1232</v>
      </c>
      <c r="F146" s="68" t="s">
        <v>1167</v>
      </c>
      <c r="G146" s="68" t="s">
        <v>1193</v>
      </c>
      <c r="H146" s="68" t="s">
        <v>1194</v>
      </c>
      <c r="I146" s="68" t="s">
        <v>1196</v>
      </c>
      <c r="J146" s="68">
        <v>500070345</v>
      </c>
      <c r="K146" t="s">
        <v>1268</v>
      </c>
      <c r="L146">
        <v>6870</v>
      </c>
      <c r="M146" t="s">
        <v>1202</v>
      </c>
      <c r="N146" t="s">
        <v>1227</v>
      </c>
      <c r="O146" s="238" t="s">
        <v>1291</v>
      </c>
      <c r="P146" t="str">
        <f t="shared" si="13"/>
        <v>Arrêté ministériel POLLEC 2021_P21_RH2 du 13-12-2021</v>
      </c>
    </row>
    <row r="147" spans="1:16" x14ac:dyDescent="0.25">
      <c r="A147" t="s">
        <v>965</v>
      </c>
      <c r="B147" s="89" t="s">
        <v>1319</v>
      </c>
      <c r="C147" s="95">
        <v>22400</v>
      </c>
      <c r="D147" s="95">
        <f>C147</f>
        <v>22400</v>
      </c>
      <c r="E147" s="68" t="s">
        <v>966</v>
      </c>
      <c r="F147" s="68" t="s">
        <v>967</v>
      </c>
      <c r="G147" s="68" t="s">
        <v>333</v>
      </c>
      <c r="H147" s="68" t="s">
        <v>522</v>
      </c>
      <c r="I147" s="68" t="s">
        <v>523</v>
      </c>
      <c r="J147" s="241" t="s">
        <v>1318</v>
      </c>
      <c r="K147" t="s">
        <v>968</v>
      </c>
      <c r="L147">
        <v>6747</v>
      </c>
      <c r="M147" t="s">
        <v>969</v>
      </c>
      <c r="N147" t="s">
        <v>338</v>
      </c>
      <c r="O147" s="90" t="s">
        <v>339</v>
      </c>
      <c r="P147" t="str">
        <f t="shared" si="13"/>
        <v>Arrêté ministériel POLLEC 2020_RH_2 du 02-12-2020</v>
      </c>
    </row>
    <row r="148" spans="1:16" x14ac:dyDescent="0.25">
      <c r="A148" t="s">
        <v>1135</v>
      </c>
      <c r="B148" s="89" t="s">
        <v>1320</v>
      </c>
      <c r="C148" s="95">
        <v>33600</v>
      </c>
      <c r="D148" s="95">
        <f>C148*0.8</f>
        <v>26880</v>
      </c>
      <c r="E148" s="68" t="s">
        <v>1230</v>
      </c>
      <c r="F148" s="68" t="s">
        <v>1165</v>
      </c>
      <c r="G148" s="68" t="s">
        <v>1193</v>
      </c>
      <c r="H148" s="68" t="s">
        <v>1194</v>
      </c>
      <c r="I148" s="68" t="s">
        <v>1196</v>
      </c>
      <c r="J148" s="68">
        <v>500070345</v>
      </c>
      <c r="K148" t="s">
        <v>1267</v>
      </c>
      <c r="L148">
        <v>4420</v>
      </c>
      <c r="M148" t="s">
        <v>1200</v>
      </c>
      <c r="N148" t="s">
        <v>1227</v>
      </c>
      <c r="O148" s="240" t="s">
        <v>1291</v>
      </c>
      <c r="P148" t="str">
        <f t="shared" si="13"/>
        <v>Arrêté ministériel POLLEC 2021_P21_RH2 du 13-12-2021</v>
      </c>
    </row>
    <row r="149" spans="1:16" x14ac:dyDescent="0.25">
      <c r="A149" t="s">
        <v>970</v>
      </c>
      <c r="B149" s="89" t="s">
        <v>1319</v>
      </c>
      <c r="C149" s="95">
        <v>33600</v>
      </c>
      <c r="D149" s="95">
        <f>C149</f>
        <v>33600</v>
      </c>
      <c r="E149" s="68" t="s">
        <v>971</v>
      </c>
      <c r="F149" s="68" t="s">
        <v>972</v>
      </c>
      <c r="G149" s="68" t="s">
        <v>333</v>
      </c>
      <c r="H149" s="68" t="s">
        <v>334</v>
      </c>
      <c r="I149" s="68" t="s">
        <v>335</v>
      </c>
      <c r="J149" s="241" t="s">
        <v>1318</v>
      </c>
      <c r="K149" t="s">
        <v>973</v>
      </c>
      <c r="L149">
        <v>5060</v>
      </c>
      <c r="M149" t="s">
        <v>974</v>
      </c>
      <c r="N149" t="s">
        <v>338</v>
      </c>
      <c r="O149" s="90" t="s">
        <v>339</v>
      </c>
      <c r="P149" t="str">
        <f t="shared" si="13"/>
        <v>Arrêté ministériel POLLEC 2020_RH_3 du 02-12-2020</v>
      </c>
    </row>
    <row r="150" spans="1:16" x14ac:dyDescent="0.25">
      <c r="A150" t="s">
        <v>1155</v>
      </c>
      <c r="B150" s="89" t="s">
        <v>1320</v>
      </c>
      <c r="C150" s="95">
        <v>33600</v>
      </c>
      <c r="D150" s="95">
        <f>C150*0.8</f>
        <v>26880</v>
      </c>
      <c r="E150" s="68" t="s">
        <v>1254</v>
      </c>
      <c r="F150" s="68" t="s">
        <v>1185</v>
      </c>
      <c r="G150" s="68" t="s">
        <v>1193</v>
      </c>
      <c r="H150" s="68" t="s">
        <v>1194</v>
      </c>
      <c r="I150" s="68" t="s">
        <v>1196</v>
      </c>
      <c r="J150" s="68">
        <v>500070345</v>
      </c>
      <c r="K150" t="s">
        <v>1266</v>
      </c>
      <c r="L150">
        <v>7180</v>
      </c>
      <c r="M150" t="s">
        <v>1220</v>
      </c>
      <c r="N150" t="s">
        <v>1227</v>
      </c>
      <c r="O150" s="240" t="s">
        <v>1291</v>
      </c>
      <c r="P150" t="str">
        <f t="shared" si="13"/>
        <v>Arrêté ministériel POLLEC 2021_P21_RH2 du 13-12-2021</v>
      </c>
    </row>
    <row r="151" spans="1:16" x14ac:dyDescent="0.25">
      <c r="A151" t="s">
        <v>975</v>
      </c>
      <c r="B151" s="89" t="s">
        <v>1319</v>
      </c>
      <c r="C151" s="95">
        <v>67200</v>
      </c>
      <c r="D151" s="95">
        <f>C151</f>
        <v>67200</v>
      </c>
      <c r="E151" s="68" t="s">
        <v>976</v>
      </c>
      <c r="F151" s="68" t="s">
        <v>977</v>
      </c>
      <c r="G151" s="68" t="s">
        <v>333</v>
      </c>
      <c r="H151" s="68" t="s">
        <v>343</v>
      </c>
      <c r="I151" s="68" t="s">
        <v>344</v>
      </c>
      <c r="J151" s="241" t="s">
        <v>1318</v>
      </c>
      <c r="K151" t="s">
        <v>978</v>
      </c>
      <c r="L151">
        <v>4100</v>
      </c>
      <c r="M151" t="s">
        <v>979</v>
      </c>
      <c r="N151" t="s">
        <v>338</v>
      </c>
      <c r="O151" s="90" t="s">
        <v>339</v>
      </c>
      <c r="P151" t="str">
        <f t="shared" si="13"/>
        <v>Arrêté ministériel POLLEC 2020_RH_4 du 02-12-2020</v>
      </c>
    </row>
    <row r="152" spans="1:16" x14ac:dyDescent="0.25">
      <c r="A152" t="s">
        <v>980</v>
      </c>
      <c r="B152" s="89" t="s">
        <v>1319</v>
      </c>
      <c r="C152" s="95">
        <v>22400</v>
      </c>
      <c r="D152" s="95">
        <f>C152</f>
        <v>22400</v>
      </c>
      <c r="E152" s="68" t="s">
        <v>981</v>
      </c>
      <c r="F152" s="68" t="s">
        <v>982</v>
      </c>
      <c r="G152" s="68" t="s">
        <v>333</v>
      </c>
      <c r="H152" s="68" t="s">
        <v>784</v>
      </c>
      <c r="I152" s="68" t="s">
        <v>785</v>
      </c>
      <c r="J152" s="241" t="s">
        <v>1318</v>
      </c>
      <c r="K152" t="s">
        <v>983</v>
      </c>
      <c r="L152">
        <v>7830</v>
      </c>
      <c r="M152" t="s">
        <v>984</v>
      </c>
      <c r="N152" t="s">
        <v>338</v>
      </c>
      <c r="O152" s="90" t="s">
        <v>339</v>
      </c>
      <c r="P152" t="str">
        <f t="shared" si="13"/>
        <v>Arrêté ministériel POLLEC 2020_RH_7 du 02-12-2020</v>
      </c>
    </row>
    <row r="153" spans="1:16" x14ac:dyDescent="0.25">
      <c r="A153" t="s">
        <v>985</v>
      </c>
      <c r="B153" s="89" t="s">
        <v>1319</v>
      </c>
      <c r="C153" s="95">
        <v>22400</v>
      </c>
      <c r="D153" s="95">
        <f>C153</f>
        <v>22400</v>
      </c>
      <c r="E153" s="68" t="s">
        <v>986</v>
      </c>
      <c r="F153" s="68" t="s">
        <v>987</v>
      </c>
      <c r="G153" s="68" t="s">
        <v>333</v>
      </c>
      <c r="H153" s="68" t="s">
        <v>334</v>
      </c>
      <c r="I153" s="68" t="s">
        <v>335</v>
      </c>
      <c r="J153" s="241" t="s">
        <v>1318</v>
      </c>
      <c r="K153" t="s">
        <v>988</v>
      </c>
      <c r="L153">
        <v>6470</v>
      </c>
      <c r="M153" t="s">
        <v>989</v>
      </c>
      <c r="N153" t="s">
        <v>338</v>
      </c>
      <c r="O153" s="90" t="s">
        <v>339</v>
      </c>
      <c r="P153" t="str">
        <f t="shared" si="13"/>
        <v>Arrêté ministériel POLLEC 2020_RH_3 du 02-12-2020</v>
      </c>
    </row>
    <row r="154" spans="1:16" x14ac:dyDescent="0.25">
      <c r="A154" t="s">
        <v>1149</v>
      </c>
      <c r="B154" s="89" t="s">
        <v>1320</v>
      </c>
      <c r="C154" s="95">
        <v>33600</v>
      </c>
      <c r="D154" s="95">
        <f>C154*0.8</f>
        <v>26880</v>
      </c>
      <c r="E154" s="68" t="s">
        <v>1255</v>
      </c>
      <c r="F154" s="68" t="s">
        <v>1179</v>
      </c>
      <c r="G154" s="68" t="s">
        <v>1193</v>
      </c>
      <c r="H154" s="68" t="s">
        <v>1194</v>
      </c>
      <c r="I154" s="68" t="s">
        <v>1196</v>
      </c>
      <c r="J154" s="68">
        <v>500070345</v>
      </c>
      <c r="K154" t="s">
        <v>1265</v>
      </c>
      <c r="L154">
        <v>7060</v>
      </c>
      <c r="M154" t="s">
        <v>1214</v>
      </c>
      <c r="N154" t="s">
        <v>1227</v>
      </c>
      <c r="O154" s="240" t="s">
        <v>1291</v>
      </c>
      <c r="P154" t="str">
        <f t="shared" si="13"/>
        <v>Arrêté ministériel POLLEC 2021_P21_RH2 du 13-12-2021</v>
      </c>
    </row>
    <row r="155" spans="1:16" x14ac:dyDescent="0.25">
      <c r="A155" t="s">
        <v>990</v>
      </c>
      <c r="B155" s="89" t="s">
        <v>1319</v>
      </c>
      <c r="C155" s="95">
        <v>22400</v>
      </c>
      <c r="D155" s="95">
        <f t="shared" ref="D155:D162" si="14">C155</f>
        <v>22400</v>
      </c>
      <c r="E155" s="68" t="s">
        <v>991</v>
      </c>
      <c r="F155" s="68" t="s">
        <v>992</v>
      </c>
      <c r="G155" s="68" t="s">
        <v>333</v>
      </c>
      <c r="H155" s="68" t="s">
        <v>334</v>
      </c>
      <c r="I155" s="68" t="s">
        <v>335</v>
      </c>
      <c r="J155" s="241" t="s">
        <v>1318</v>
      </c>
      <c r="K155" t="s">
        <v>993</v>
      </c>
      <c r="L155">
        <v>5377</v>
      </c>
      <c r="M155" t="s">
        <v>994</v>
      </c>
      <c r="N155" t="s">
        <v>338</v>
      </c>
      <c r="O155" s="90" t="s">
        <v>339</v>
      </c>
      <c r="P155" t="str">
        <f t="shared" si="13"/>
        <v>Arrêté ministériel POLLEC 2020_RH_3 du 02-12-2020</v>
      </c>
    </row>
    <row r="156" spans="1:16" x14ac:dyDescent="0.25">
      <c r="A156" t="s">
        <v>995</v>
      </c>
      <c r="B156" s="89" t="s">
        <v>1319</v>
      </c>
      <c r="C156" s="95">
        <v>33600</v>
      </c>
      <c r="D156" s="95">
        <f t="shared" si="14"/>
        <v>33600</v>
      </c>
      <c r="E156" s="68" t="s">
        <v>996</v>
      </c>
      <c r="F156" s="68" t="s">
        <v>997</v>
      </c>
      <c r="G156" s="68" t="s">
        <v>333</v>
      </c>
      <c r="H156" s="68" t="s">
        <v>334</v>
      </c>
      <c r="I156" s="68" t="s">
        <v>335</v>
      </c>
      <c r="J156" s="241" t="s">
        <v>1318</v>
      </c>
      <c r="K156" t="s">
        <v>998</v>
      </c>
      <c r="L156">
        <v>4630</v>
      </c>
      <c r="M156" t="s">
        <v>999</v>
      </c>
      <c r="N156" t="s">
        <v>338</v>
      </c>
      <c r="O156" s="90" t="s">
        <v>339</v>
      </c>
      <c r="P156" t="str">
        <f t="shared" si="13"/>
        <v>Arrêté ministériel POLLEC 2020_RH_3 du 02-12-2020</v>
      </c>
    </row>
    <row r="157" spans="1:16" x14ac:dyDescent="0.25">
      <c r="A157" t="s">
        <v>1000</v>
      </c>
      <c r="B157" s="89" t="s">
        <v>1319</v>
      </c>
      <c r="C157" s="95">
        <v>22400</v>
      </c>
      <c r="D157" s="95">
        <f t="shared" si="14"/>
        <v>22400</v>
      </c>
      <c r="E157" s="68" t="s">
        <v>1001</v>
      </c>
      <c r="F157" s="68" t="s">
        <v>1002</v>
      </c>
      <c r="G157" s="68" t="s">
        <v>333</v>
      </c>
      <c r="H157" s="68" t="s">
        <v>784</v>
      </c>
      <c r="I157" s="68" t="s">
        <v>785</v>
      </c>
      <c r="J157" s="241" t="s">
        <v>1318</v>
      </c>
      <c r="K157" t="s">
        <v>1003</v>
      </c>
      <c r="L157">
        <v>4900</v>
      </c>
      <c r="M157" t="s">
        <v>1004</v>
      </c>
      <c r="N157" t="s">
        <v>338</v>
      </c>
      <c r="O157" s="90" t="s">
        <v>339</v>
      </c>
      <c r="P157" t="str">
        <f t="shared" si="13"/>
        <v>Arrêté ministériel POLLEC 2020_RH_7 du 02-12-2020</v>
      </c>
    </row>
    <row r="158" spans="1:16" x14ac:dyDescent="0.25">
      <c r="A158" t="s">
        <v>1005</v>
      </c>
      <c r="B158" s="89" t="s">
        <v>1319</v>
      </c>
      <c r="C158" s="95">
        <v>33600</v>
      </c>
      <c r="D158" s="95">
        <f t="shared" si="14"/>
        <v>33600</v>
      </c>
      <c r="E158" s="68" t="s">
        <v>1006</v>
      </c>
      <c r="F158" s="68" t="s">
        <v>1007</v>
      </c>
      <c r="G158" s="68" t="s">
        <v>333</v>
      </c>
      <c r="H158" s="68" t="s">
        <v>343</v>
      </c>
      <c r="I158" s="68" t="s">
        <v>344</v>
      </c>
      <c r="J158" s="241" t="s">
        <v>1318</v>
      </c>
      <c r="K158" t="s">
        <v>1008</v>
      </c>
      <c r="L158">
        <v>4140</v>
      </c>
      <c r="M158" t="s">
        <v>1009</v>
      </c>
      <c r="N158" t="s">
        <v>338</v>
      </c>
      <c r="O158" s="90" t="s">
        <v>339</v>
      </c>
      <c r="P158" t="str">
        <f t="shared" si="13"/>
        <v>Arrêté ministériel POLLEC 2020_RH_4 du 02-12-2020</v>
      </c>
    </row>
    <row r="159" spans="1:16" x14ac:dyDescent="0.25">
      <c r="A159" t="s">
        <v>1010</v>
      </c>
      <c r="B159" s="89" t="s">
        <v>1319</v>
      </c>
      <c r="C159" s="95">
        <v>22400</v>
      </c>
      <c r="D159" s="95">
        <f t="shared" si="14"/>
        <v>22400</v>
      </c>
      <c r="E159" s="68" t="s">
        <v>1011</v>
      </c>
      <c r="F159" s="68" t="s">
        <v>1012</v>
      </c>
      <c r="G159" s="68" t="s">
        <v>333</v>
      </c>
      <c r="H159" s="68" t="s">
        <v>343</v>
      </c>
      <c r="I159" s="68" t="s">
        <v>344</v>
      </c>
      <c r="J159" s="241" t="s">
        <v>1318</v>
      </c>
      <c r="K159" t="s">
        <v>1013</v>
      </c>
      <c r="L159">
        <v>4970</v>
      </c>
      <c r="M159" t="s">
        <v>1014</v>
      </c>
      <c r="N159" t="s">
        <v>338</v>
      </c>
      <c r="O159" s="90" t="s">
        <v>339</v>
      </c>
      <c r="P159" t="str">
        <f t="shared" si="13"/>
        <v>Arrêté ministériel POLLEC 2020_RH_4 du 02-12-2020</v>
      </c>
    </row>
    <row r="160" spans="1:16" x14ac:dyDescent="0.25">
      <c r="A160" t="s">
        <v>1015</v>
      </c>
      <c r="B160" s="89" t="s">
        <v>1319</v>
      </c>
      <c r="C160" s="95">
        <v>22400</v>
      </c>
      <c r="D160" s="95">
        <f t="shared" si="14"/>
        <v>22400</v>
      </c>
      <c r="E160" s="68" t="s">
        <v>1016</v>
      </c>
      <c r="F160" s="68" t="s">
        <v>1017</v>
      </c>
      <c r="G160" s="68" t="s">
        <v>333</v>
      </c>
      <c r="H160" s="68" t="s">
        <v>334</v>
      </c>
      <c r="I160" s="68" t="s">
        <v>335</v>
      </c>
      <c r="J160" s="241" t="s">
        <v>1318</v>
      </c>
      <c r="K160" t="s">
        <v>1018</v>
      </c>
      <c r="L160">
        <v>4987</v>
      </c>
      <c r="M160" t="s">
        <v>1019</v>
      </c>
      <c r="N160" t="s">
        <v>338</v>
      </c>
      <c r="O160" s="90" t="s">
        <v>339</v>
      </c>
      <c r="P160" t="str">
        <f t="shared" si="13"/>
        <v>Arrêté ministériel POLLEC 2020_RH_3 du 02-12-2020</v>
      </c>
    </row>
    <row r="161" spans="1:16" x14ac:dyDescent="0.25">
      <c r="A161" t="s">
        <v>1020</v>
      </c>
      <c r="B161" s="89" t="s">
        <v>1319</v>
      </c>
      <c r="C161" s="95">
        <v>22400</v>
      </c>
      <c r="D161" s="95">
        <f t="shared" si="14"/>
        <v>22400</v>
      </c>
      <c r="E161" s="68" t="s">
        <v>1021</v>
      </c>
      <c r="F161" s="68" t="s">
        <v>1022</v>
      </c>
      <c r="G161" s="68" t="s">
        <v>333</v>
      </c>
      <c r="H161" s="68" t="s">
        <v>343</v>
      </c>
      <c r="I161" s="68" t="s">
        <v>344</v>
      </c>
      <c r="J161" s="241" t="s">
        <v>1318</v>
      </c>
      <c r="K161" t="s">
        <v>1023</v>
      </c>
      <c r="L161">
        <v>6927</v>
      </c>
      <c r="M161" t="s">
        <v>1024</v>
      </c>
      <c r="N161" t="s">
        <v>338</v>
      </c>
      <c r="O161" s="90" t="s">
        <v>339</v>
      </c>
      <c r="P161" t="str">
        <f t="shared" si="13"/>
        <v>Arrêté ministériel POLLEC 2020_RH_4 du 02-12-2020</v>
      </c>
    </row>
    <row r="162" spans="1:16" x14ac:dyDescent="0.25">
      <c r="A162" t="s">
        <v>1025</v>
      </c>
      <c r="B162" s="89" t="s">
        <v>1319</v>
      </c>
      <c r="C162" s="95">
        <v>22400</v>
      </c>
      <c r="D162" s="95">
        <f t="shared" si="14"/>
        <v>22400</v>
      </c>
      <c r="E162" s="68" t="s">
        <v>1026</v>
      </c>
      <c r="F162" s="68" t="s">
        <v>1027</v>
      </c>
      <c r="G162" s="68" t="s">
        <v>333</v>
      </c>
      <c r="H162" s="68" t="s">
        <v>350</v>
      </c>
      <c r="I162" s="68" t="s">
        <v>351</v>
      </c>
      <c r="J162" s="241" t="s">
        <v>1318</v>
      </c>
      <c r="K162" t="s">
        <v>1028</v>
      </c>
      <c r="L162">
        <v>4890</v>
      </c>
      <c r="M162" t="s">
        <v>1029</v>
      </c>
      <c r="N162" t="s">
        <v>338</v>
      </c>
      <c r="O162" s="90" t="s">
        <v>339</v>
      </c>
      <c r="P162" t="str">
        <f t="shared" ref="P162:P184" si="15">CONCATENATE(N162,H162,O162)</f>
        <v>Arrêté ministériel POLLEC 2020_RH_1 du 02-12-2020</v>
      </c>
    </row>
    <row r="163" spans="1:16" x14ac:dyDescent="0.25">
      <c r="A163" t="s">
        <v>1145</v>
      </c>
      <c r="B163" s="89" t="s">
        <v>1320</v>
      </c>
      <c r="C163" s="95">
        <v>33600</v>
      </c>
      <c r="D163" s="95">
        <f>C163*0.8</f>
        <v>26880</v>
      </c>
      <c r="E163" t="s">
        <v>1240</v>
      </c>
      <c r="F163" s="68" t="s">
        <v>1175</v>
      </c>
      <c r="G163" s="68" t="s">
        <v>1193</v>
      </c>
      <c r="H163" s="68" t="s">
        <v>1195</v>
      </c>
      <c r="I163" s="68" t="s">
        <v>1197</v>
      </c>
      <c r="J163" s="68">
        <v>500070344</v>
      </c>
      <c r="K163" t="s">
        <v>1264</v>
      </c>
      <c r="L163">
        <v>6530</v>
      </c>
      <c r="M163" t="s">
        <v>1210</v>
      </c>
      <c r="N163" t="s">
        <v>1227</v>
      </c>
      <c r="O163" s="238" t="s">
        <v>1291</v>
      </c>
      <c r="P163" t="str">
        <f t="shared" si="15"/>
        <v>Arrêté ministériel POLLEC 2021_P21_RH1 du 13-12-2021</v>
      </c>
    </row>
    <row r="164" spans="1:16" x14ac:dyDescent="0.25">
      <c r="A164" t="s">
        <v>1030</v>
      </c>
      <c r="B164" s="89" t="s">
        <v>1319</v>
      </c>
      <c r="C164" s="95">
        <v>22400</v>
      </c>
      <c r="D164" s="95">
        <f>C164</f>
        <v>22400</v>
      </c>
      <c r="E164" s="68" t="s">
        <v>1031</v>
      </c>
      <c r="F164" s="68" t="s">
        <v>1032</v>
      </c>
      <c r="G164" s="68" t="s">
        <v>333</v>
      </c>
      <c r="H164" s="68" t="s">
        <v>343</v>
      </c>
      <c r="I164" s="68" t="s">
        <v>344</v>
      </c>
      <c r="J164" s="241" t="s">
        <v>1318</v>
      </c>
      <c r="K164" t="s">
        <v>1033</v>
      </c>
      <c r="L164">
        <v>6730</v>
      </c>
      <c r="M164" t="s">
        <v>1034</v>
      </c>
      <c r="N164" t="s">
        <v>338</v>
      </c>
      <c r="O164" s="90" t="s">
        <v>339</v>
      </c>
      <c r="P164" t="str">
        <f t="shared" si="15"/>
        <v>Arrêté ministériel POLLEC 2020_RH_4 du 02-12-2020</v>
      </c>
    </row>
    <row r="165" spans="1:16" x14ac:dyDescent="0.25">
      <c r="A165" t="s">
        <v>707</v>
      </c>
      <c r="B165" s="89" t="s">
        <v>1319</v>
      </c>
      <c r="C165" s="95">
        <v>67200</v>
      </c>
      <c r="D165" s="95">
        <f>C165</f>
        <v>67200</v>
      </c>
      <c r="E165" s="68" t="s">
        <v>1035</v>
      </c>
      <c r="F165" s="68" t="s">
        <v>1036</v>
      </c>
      <c r="G165" s="68" t="s">
        <v>333</v>
      </c>
      <c r="H165" s="68" t="s">
        <v>522</v>
      </c>
      <c r="I165" s="68" t="s">
        <v>523</v>
      </c>
      <c r="J165" s="241" t="s">
        <v>1318</v>
      </c>
      <c r="K165" t="s">
        <v>1037</v>
      </c>
      <c r="L165">
        <v>7500</v>
      </c>
      <c r="M165" t="s">
        <v>1038</v>
      </c>
      <c r="N165" t="s">
        <v>338</v>
      </c>
      <c r="O165" s="90" t="s">
        <v>339</v>
      </c>
      <c r="P165" t="str">
        <f t="shared" si="15"/>
        <v>Arrêté ministériel POLLEC 2020_RH_2 du 02-12-2020</v>
      </c>
    </row>
    <row r="166" spans="1:16" x14ac:dyDescent="0.25">
      <c r="A166" t="s">
        <v>1039</v>
      </c>
      <c r="B166" s="89" t="s">
        <v>1319</v>
      </c>
      <c r="C166" s="95">
        <v>33600</v>
      </c>
      <c r="D166" s="95">
        <f>C166</f>
        <v>33600</v>
      </c>
      <c r="E166" s="68" t="s">
        <v>1040</v>
      </c>
      <c r="F166" s="68" t="s">
        <v>1041</v>
      </c>
      <c r="G166" s="68" t="s">
        <v>333</v>
      </c>
      <c r="H166" s="68" t="s">
        <v>334</v>
      </c>
      <c r="I166" s="68" t="s">
        <v>335</v>
      </c>
      <c r="J166" s="241" t="s">
        <v>1318</v>
      </c>
      <c r="K166" t="s">
        <v>869</v>
      </c>
      <c r="L166">
        <v>1480</v>
      </c>
      <c r="M166" t="s">
        <v>1042</v>
      </c>
      <c r="N166" t="s">
        <v>338</v>
      </c>
      <c r="O166" s="90" t="s">
        <v>339</v>
      </c>
      <c r="P166" t="str">
        <f t="shared" si="15"/>
        <v>Arrêté ministériel POLLEC 2020_RH_3 du 02-12-2020</v>
      </c>
    </row>
    <row r="167" spans="1:16" x14ac:dyDescent="0.25">
      <c r="A167" t="s">
        <v>1133</v>
      </c>
      <c r="B167" s="89" t="s">
        <v>1320</v>
      </c>
      <c r="C167" s="95">
        <v>22400</v>
      </c>
      <c r="D167" s="95">
        <f>C167*0.8</f>
        <v>17920</v>
      </c>
      <c r="E167" s="68" t="s">
        <v>1228</v>
      </c>
      <c r="F167" s="68" t="s">
        <v>1163</v>
      </c>
      <c r="G167" s="68" t="s">
        <v>1193</v>
      </c>
      <c r="H167" s="68" t="s">
        <v>1194</v>
      </c>
      <c r="I167" s="68" t="s">
        <v>1196</v>
      </c>
      <c r="J167" s="68">
        <v>500070345</v>
      </c>
      <c r="K167" t="s">
        <v>1263</v>
      </c>
      <c r="L167">
        <v>6640</v>
      </c>
      <c r="M167" t="s">
        <v>1198</v>
      </c>
      <c r="N167" t="s">
        <v>1227</v>
      </c>
      <c r="O167" s="240" t="s">
        <v>1291</v>
      </c>
      <c r="P167" t="str">
        <f t="shared" si="15"/>
        <v>Arrêté ministériel POLLEC 2021_P21_RH2 du 13-12-2021</v>
      </c>
    </row>
    <row r="168" spans="1:16" x14ac:dyDescent="0.25">
      <c r="A168" t="s">
        <v>1043</v>
      </c>
      <c r="B168" s="89" t="s">
        <v>1319</v>
      </c>
      <c r="C168" s="95">
        <v>22400</v>
      </c>
      <c r="D168" s="95">
        <f>C168</f>
        <v>22400</v>
      </c>
      <c r="E168" s="68" t="s">
        <v>1044</v>
      </c>
      <c r="F168" s="68" t="s">
        <v>1045</v>
      </c>
      <c r="G168" s="68" t="s">
        <v>333</v>
      </c>
      <c r="H168" s="68" t="s">
        <v>334</v>
      </c>
      <c r="I168" s="68" t="s">
        <v>335</v>
      </c>
      <c r="J168" s="241" t="s">
        <v>1318</v>
      </c>
      <c r="K168" t="s">
        <v>1046</v>
      </c>
      <c r="L168">
        <v>4537</v>
      </c>
      <c r="M168" t="s">
        <v>1047</v>
      </c>
      <c r="N168" t="s">
        <v>338</v>
      </c>
      <c r="O168" s="90" t="s">
        <v>339</v>
      </c>
      <c r="P168" t="str">
        <f t="shared" si="15"/>
        <v>Arrêté ministériel POLLEC 2020_RH_3 du 02-12-2020</v>
      </c>
    </row>
    <row r="169" spans="1:16" x14ac:dyDescent="0.25">
      <c r="A169" t="s">
        <v>1048</v>
      </c>
      <c r="B169" s="89" t="s">
        <v>1319</v>
      </c>
      <c r="C169" s="95">
        <v>67200</v>
      </c>
      <c r="D169" s="95">
        <f>C169</f>
        <v>67200</v>
      </c>
      <c r="E169" s="68" t="s">
        <v>1049</v>
      </c>
      <c r="F169" s="68" t="s">
        <v>1050</v>
      </c>
      <c r="G169" s="68" t="s">
        <v>333</v>
      </c>
      <c r="H169" s="68" t="s">
        <v>784</v>
      </c>
      <c r="I169" s="68" t="s">
        <v>785</v>
      </c>
      <c r="J169" s="241" t="s">
        <v>1318</v>
      </c>
      <c r="K169" t="s">
        <v>1051</v>
      </c>
      <c r="L169">
        <v>4800</v>
      </c>
      <c r="M169" t="s">
        <v>1052</v>
      </c>
      <c r="N169" t="s">
        <v>338</v>
      </c>
      <c r="O169" s="90" t="s">
        <v>339</v>
      </c>
      <c r="P169" t="str">
        <f t="shared" si="15"/>
        <v>Arrêté ministériel POLLEC 2020_RH_7 du 02-12-2020</v>
      </c>
    </row>
    <row r="170" spans="1:16" x14ac:dyDescent="0.25">
      <c r="A170" t="s">
        <v>1053</v>
      </c>
      <c r="B170" s="89" t="s">
        <v>1319</v>
      </c>
      <c r="C170" s="95">
        <v>22400</v>
      </c>
      <c r="D170" s="95">
        <f>C170</f>
        <v>22400</v>
      </c>
      <c r="E170" s="68" t="s">
        <v>1054</v>
      </c>
      <c r="F170" s="68" t="s">
        <v>1055</v>
      </c>
      <c r="G170" s="68" t="s">
        <v>333</v>
      </c>
      <c r="H170" s="68" t="s">
        <v>784</v>
      </c>
      <c r="I170" s="68" t="s">
        <v>785</v>
      </c>
      <c r="J170" s="241" t="s">
        <v>1318</v>
      </c>
      <c r="K170" t="s">
        <v>1056</v>
      </c>
      <c r="L170">
        <v>6690</v>
      </c>
      <c r="M170" t="s">
        <v>1057</v>
      </c>
      <c r="N170" t="s">
        <v>338</v>
      </c>
      <c r="O170" s="90" t="s">
        <v>339</v>
      </c>
      <c r="P170" t="str">
        <f t="shared" si="15"/>
        <v>Arrêté ministériel POLLEC 2020_RH_7 du 02-12-2020</v>
      </c>
    </row>
    <row r="171" spans="1:16" x14ac:dyDescent="0.25">
      <c r="A171" t="s">
        <v>1058</v>
      </c>
      <c r="B171" s="89" t="s">
        <v>1319</v>
      </c>
      <c r="C171" s="95">
        <v>22400</v>
      </c>
      <c r="D171" s="95">
        <f>C171</f>
        <v>22400</v>
      </c>
      <c r="E171" s="68" t="s">
        <v>1059</v>
      </c>
      <c r="F171" s="68" t="s">
        <v>1060</v>
      </c>
      <c r="G171" s="68" t="s">
        <v>333</v>
      </c>
      <c r="H171" s="68" t="s">
        <v>334</v>
      </c>
      <c r="I171" s="68" t="s">
        <v>335</v>
      </c>
      <c r="J171" s="241" t="s">
        <v>1318</v>
      </c>
      <c r="K171" t="s">
        <v>1061</v>
      </c>
      <c r="L171">
        <v>1495</v>
      </c>
      <c r="M171" t="s">
        <v>1062</v>
      </c>
      <c r="N171" t="s">
        <v>338</v>
      </c>
      <c r="O171" s="90" t="s">
        <v>339</v>
      </c>
      <c r="P171" t="str">
        <f t="shared" si="15"/>
        <v>Arrêté ministériel POLLEC 2020_RH_3 du 02-12-2020</v>
      </c>
    </row>
    <row r="172" spans="1:16" x14ac:dyDescent="0.25">
      <c r="A172" t="s">
        <v>1063</v>
      </c>
      <c r="B172" s="89" t="s">
        <v>1319</v>
      </c>
      <c r="C172" s="95">
        <v>22400</v>
      </c>
      <c r="D172" s="95">
        <f>C172</f>
        <v>22400</v>
      </c>
      <c r="E172" s="68" t="s">
        <v>1064</v>
      </c>
      <c r="F172" s="68" t="s">
        <v>1065</v>
      </c>
      <c r="G172" s="68" t="s">
        <v>333</v>
      </c>
      <c r="H172" s="68" t="s">
        <v>784</v>
      </c>
      <c r="I172" s="68" t="s">
        <v>785</v>
      </c>
      <c r="J172" s="241" t="s">
        <v>1318</v>
      </c>
      <c r="K172" t="s">
        <v>1066</v>
      </c>
      <c r="L172">
        <v>4530</v>
      </c>
      <c r="M172" t="s">
        <v>1067</v>
      </c>
      <c r="N172" t="s">
        <v>338</v>
      </c>
      <c r="O172" s="90" t="s">
        <v>339</v>
      </c>
      <c r="P172" t="str">
        <f t="shared" si="15"/>
        <v>Arrêté ministériel POLLEC 2020_RH_7 du 02-12-2020</v>
      </c>
    </row>
    <row r="173" spans="1:16" x14ac:dyDescent="0.25">
      <c r="A173" t="s">
        <v>1144</v>
      </c>
      <c r="B173" s="89" t="s">
        <v>1320</v>
      </c>
      <c r="C173" s="95">
        <v>22400</v>
      </c>
      <c r="D173" s="95">
        <f>C173*0.8</f>
        <v>17920</v>
      </c>
      <c r="E173" t="s">
        <v>1239</v>
      </c>
      <c r="F173" s="68" t="s">
        <v>1174</v>
      </c>
      <c r="G173" s="68" t="s">
        <v>1193</v>
      </c>
      <c r="H173" s="68" t="s">
        <v>1195</v>
      </c>
      <c r="I173" s="68" t="s">
        <v>1197</v>
      </c>
      <c r="J173" s="68">
        <v>500070344</v>
      </c>
      <c r="K173" t="s">
        <v>1262</v>
      </c>
      <c r="L173">
        <v>5670</v>
      </c>
      <c r="M173" t="s">
        <v>1209</v>
      </c>
      <c r="N173" t="s">
        <v>1227</v>
      </c>
      <c r="O173" s="239" t="s">
        <v>1291</v>
      </c>
      <c r="P173" t="str">
        <f t="shared" si="15"/>
        <v>Arrêté ministériel POLLEC 2021_P21_RH1 du 13-12-2021</v>
      </c>
    </row>
    <row r="174" spans="1:16" x14ac:dyDescent="0.25">
      <c r="A174" t="s">
        <v>1068</v>
      </c>
      <c r="B174" s="89" t="s">
        <v>1319</v>
      </c>
      <c r="C174" s="95">
        <v>33600</v>
      </c>
      <c r="D174" s="95">
        <f>C174</f>
        <v>33600</v>
      </c>
      <c r="E174" s="68" t="s">
        <v>1069</v>
      </c>
      <c r="F174" s="68" t="s">
        <v>1070</v>
      </c>
      <c r="G174" s="68" t="s">
        <v>333</v>
      </c>
      <c r="H174" s="68" t="s">
        <v>784</v>
      </c>
      <c r="I174" s="68" t="s">
        <v>785</v>
      </c>
      <c r="J174" s="241" t="s">
        <v>1318</v>
      </c>
      <c r="K174" t="s">
        <v>1071</v>
      </c>
      <c r="L174">
        <v>6760</v>
      </c>
      <c r="M174" t="s">
        <v>1072</v>
      </c>
      <c r="N174" t="s">
        <v>338</v>
      </c>
      <c r="O174" s="90" t="s">
        <v>339</v>
      </c>
      <c r="P174" t="str">
        <f t="shared" si="15"/>
        <v>Arrêté ministériel POLLEC 2020_RH_7 du 02-12-2020</v>
      </c>
    </row>
    <row r="175" spans="1:16" x14ac:dyDescent="0.25">
      <c r="A175" t="s">
        <v>1158</v>
      </c>
      <c r="B175" s="89" t="s">
        <v>1320</v>
      </c>
      <c r="C175" s="95">
        <v>33600</v>
      </c>
      <c r="D175" s="95">
        <f>C175*0.8</f>
        <v>26880</v>
      </c>
      <c r="E175" s="68" t="s">
        <v>1256</v>
      </c>
      <c r="F175" s="68" t="s">
        <v>1188</v>
      </c>
      <c r="G175" s="68" t="s">
        <v>1193</v>
      </c>
      <c r="H175" s="68" t="s">
        <v>1195</v>
      </c>
      <c r="I175" s="68" t="s">
        <v>1197</v>
      </c>
      <c r="J175" s="68">
        <v>500070344</v>
      </c>
      <c r="K175" t="s">
        <v>1261</v>
      </c>
      <c r="L175">
        <v>4600</v>
      </c>
      <c r="M175" t="s">
        <v>1223</v>
      </c>
      <c r="N175" t="s">
        <v>1227</v>
      </c>
      <c r="O175" s="240" t="s">
        <v>1291</v>
      </c>
      <c r="P175" t="str">
        <f t="shared" si="15"/>
        <v>Arrêté ministériel POLLEC 2021_P21_RH1 du 13-12-2021</v>
      </c>
    </row>
    <row r="176" spans="1:16" x14ac:dyDescent="0.25">
      <c r="A176" t="s">
        <v>1073</v>
      </c>
      <c r="B176" s="89" t="s">
        <v>1319</v>
      </c>
      <c r="C176" s="95">
        <v>22400</v>
      </c>
      <c r="D176" s="95">
        <f>C176</f>
        <v>22400</v>
      </c>
      <c r="E176" s="68" t="s">
        <v>1074</v>
      </c>
      <c r="F176" s="68" t="s">
        <v>1075</v>
      </c>
      <c r="G176" s="68" t="s">
        <v>333</v>
      </c>
      <c r="H176" s="68" t="s">
        <v>343</v>
      </c>
      <c r="I176" s="68" t="s">
        <v>344</v>
      </c>
      <c r="J176" s="241" t="s">
        <v>1318</v>
      </c>
      <c r="K176" t="s">
        <v>1076</v>
      </c>
      <c r="L176">
        <v>4950</v>
      </c>
      <c r="M176" t="s">
        <v>1077</v>
      </c>
      <c r="N176" t="s">
        <v>338</v>
      </c>
      <c r="O176" s="90" t="s">
        <v>339</v>
      </c>
      <c r="P176" t="str">
        <f t="shared" si="15"/>
        <v>Arrêté ministériel POLLEC 2020_RH_4 du 02-12-2020</v>
      </c>
    </row>
    <row r="177" spans="1:16" x14ac:dyDescent="0.25">
      <c r="A177" t="s">
        <v>1151</v>
      </c>
      <c r="B177" s="89" t="s">
        <v>1320</v>
      </c>
      <c r="C177" s="95">
        <v>33600</v>
      </c>
      <c r="D177" s="95">
        <f>C177*0.8</f>
        <v>26880</v>
      </c>
      <c r="E177" s="68" t="s">
        <v>1257</v>
      </c>
      <c r="F177" s="68" t="s">
        <v>1181</v>
      </c>
      <c r="G177" s="68" t="s">
        <v>1193</v>
      </c>
      <c r="H177" s="68" t="s">
        <v>1195</v>
      </c>
      <c r="I177" s="68" t="s">
        <v>1197</v>
      </c>
      <c r="J177" s="68">
        <v>500070344</v>
      </c>
      <c r="K177" t="s">
        <v>1260</v>
      </c>
      <c r="L177">
        <v>5650</v>
      </c>
      <c r="M177" t="s">
        <v>1216</v>
      </c>
      <c r="N177" t="s">
        <v>1227</v>
      </c>
      <c r="O177" s="238" t="s">
        <v>1291</v>
      </c>
      <c r="P177" t="str">
        <f t="shared" si="15"/>
        <v>Arrêté ministériel POLLEC 2021_P21_RH1 du 13-12-2021</v>
      </c>
    </row>
    <row r="178" spans="1:16" x14ac:dyDescent="0.25">
      <c r="A178" t="s">
        <v>1078</v>
      </c>
      <c r="B178" s="89" t="s">
        <v>1319</v>
      </c>
      <c r="C178" s="95">
        <v>22400</v>
      </c>
      <c r="D178" s="95">
        <f t="shared" ref="D178:D183" si="16">C178</f>
        <v>22400</v>
      </c>
      <c r="E178" s="68" t="s">
        <v>1079</v>
      </c>
      <c r="F178" s="68" t="s">
        <v>1080</v>
      </c>
      <c r="G178" s="68" t="s">
        <v>333</v>
      </c>
      <c r="H178" s="68" t="s">
        <v>784</v>
      </c>
      <c r="I178" s="68" t="s">
        <v>785</v>
      </c>
      <c r="J178" s="241" t="s">
        <v>1318</v>
      </c>
      <c r="K178" t="s">
        <v>688</v>
      </c>
      <c r="L178">
        <v>1457</v>
      </c>
      <c r="M178" t="s">
        <v>1081</v>
      </c>
      <c r="N178" t="s">
        <v>338</v>
      </c>
      <c r="O178" s="90" t="s">
        <v>339</v>
      </c>
      <c r="P178" t="str">
        <f t="shared" si="15"/>
        <v>Arrêté ministériel POLLEC 2020_RH_7 du 02-12-2020</v>
      </c>
    </row>
    <row r="179" spans="1:16" x14ac:dyDescent="0.25">
      <c r="A179" t="s">
        <v>1082</v>
      </c>
      <c r="B179" s="89" t="s">
        <v>1319</v>
      </c>
      <c r="C179" s="95">
        <v>33600</v>
      </c>
      <c r="D179" s="95">
        <f t="shared" si="16"/>
        <v>33600</v>
      </c>
      <c r="E179" s="68" t="s">
        <v>1083</v>
      </c>
      <c r="F179" s="68" t="s">
        <v>1084</v>
      </c>
      <c r="G179" s="68" t="s">
        <v>333</v>
      </c>
      <c r="H179" s="68" t="s">
        <v>784</v>
      </c>
      <c r="I179" s="68" t="s">
        <v>785</v>
      </c>
      <c r="J179" s="241" t="s">
        <v>1318</v>
      </c>
      <c r="K179" t="s">
        <v>1085</v>
      </c>
      <c r="L179">
        <v>4300</v>
      </c>
      <c r="M179" t="s">
        <v>1086</v>
      </c>
      <c r="N179" t="s">
        <v>338</v>
      </c>
      <c r="O179" s="90" t="s">
        <v>339</v>
      </c>
      <c r="P179" t="str">
        <f t="shared" si="15"/>
        <v>Arrêté ministériel POLLEC 2020_RH_7 du 02-12-2020</v>
      </c>
    </row>
    <row r="180" spans="1:16" x14ac:dyDescent="0.25">
      <c r="A180" t="s">
        <v>1087</v>
      </c>
      <c r="B180" s="89" t="s">
        <v>1319</v>
      </c>
      <c r="C180" s="95">
        <v>22400</v>
      </c>
      <c r="D180" s="95">
        <f t="shared" si="16"/>
        <v>22400</v>
      </c>
      <c r="E180" s="68" t="s">
        <v>1088</v>
      </c>
      <c r="F180" s="68" t="s">
        <v>1089</v>
      </c>
      <c r="G180" s="68" t="s">
        <v>333</v>
      </c>
      <c r="H180" s="68" t="s">
        <v>343</v>
      </c>
      <c r="I180" s="68" t="s">
        <v>344</v>
      </c>
      <c r="J180" s="241" t="s">
        <v>1318</v>
      </c>
      <c r="K180" t="s">
        <v>1090</v>
      </c>
      <c r="L180">
        <v>4219</v>
      </c>
      <c r="M180" t="s">
        <v>1091</v>
      </c>
      <c r="N180" t="s">
        <v>338</v>
      </c>
      <c r="O180" s="90" t="s">
        <v>339</v>
      </c>
      <c r="P180" t="str">
        <f t="shared" si="15"/>
        <v>Arrêté ministériel POLLEC 2020_RH_4 du 02-12-2020</v>
      </c>
    </row>
    <row r="181" spans="1:16" x14ac:dyDescent="0.25">
      <c r="A181" t="s">
        <v>1092</v>
      </c>
      <c r="B181" s="89" t="s">
        <v>1319</v>
      </c>
      <c r="C181" s="95">
        <v>33600</v>
      </c>
      <c r="D181" s="95">
        <f t="shared" si="16"/>
        <v>33600</v>
      </c>
      <c r="E181" s="68" t="s">
        <v>1093</v>
      </c>
      <c r="F181" s="68" t="s">
        <v>1094</v>
      </c>
      <c r="G181" s="68" t="s">
        <v>333</v>
      </c>
      <c r="H181" s="68" t="s">
        <v>784</v>
      </c>
      <c r="I181" s="68" t="s">
        <v>785</v>
      </c>
      <c r="J181" s="241" t="s">
        <v>1318</v>
      </c>
      <c r="K181" t="s">
        <v>1095</v>
      </c>
      <c r="L181">
        <v>1410</v>
      </c>
      <c r="M181" t="s">
        <v>1096</v>
      </c>
      <c r="N181" t="s">
        <v>338</v>
      </c>
      <c r="O181" s="90" t="s">
        <v>339</v>
      </c>
      <c r="P181" t="str">
        <f t="shared" si="15"/>
        <v>Arrêté ministériel POLLEC 2020_RH_7 du 02-12-2020</v>
      </c>
    </row>
    <row r="182" spans="1:16" x14ac:dyDescent="0.25">
      <c r="A182" t="s">
        <v>1097</v>
      </c>
      <c r="B182" s="89" t="s">
        <v>1319</v>
      </c>
      <c r="C182" s="95">
        <v>33600</v>
      </c>
      <c r="D182" s="95">
        <f t="shared" si="16"/>
        <v>33600</v>
      </c>
      <c r="E182" s="68" t="s">
        <v>1098</v>
      </c>
      <c r="F182" s="68" t="s">
        <v>1099</v>
      </c>
      <c r="G182" s="68" t="s">
        <v>333</v>
      </c>
      <c r="H182" s="68" t="s">
        <v>343</v>
      </c>
      <c r="I182" s="68" t="s">
        <v>344</v>
      </c>
      <c r="J182" s="241" t="s">
        <v>1318</v>
      </c>
      <c r="K182" t="s">
        <v>1100</v>
      </c>
      <c r="L182">
        <v>1300</v>
      </c>
      <c r="M182" t="s">
        <v>1101</v>
      </c>
      <c r="N182" t="s">
        <v>338</v>
      </c>
      <c r="O182" s="90" t="s">
        <v>339</v>
      </c>
      <c r="P182" t="str">
        <f t="shared" si="15"/>
        <v>Arrêté ministériel POLLEC 2020_RH_4 du 02-12-2020</v>
      </c>
    </row>
    <row r="183" spans="1:16" x14ac:dyDescent="0.25">
      <c r="A183" t="s">
        <v>1102</v>
      </c>
      <c r="B183" s="89" t="s">
        <v>1319</v>
      </c>
      <c r="C183" s="95">
        <v>22400</v>
      </c>
      <c r="D183" s="95">
        <f t="shared" si="16"/>
        <v>22400</v>
      </c>
      <c r="E183" s="68" t="s">
        <v>1103</v>
      </c>
      <c r="F183" s="68" t="s">
        <v>1104</v>
      </c>
      <c r="G183" s="68" t="s">
        <v>333</v>
      </c>
      <c r="H183" s="68" t="s">
        <v>343</v>
      </c>
      <c r="I183" s="68" t="s">
        <v>344</v>
      </c>
      <c r="J183" s="241" t="s">
        <v>1318</v>
      </c>
      <c r="K183" t="s">
        <v>1105</v>
      </c>
      <c r="L183">
        <v>4840</v>
      </c>
      <c r="M183" t="s">
        <v>1106</v>
      </c>
      <c r="N183" t="s">
        <v>338</v>
      </c>
      <c r="O183" s="90" t="s">
        <v>339</v>
      </c>
      <c r="P183" t="str">
        <f t="shared" si="15"/>
        <v>Arrêté ministériel POLLEC 2020_RH_4 du 02-12-2020</v>
      </c>
    </row>
    <row r="184" spans="1:16" x14ac:dyDescent="0.25">
      <c r="A184" t="s">
        <v>1140</v>
      </c>
      <c r="B184" s="89" t="s">
        <v>1320</v>
      </c>
      <c r="C184" s="95">
        <v>22400</v>
      </c>
      <c r="D184" s="95">
        <f>C184*0.8</f>
        <v>17920</v>
      </c>
      <c r="E184" s="68" t="s">
        <v>1235</v>
      </c>
      <c r="F184" s="68" t="s">
        <v>1170</v>
      </c>
      <c r="G184" s="68" t="s">
        <v>1193</v>
      </c>
      <c r="H184" s="68" t="s">
        <v>1194</v>
      </c>
      <c r="I184" s="68" t="s">
        <v>1196</v>
      </c>
      <c r="J184" s="68">
        <v>500070345</v>
      </c>
      <c r="K184" t="s">
        <v>1258</v>
      </c>
      <c r="L184" t="s">
        <v>1259</v>
      </c>
      <c r="M184" t="s">
        <v>1205</v>
      </c>
      <c r="N184" t="s">
        <v>1227</v>
      </c>
      <c r="O184" s="239" t="s">
        <v>1291</v>
      </c>
      <c r="P184" t="str">
        <f t="shared" si="15"/>
        <v>Arrêté ministériel POLLEC 2021_P21_RH2 du 13-12-2021</v>
      </c>
    </row>
  </sheetData>
  <sheetProtection sheet="1" objects="1" scenarios="1"/>
  <sortState xmlns:xlrd2="http://schemas.microsoft.com/office/spreadsheetml/2017/richdata2" ref="A2:P184">
    <sortCondition ref="N1:N184"/>
  </sortState>
  <phoneticPr fontId="52" type="noConversion"/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E"/>
  <dimension ref="A1:K182"/>
  <sheetViews>
    <sheetView zoomScale="80" zoomScaleNormal="80" workbookViewId="0">
      <selection activeCell="H1" sqref="H1:H4"/>
    </sheetView>
  </sheetViews>
  <sheetFormatPr baseColWidth="10" defaultColWidth="10.7109375" defaultRowHeight="18.75" x14ac:dyDescent="0.3"/>
  <cols>
    <col min="1" max="1" width="32" bestFit="1" customWidth="1"/>
    <col min="2" max="2" width="23.7109375" bestFit="1" customWidth="1"/>
    <col min="3" max="4" width="13.42578125" customWidth="1"/>
    <col min="5" max="5" width="21.28515625" bestFit="1" customWidth="1"/>
    <col min="6" max="6" width="13.42578125" customWidth="1"/>
    <col min="7" max="7" width="44.5703125" style="53" customWidth="1"/>
    <col min="8" max="8" width="14" customWidth="1"/>
    <col min="9" max="9" width="13.42578125" customWidth="1"/>
    <col min="10" max="10" width="37.85546875" customWidth="1"/>
    <col min="11" max="11" width="29" style="243" customWidth="1"/>
  </cols>
  <sheetData>
    <row r="1" spans="1:11" ht="15" x14ac:dyDescent="0.25">
      <c r="A1" t="s">
        <v>1296</v>
      </c>
      <c r="B1" t="s">
        <v>1297</v>
      </c>
      <c r="C1" t="s">
        <v>1298</v>
      </c>
      <c r="D1" t="s">
        <v>1299</v>
      </c>
      <c r="E1" t="s">
        <v>1300</v>
      </c>
      <c r="F1" t="s">
        <v>1301</v>
      </c>
      <c r="G1" t="s">
        <v>1108</v>
      </c>
      <c r="H1" t="s">
        <v>1302</v>
      </c>
      <c r="I1" t="s">
        <v>49</v>
      </c>
      <c r="J1" t="s">
        <v>1303</v>
      </c>
      <c r="K1" s="243" t="s">
        <v>1295</v>
      </c>
    </row>
    <row r="2" spans="1:11" s="103" customFormat="1" ht="15" x14ac:dyDescent="0.25">
      <c r="A2">
        <v>67200</v>
      </c>
      <c r="B2" t="s">
        <v>911</v>
      </c>
      <c r="C2"/>
      <c r="D2"/>
      <c r="E2" t="s">
        <v>1324</v>
      </c>
      <c r="F2"/>
      <c r="G2"/>
      <c r="H2" t="s">
        <v>16</v>
      </c>
      <c r="I2" t="s">
        <v>1123</v>
      </c>
      <c r="J2"/>
      <c r="K2" s="243"/>
    </row>
    <row r="3" spans="1:11" ht="15" x14ac:dyDescent="0.25">
      <c r="A3">
        <v>134400</v>
      </c>
      <c r="B3" t="s">
        <v>335</v>
      </c>
      <c r="E3" t="s">
        <v>1325</v>
      </c>
      <c r="G3"/>
      <c r="H3" t="s">
        <v>1113</v>
      </c>
      <c r="I3" t="s">
        <v>1124</v>
      </c>
    </row>
    <row r="4" spans="1:11" ht="15" x14ac:dyDescent="0.25">
      <c r="A4">
        <v>33600</v>
      </c>
      <c r="B4" t="s">
        <v>613</v>
      </c>
      <c r="C4" t="s">
        <v>1116</v>
      </c>
      <c r="D4" t="s">
        <v>1117</v>
      </c>
      <c r="E4" t="s">
        <v>1118</v>
      </c>
      <c r="F4" t="s">
        <v>1119</v>
      </c>
      <c r="G4"/>
      <c r="H4" t="s">
        <v>1120</v>
      </c>
      <c r="I4" t="s">
        <v>1121</v>
      </c>
      <c r="J4" t="s">
        <v>1122</v>
      </c>
    </row>
    <row r="5" spans="1:11" ht="15" x14ac:dyDescent="0.25">
      <c r="A5">
        <v>22400</v>
      </c>
      <c r="B5" t="s">
        <v>451</v>
      </c>
      <c r="C5" t="s">
        <v>1110</v>
      </c>
      <c r="D5" t="s">
        <v>1111</v>
      </c>
      <c r="E5" t="s">
        <v>142</v>
      </c>
      <c r="F5" t="s">
        <v>1112</v>
      </c>
      <c r="G5"/>
      <c r="I5" t="s">
        <v>1114</v>
      </c>
      <c r="J5" t="s">
        <v>1115</v>
      </c>
      <c r="K5" s="244" t="s">
        <v>1320</v>
      </c>
    </row>
    <row r="6" spans="1:11" ht="23.65" customHeight="1" x14ac:dyDescent="0.25">
      <c r="A6" t="s">
        <v>16</v>
      </c>
      <c r="B6" t="s">
        <v>1107</v>
      </c>
      <c r="C6" t="s">
        <v>16</v>
      </c>
      <c r="D6" t="s">
        <v>16</v>
      </c>
      <c r="F6" t="s">
        <v>16</v>
      </c>
      <c r="G6" t="s">
        <v>79</v>
      </c>
      <c r="I6" t="str">
        <f>LISTE_V_S</f>
        <v>Veuillez sélectionner</v>
      </c>
      <c r="J6" t="s">
        <v>1109</v>
      </c>
      <c r="K6" s="244" t="s">
        <v>1319</v>
      </c>
    </row>
    <row r="7" spans="1:11" ht="15" x14ac:dyDescent="0.25">
      <c r="B7" t="s">
        <v>344</v>
      </c>
      <c r="G7"/>
      <c r="I7" t="s">
        <v>1125</v>
      </c>
    </row>
    <row r="8" spans="1:11" ht="15" x14ac:dyDescent="0.25">
      <c r="B8" t="s">
        <v>351</v>
      </c>
      <c r="G8"/>
      <c r="I8" t="s">
        <v>1126</v>
      </c>
    </row>
    <row r="9" spans="1:11" ht="15" x14ac:dyDescent="0.25">
      <c r="B9" t="s">
        <v>363</v>
      </c>
      <c r="G9"/>
      <c r="I9" t="s">
        <v>1127</v>
      </c>
    </row>
    <row r="10" spans="1:11" ht="15" x14ac:dyDescent="0.25">
      <c r="B10" t="s">
        <v>523</v>
      </c>
      <c r="G10"/>
      <c r="I10" t="s">
        <v>1128</v>
      </c>
    </row>
    <row r="11" spans="1:11" ht="15" x14ac:dyDescent="0.25">
      <c r="B11" t="s">
        <v>560</v>
      </c>
      <c r="G11"/>
      <c r="I11" t="s">
        <v>1129</v>
      </c>
    </row>
    <row r="12" spans="1:11" ht="15" x14ac:dyDescent="0.25">
      <c r="B12" t="s">
        <v>785</v>
      </c>
      <c r="G12"/>
      <c r="I12" t="s">
        <v>1130</v>
      </c>
    </row>
    <row r="13" spans="1:11" ht="15" x14ac:dyDescent="0.25">
      <c r="G13"/>
      <c r="I13" t="s">
        <v>1131</v>
      </c>
    </row>
    <row r="14" spans="1:11" ht="15" x14ac:dyDescent="0.25">
      <c r="G14"/>
      <c r="I14" t="s">
        <v>1132</v>
      </c>
    </row>
    <row r="178" spans="2:2" x14ac:dyDescent="0.3">
      <c r="B178" t="s">
        <v>785</v>
      </c>
    </row>
    <row r="179" spans="2:2" x14ac:dyDescent="0.3">
      <c r="B179" t="s">
        <v>344</v>
      </c>
    </row>
    <row r="180" spans="2:2" x14ac:dyDescent="0.3">
      <c r="B180" t="s">
        <v>785</v>
      </c>
    </row>
    <row r="181" spans="2:2" x14ac:dyDescent="0.3">
      <c r="B181" t="s">
        <v>344</v>
      </c>
    </row>
    <row r="182" spans="2:2" x14ac:dyDescent="0.3">
      <c r="B182" t="s">
        <v>344</v>
      </c>
    </row>
  </sheetData>
  <sheetProtection selectLockedCells="1" selectUnlockedCells="1"/>
  <phoneticPr fontId="5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DENTIF">
    <tabColor rgb="FFFFFF00"/>
  </sheetPr>
  <dimension ref="A1:AE64"/>
  <sheetViews>
    <sheetView showGridLines="0" zoomScale="90" zoomScaleNormal="90" zoomScaleSheetLayoutView="80" zoomScalePageLayoutView="75" workbookViewId="0">
      <selection activeCell="F15" sqref="F15:F16"/>
    </sheetView>
  </sheetViews>
  <sheetFormatPr baseColWidth="10" defaultColWidth="10.7109375" defaultRowHeight="15" x14ac:dyDescent="0.25"/>
  <cols>
    <col min="1" max="1" width="58.28515625" style="288" customWidth="1"/>
    <col min="2" max="2" width="54.85546875" style="287" customWidth="1"/>
    <col min="3" max="3" width="23.5703125" style="287" customWidth="1"/>
    <col min="4" max="4" width="19.28515625" style="287" customWidth="1"/>
    <col min="5" max="5" width="15.28515625" style="287" customWidth="1"/>
    <col min="6" max="6" width="39.7109375" style="287" customWidth="1"/>
    <col min="7" max="7" width="3.42578125" style="272" customWidth="1"/>
    <col min="8" max="8" width="3.28515625" style="272" customWidth="1"/>
    <col min="9" max="9" width="3.5703125" style="272" customWidth="1"/>
    <col min="10" max="10" width="0.7109375" style="272" customWidth="1"/>
    <col min="11" max="11" width="3.28515625" style="272" customWidth="1"/>
    <col min="12" max="12" width="1.7109375" style="272" customWidth="1"/>
    <col min="13" max="13" width="2" style="272" customWidth="1"/>
    <col min="14" max="14" width="4.7109375" style="272" customWidth="1"/>
    <col min="15" max="16" width="1.7109375" style="272" customWidth="1"/>
    <col min="17" max="17" width="3.28515625" style="272" customWidth="1"/>
    <col min="18" max="18" width="1.7109375" style="273" customWidth="1"/>
    <col min="19" max="27" width="10.7109375" style="273"/>
    <col min="28" max="16384" width="10.7109375" style="287"/>
  </cols>
  <sheetData>
    <row r="1" spans="1:31" s="253" customFormat="1" ht="29.25" customHeight="1" x14ac:dyDescent="0.25">
      <c r="A1" s="249" t="s">
        <v>13</v>
      </c>
      <c r="B1" s="250"/>
      <c r="C1" s="250"/>
      <c r="D1" s="251"/>
      <c r="E1" s="251"/>
      <c r="F1" s="252"/>
      <c r="R1" s="254"/>
      <c r="S1" s="254"/>
      <c r="T1" s="255"/>
      <c r="U1" s="255"/>
      <c r="V1" s="255"/>
      <c r="W1" s="255"/>
      <c r="X1" s="255"/>
      <c r="Y1" s="255"/>
      <c r="Z1" s="255"/>
      <c r="AA1" s="255"/>
      <c r="AB1" s="256"/>
      <c r="AC1" s="256"/>
      <c r="AD1" s="256"/>
      <c r="AE1" s="256"/>
    </row>
    <row r="2" spans="1:31" s="257" customFormat="1" ht="29.25" customHeight="1" x14ac:dyDescent="0.25"/>
    <row r="3" spans="1:31" s="257" customFormat="1" ht="29.25" customHeight="1" x14ac:dyDescent="0.25">
      <c r="A3" s="397" t="s">
        <v>20</v>
      </c>
      <c r="B3" s="397"/>
    </row>
    <row r="4" spans="1:31" s="257" customFormat="1" ht="29.25" customHeight="1" x14ac:dyDescent="0.25">
      <c r="A4" s="258" t="s">
        <v>22</v>
      </c>
      <c r="B4" s="242" t="s">
        <v>23</v>
      </c>
      <c r="D4" s="400" t="s">
        <v>35</v>
      </c>
      <c r="E4" s="400"/>
      <c r="F4" s="400"/>
    </row>
    <row r="5" spans="1:31" s="257" customFormat="1" ht="18.75" customHeight="1" x14ac:dyDescent="0.25">
      <c r="A5" s="258" t="s">
        <v>25</v>
      </c>
      <c r="B5" s="101" t="e">
        <f>VLOOKUP($B$4,T_RH_P20_21[],6,0)</f>
        <v>#N/A</v>
      </c>
      <c r="D5" s="401" t="s">
        <v>37</v>
      </c>
      <c r="E5" s="402"/>
      <c r="F5" s="115" t="e">
        <f>VLOOKUP($B$4,T_RH_P20_21[],11,0)</f>
        <v>#N/A</v>
      </c>
    </row>
    <row r="6" spans="1:31" s="257" customFormat="1" ht="18.75" customHeight="1" x14ac:dyDescent="0.25">
      <c r="A6" s="258" t="s">
        <v>27</v>
      </c>
      <c r="B6" s="101" t="e">
        <f>VLOOKUP($B$4,T_RH_P20_21[],5,0)</f>
        <v>#N/A</v>
      </c>
      <c r="D6" s="401" t="s">
        <v>39</v>
      </c>
      <c r="E6" s="402"/>
      <c r="F6" s="115" t="e">
        <f>VLOOKUP($B$4,T_RH_P20_21[],12,0)</f>
        <v>#N/A</v>
      </c>
    </row>
    <row r="7" spans="1:31" s="257" customFormat="1" ht="18.75" customHeight="1" x14ac:dyDescent="0.25">
      <c r="A7" s="258" t="s">
        <v>29</v>
      </c>
      <c r="B7" s="96"/>
      <c r="D7" s="401" t="s">
        <v>41</v>
      </c>
      <c r="E7" s="402"/>
      <c r="F7" s="115" t="e">
        <f>VLOOKUP($B$4,T_RH_P20_21[],13,0)</f>
        <v>#N/A</v>
      </c>
    </row>
    <row r="8" spans="1:31" s="257" customFormat="1" ht="18.75" customHeight="1" x14ac:dyDescent="0.25">
      <c r="A8" s="258" t="s">
        <v>31</v>
      </c>
      <c r="B8" s="96"/>
    </row>
    <row r="9" spans="1:31" s="257" customFormat="1" ht="18.75" customHeight="1" x14ac:dyDescent="0.25">
      <c r="A9" s="258" t="s">
        <v>33</v>
      </c>
      <c r="B9" s="96"/>
    </row>
    <row r="10" spans="1:31" s="257" customFormat="1" ht="24.75" customHeight="1" x14ac:dyDescent="0.25">
      <c r="A10" s="259" t="s">
        <v>1323</v>
      </c>
      <c r="B10" s="99" t="s">
        <v>16</v>
      </c>
    </row>
    <row r="11" spans="1:31" s="257" customFormat="1" ht="18.75" customHeight="1" x14ac:dyDescent="0.25">
      <c r="A11" s="260" t="s">
        <v>34</v>
      </c>
      <c r="B11" s="100"/>
    </row>
    <row r="12" spans="1:31" s="257" customFormat="1" ht="29.25" customHeight="1" x14ac:dyDescent="0.25"/>
    <row r="13" spans="1:31" s="253" customFormat="1" ht="51" customHeight="1" x14ac:dyDescent="0.25">
      <c r="A13" s="398" t="s">
        <v>1305</v>
      </c>
      <c r="B13" s="399"/>
      <c r="C13" s="261"/>
      <c r="D13" s="399" t="s">
        <v>1311</v>
      </c>
      <c r="E13" s="399"/>
      <c r="F13" s="399"/>
      <c r="R13" s="262"/>
      <c r="S13" s="255"/>
      <c r="T13" s="255"/>
      <c r="U13" s="255"/>
      <c r="V13" s="255"/>
      <c r="W13" s="255"/>
      <c r="X13" s="255"/>
      <c r="Y13" s="255"/>
      <c r="Z13" s="255"/>
      <c r="AA13" s="255"/>
      <c r="AB13" s="256"/>
      <c r="AC13" s="256"/>
      <c r="AD13" s="256"/>
      <c r="AE13" s="256"/>
    </row>
    <row r="14" spans="1:31" s="253" customFormat="1" x14ac:dyDescent="0.25">
      <c r="A14" s="263" t="s">
        <v>14</v>
      </c>
      <c r="B14" s="264" t="e">
        <f>VLOOKUP($B$4,T_RH_P20_21[],2,0)</f>
        <v>#N/A</v>
      </c>
      <c r="C14" s="261"/>
      <c r="D14" s="265"/>
      <c r="E14" s="266" t="s">
        <v>15</v>
      </c>
      <c r="F14" s="264" t="s">
        <v>1119</v>
      </c>
      <c r="R14" s="262"/>
      <c r="S14" s="255"/>
      <c r="T14" s="255"/>
      <c r="U14" s="255"/>
      <c r="V14" s="255"/>
      <c r="W14" s="255"/>
      <c r="X14" s="255"/>
      <c r="Y14" s="255"/>
      <c r="Z14" s="255"/>
      <c r="AA14" s="255"/>
      <c r="AB14" s="256"/>
      <c r="AC14" s="256"/>
      <c r="AD14" s="256"/>
      <c r="AE14" s="256"/>
    </row>
    <row r="15" spans="1:31" s="253" customFormat="1" x14ac:dyDescent="0.25">
      <c r="A15" s="267" t="s">
        <v>1294</v>
      </c>
      <c r="B15" s="268" t="e">
        <f>IF(IDENTIF_NOM_PROJET="POLLEC 2020-RH",44197,44562)</f>
        <v>#N/A</v>
      </c>
      <c r="C15" s="261"/>
      <c r="D15" s="269"/>
      <c r="E15" s="266" t="s">
        <v>17</v>
      </c>
      <c r="F15" s="97"/>
      <c r="R15" s="262"/>
      <c r="S15" s="255"/>
      <c r="T15" s="255"/>
      <c r="U15" s="255"/>
      <c r="V15" s="255"/>
      <c r="W15" s="255"/>
      <c r="X15" s="255"/>
      <c r="Y15" s="255"/>
      <c r="Z15" s="255"/>
      <c r="AA15" s="255"/>
      <c r="AB15" s="256"/>
      <c r="AC15" s="256"/>
      <c r="AD15" s="256"/>
      <c r="AE15" s="256"/>
    </row>
    <row r="16" spans="1:31" s="253" customFormat="1" x14ac:dyDescent="0.25">
      <c r="A16" s="267" t="s">
        <v>1304</v>
      </c>
      <c r="B16" s="268" t="e">
        <f>IF(IDENTIF_NOM_PROJET="POLLEC 2020-RH",45291,45657)</f>
        <v>#N/A</v>
      </c>
      <c r="C16" s="261"/>
      <c r="D16" s="269"/>
      <c r="E16" s="270" t="s">
        <v>18</v>
      </c>
      <c r="F16" s="98"/>
      <c r="R16" s="262"/>
      <c r="S16" s="255"/>
      <c r="T16" s="255"/>
      <c r="U16" s="255"/>
      <c r="V16" s="255"/>
      <c r="W16" s="255"/>
      <c r="X16" s="255"/>
      <c r="Y16" s="255"/>
      <c r="Z16" s="255"/>
      <c r="AA16" s="255"/>
      <c r="AB16" s="256"/>
      <c r="AC16" s="256"/>
      <c r="AD16" s="256"/>
      <c r="AE16" s="256"/>
    </row>
    <row r="17" spans="1:31" s="273" customFormat="1" x14ac:dyDescent="0.25">
      <c r="A17" s="263" t="s">
        <v>19</v>
      </c>
      <c r="B17" s="264">
        <v>0.75</v>
      </c>
      <c r="C17" s="261"/>
      <c r="D17" s="396" t="s">
        <v>1310</v>
      </c>
      <c r="E17" s="396"/>
      <c r="F17" s="271">
        <f>(YEAR(IDENTIF_FIN_DC)-YEAR(IDENTIF_DEB_DC))*12+MONTH(IDENTIF_FIN_DC)-MONTH(IDENTIF_DEB_DC)+1</f>
        <v>1</v>
      </c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</row>
    <row r="18" spans="1:31" s="257" customFormat="1" ht="13.5" customHeight="1" x14ac:dyDescent="0.25">
      <c r="A18" s="274"/>
      <c r="B18" s="274"/>
    </row>
    <row r="19" spans="1:31" s="253" customFormat="1" ht="56.65" customHeight="1" x14ac:dyDescent="0.25">
      <c r="A19" s="398" t="s">
        <v>1322</v>
      </c>
      <c r="B19" s="399"/>
      <c r="C19" s="261"/>
      <c r="D19" s="400" t="s">
        <v>21</v>
      </c>
      <c r="E19" s="400"/>
      <c r="F19" s="400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6"/>
      <c r="AC19" s="256"/>
      <c r="AD19" s="256"/>
      <c r="AE19" s="256"/>
    </row>
    <row r="20" spans="1:31" s="253" customFormat="1" x14ac:dyDescent="0.25">
      <c r="A20" s="275" t="s">
        <v>36</v>
      </c>
      <c r="B20" s="289" t="e">
        <f>VLOOKUP($B$4,T_RH_P20_21[],3,0)</f>
        <v>#N/A</v>
      </c>
      <c r="C20" s="261"/>
      <c r="D20" s="394" t="s">
        <v>24</v>
      </c>
      <c r="E20" s="395"/>
      <c r="F20" s="102" t="s">
        <v>16</v>
      </c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6"/>
      <c r="AC20" s="256"/>
      <c r="AD20" s="256"/>
      <c r="AE20" s="256"/>
    </row>
    <row r="21" spans="1:31" s="253" customFormat="1" x14ac:dyDescent="0.25">
      <c r="A21" s="276" t="s">
        <v>1321</v>
      </c>
      <c r="B21" s="289" t="e">
        <f>VLOOKUP($B$4,T_RH_P20_21[],4,0)</f>
        <v>#N/A</v>
      </c>
      <c r="C21" s="261"/>
      <c r="D21" s="277"/>
      <c r="E21" s="258"/>
      <c r="F21" s="102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6"/>
      <c r="AC21" s="256"/>
      <c r="AD21" s="256"/>
      <c r="AE21" s="256"/>
    </row>
    <row r="22" spans="1:31" s="253" customFormat="1" x14ac:dyDescent="0.25">
      <c r="A22" s="276" t="s">
        <v>38</v>
      </c>
      <c r="B22" s="289" t="e">
        <f>VLOOKUP($B$4,T_RH_P20_21[],16,0)</f>
        <v>#N/A</v>
      </c>
      <c r="C22" s="261"/>
      <c r="D22" s="394" t="s">
        <v>26</v>
      </c>
      <c r="E22" s="395"/>
      <c r="F22" s="102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6"/>
      <c r="AC22" s="256"/>
      <c r="AD22" s="256"/>
      <c r="AE22" s="256"/>
    </row>
    <row r="23" spans="1:31" s="253" customFormat="1" ht="21.4" customHeight="1" x14ac:dyDescent="0.25">
      <c r="A23" s="278" t="s">
        <v>40</v>
      </c>
      <c r="B23" s="289" t="e">
        <f>VLOOKUP($B$4,T_RH_P20_21[],9,0)</f>
        <v>#N/A</v>
      </c>
      <c r="C23" s="261"/>
      <c r="D23" s="394" t="s">
        <v>28</v>
      </c>
      <c r="E23" s="395"/>
      <c r="F23" s="102"/>
    </row>
    <row r="24" spans="1:31" s="253" customFormat="1" x14ac:dyDescent="0.25">
      <c r="A24" s="278" t="s">
        <v>1316</v>
      </c>
      <c r="B24" s="290" t="e">
        <f>VLOOKUP($B$4,T_RH_P20_21[],10,0)</f>
        <v>#N/A</v>
      </c>
      <c r="C24" s="261"/>
      <c r="D24" s="394" t="s">
        <v>30</v>
      </c>
      <c r="E24" s="395"/>
      <c r="F24" s="108"/>
    </row>
    <row r="25" spans="1:31" s="253" customFormat="1" x14ac:dyDescent="0.25">
      <c r="C25" s="261"/>
      <c r="D25" s="394" t="s">
        <v>32</v>
      </c>
      <c r="E25" s="395"/>
      <c r="F25" s="102"/>
    </row>
    <row r="26" spans="1:31" s="253" customFormat="1" x14ac:dyDescent="0.25">
      <c r="C26" s="261"/>
      <c r="D26" s="261"/>
      <c r="E26" s="261"/>
      <c r="F26" s="261"/>
    </row>
    <row r="27" spans="1:31" s="253" customFormat="1" x14ac:dyDescent="0.25">
      <c r="C27" s="261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6"/>
      <c r="AC27" s="256"/>
      <c r="AD27" s="256"/>
      <c r="AE27" s="256"/>
    </row>
    <row r="28" spans="1:31" s="253" customFormat="1" ht="61.9" customHeight="1" x14ac:dyDescent="0.25">
      <c r="C28" s="261"/>
      <c r="D28" s="261"/>
      <c r="E28" s="261"/>
      <c r="F28" s="261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6"/>
      <c r="AC28" s="256"/>
      <c r="AD28" s="256"/>
      <c r="AE28" s="256"/>
    </row>
    <row r="29" spans="1:31" s="253" customFormat="1" ht="14.65" customHeight="1" x14ac:dyDescent="0.25">
      <c r="A29" s="280"/>
      <c r="B29" s="281"/>
      <c r="C29" s="261"/>
      <c r="D29" s="261"/>
      <c r="E29" s="261"/>
      <c r="F29" s="261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6"/>
      <c r="AC29" s="256"/>
      <c r="AD29" s="256"/>
      <c r="AE29" s="256"/>
    </row>
    <row r="30" spans="1:31" s="253" customFormat="1" ht="44.65" customHeight="1" x14ac:dyDescent="0.25">
      <c r="C30" s="261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3"/>
      <c r="S30" s="283"/>
      <c r="T30" s="283"/>
      <c r="U30" s="283"/>
      <c r="V30" s="283"/>
      <c r="W30" s="283"/>
      <c r="X30" s="283"/>
      <c r="Y30" s="283"/>
      <c r="Z30" s="283"/>
      <c r="AA30" s="283"/>
    </row>
    <row r="31" spans="1:31" s="273" customFormat="1" ht="20.65" customHeight="1" x14ac:dyDescent="0.25">
      <c r="C31" s="261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</row>
    <row r="32" spans="1:31" s="273" customFormat="1" ht="19.899999999999999" customHeight="1" x14ac:dyDescent="0.25">
      <c r="C32" s="261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</row>
    <row r="33" spans="1:17" s="273" customFormat="1" ht="20.65" customHeight="1" x14ac:dyDescent="0.25">
      <c r="C33" s="261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</row>
    <row r="34" spans="1:17" s="273" customFormat="1" x14ac:dyDescent="0.25"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</row>
    <row r="35" spans="1:17" s="273" customFormat="1" x14ac:dyDescent="0.25">
      <c r="A35" s="284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</row>
    <row r="36" spans="1:17" s="273" customFormat="1" x14ac:dyDescent="0.25">
      <c r="A36" s="284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</row>
    <row r="37" spans="1:17" s="273" customFormat="1" x14ac:dyDescent="0.25">
      <c r="A37" s="284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</row>
    <row r="38" spans="1:17" s="273" customFormat="1" x14ac:dyDescent="0.25">
      <c r="A38" s="284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</row>
    <row r="39" spans="1:17" s="273" customFormat="1" x14ac:dyDescent="0.25">
      <c r="A39" s="284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</row>
    <row r="40" spans="1:17" s="273" customFormat="1" x14ac:dyDescent="0.25">
      <c r="A40" s="284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</row>
    <row r="41" spans="1:17" s="273" customFormat="1" x14ac:dyDescent="0.25">
      <c r="A41" s="284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</row>
    <row r="42" spans="1:17" s="273" customFormat="1" x14ac:dyDescent="0.25">
      <c r="A42" s="284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</row>
    <row r="43" spans="1:17" s="273" customFormat="1" x14ac:dyDescent="0.25">
      <c r="A43" s="284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</row>
    <row r="44" spans="1:17" s="273" customFormat="1" x14ac:dyDescent="0.25">
      <c r="A44" s="284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</row>
    <row r="45" spans="1:17" s="273" customFormat="1" x14ac:dyDescent="0.25">
      <c r="A45" s="284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</row>
    <row r="46" spans="1:17" s="273" customFormat="1" x14ac:dyDescent="0.25">
      <c r="A46" s="284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</row>
    <row r="47" spans="1:17" s="273" customFormat="1" x14ac:dyDescent="0.25">
      <c r="A47" s="284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</row>
    <row r="48" spans="1:17" s="273" customFormat="1" x14ac:dyDescent="0.25">
      <c r="A48" s="285"/>
      <c r="B48" s="286"/>
      <c r="D48" s="286"/>
      <c r="E48" s="286"/>
      <c r="F48" s="286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</row>
    <row r="49" spans="1:17" s="273" customFormat="1" x14ac:dyDescent="0.25">
      <c r="C49" s="286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</row>
    <row r="50" spans="1:17" s="273" customFormat="1" x14ac:dyDescent="0.25"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</row>
    <row r="51" spans="1:17" s="273" customFormat="1" x14ac:dyDescent="0.25"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</row>
    <row r="52" spans="1:17" s="273" customFormat="1" x14ac:dyDescent="0.25"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</row>
    <row r="53" spans="1:17" s="273" customFormat="1" x14ac:dyDescent="0.25"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</row>
    <row r="54" spans="1:17" s="273" customFormat="1" x14ac:dyDescent="0.25"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</row>
    <row r="55" spans="1:17" s="273" customFormat="1" x14ac:dyDescent="0.25">
      <c r="A55" s="287"/>
      <c r="B55" s="287"/>
      <c r="D55" s="287"/>
      <c r="E55" s="287"/>
      <c r="F55" s="287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</row>
    <row r="56" spans="1:17" x14ac:dyDescent="0.25">
      <c r="A56" s="287"/>
    </row>
    <row r="57" spans="1:17" x14ac:dyDescent="0.25">
      <c r="A57" s="287"/>
    </row>
    <row r="58" spans="1:17" x14ac:dyDescent="0.25">
      <c r="A58" s="287"/>
    </row>
    <row r="59" spans="1:17" x14ac:dyDescent="0.25">
      <c r="A59" s="287"/>
    </row>
    <row r="60" spans="1:17" x14ac:dyDescent="0.25">
      <c r="A60" s="287"/>
    </row>
    <row r="61" spans="1:17" x14ac:dyDescent="0.25">
      <c r="A61" s="287"/>
    </row>
    <row r="62" spans="1:17" x14ac:dyDescent="0.25">
      <c r="A62" s="287"/>
    </row>
    <row r="63" spans="1:17" x14ac:dyDescent="0.25">
      <c r="A63" s="285"/>
      <c r="B63" s="286"/>
      <c r="D63" s="286"/>
      <c r="E63" s="286"/>
      <c r="F63" s="286"/>
    </row>
    <row r="64" spans="1:17" x14ac:dyDescent="0.25">
      <c r="C64" s="286"/>
    </row>
  </sheetData>
  <sheetProtection algorithmName="SHA-512" hashValue="7qUASxLtrp8ItLqe91so8WHzyZQNnEOhrE2rUTYrooTmpzmrsfm7LBpxOLfAcUZ1JU3TS/w4f0cBZ0fLvO6dWA==" saltValue="bwTWmG/tLn/hCTdxuA7i4w==" spinCount="100000" sheet="1" formatCells="0" formatColumns="0" formatRows="0"/>
  <customSheetViews>
    <customSheetView guid="{C3F58662-020B-4E56-B390-38D4A953D070}" scale="80" showGridLines="0" printArea="1">
      <selection activeCell="I31" sqref="I31"/>
      <rowBreaks count="2" manualBreakCount="2">
        <brk id="27" max="8" man="1"/>
        <brk id="51" max="8" man="1"/>
      </rowBreaks>
      <pageMargins left="0" right="0" top="0" bottom="0" header="0" footer="0"/>
      <pageSetup paperSize="9" scale="73" fitToHeight="3" orientation="landscape" horizontalDpi="0" verticalDpi="0" r:id="rId1"/>
      <headerFooter>
        <oddHeader>&amp;F</oddHeader>
        <oddFooter>&amp;C&amp;A&amp;R&amp;P/&amp;N</oddFooter>
      </headerFooter>
    </customSheetView>
  </customSheetViews>
  <mergeCells count="15">
    <mergeCell ref="D25:E25"/>
    <mergeCell ref="D17:E17"/>
    <mergeCell ref="A3:B3"/>
    <mergeCell ref="A19:B19"/>
    <mergeCell ref="D19:F19"/>
    <mergeCell ref="D20:E20"/>
    <mergeCell ref="D22:E22"/>
    <mergeCell ref="D23:E23"/>
    <mergeCell ref="D24:E24"/>
    <mergeCell ref="D4:F4"/>
    <mergeCell ref="A13:B13"/>
    <mergeCell ref="D13:F13"/>
    <mergeCell ref="D5:E5"/>
    <mergeCell ref="D6:E6"/>
    <mergeCell ref="D7:E7"/>
  </mergeCells>
  <conditionalFormatting sqref="F17">
    <cfRule type="cellIs" dxfId="16" priority="1" operator="greaterThan">
      <formula>24</formula>
    </cfRule>
  </conditionalFormatting>
  <dataValidations count="5">
    <dataValidation type="list" showInputMessage="1" showErrorMessage="1" sqref="B10" xr:uid="{00000000-0002-0000-0200-000009000000}">
      <formula1>LISTE_OUI_NON</formula1>
    </dataValidation>
    <dataValidation type="date" errorStyle="warning" allowBlank="1" showInputMessage="1" showErrorMessage="1" error="La période couverte par la convention ne couvre pas la période de la DC présentée" sqref="F15" xr:uid="{00000000-0002-0000-0200-000000000000}">
      <formula1>B15</formula1>
      <formula2>B16</formula2>
    </dataValidation>
    <dataValidation type="date" errorStyle="warning" allowBlank="1" showInputMessage="1" showErrorMessage="1" error="La période couverte par la convention ne couvre pas la période de la DC présentée" sqref="F16" xr:uid="{00000000-0002-0000-0200-000001000000}">
      <formula1>B15</formula1>
      <formula2>B16</formula2>
    </dataValidation>
    <dataValidation type="list" allowBlank="1" showInputMessage="1" showErrorMessage="1" sqref="F20:F21" xr:uid="{0E2E04D4-3C17-4CFC-BCE6-20C5B36DE712}">
      <formula1>LISTE_CIV</formula1>
    </dataValidation>
    <dataValidation type="list" allowBlank="1" showInputMessage="1" showErrorMessage="1" sqref="F14" xr:uid="{00000000-0002-0000-0200-00000C000000}">
      <formula1>LISTE_FINALE</formula1>
    </dataValidation>
  </dataValidations>
  <pageMargins left="0" right="0" top="0.47244094488188981" bottom="0.19685039370078741" header="0.17" footer="0.19685039370078741"/>
  <pageSetup paperSize="9" scale="67" fitToHeight="3" orientation="landscape" r:id="rId2"/>
  <headerFooter>
    <oddHeader>&amp;F</oddHeader>
    <oddFooter>&amp;C&amp;A&amp;R&amp;P/&amp;N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5" name="Button 3">
              <controlPr defaultSize="0" print="0" autoFill="0" autoPict="0" macro="[0]!AFFICHER_FEUILLE">
                <anchor moveWithCells="1" sizeWithCells="1">
                  <from>
                    <xdr:col>1</xdr:col>
                    <xdr:colOff>666750</xdr:colOff>
                    <xdr:row>135</xdr:row>
                    <xdr:rowOff>104775</xdr:rowOff>
                  </from>
                  <to>
                    <xdr:col>2</xdr:col>
                    <xdr:colOff>1162050</xdr:colOff>
                    <xdr:row>137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MASQUER LES FEUILLES 6 à 9">
              <controlPr defaultSize="0" print="0" autoFill="0" autoPict="0" macro="[0]!Masquer_FEUILLES">
                <anchor moveWithCells="1" sizeWithCells="1">
                  <from>
                    <xdr:col>0</xdr:col>
                    <xdr:colOff>228600</xdr:colOff>
                    <xdr:row>134</xdr:row>
                    <xdr:rowOff>95250</xdr:rowOff>
                  </from>
                  <to>
                    <xdr:col>1</xdr:col>
                    <xdr:colOff>409575</xdr:colOff>
                    <xdr:row>136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Button 6">
              <controlPr defaultSize="0" print="0" autoFill="0" autoPict="0" macro="[0]!VEROUILLER_IDENTIFICATION">
                <anchor moveWithCells="1" sizeWithCells="1">
                  <from>
                    <xdr:col>2</xdr:col>
                    <xdr:colOff>1371600</xdr:colOff>
                    <xdr:row>135</xdr:row>
                    <xdr:rowOff>133350</xdr:rowOff>
                  </from>
                  <to>
                    <xdr:col>4</xdr:col>
                    <xdr:colOff>438150</xdr:colOff>
                    <xdr:row>137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75B0BC-C71A-48A0-9ED7-173123BF04AD}">
          <x14:formula1>
            <xm:f>'infos bénéficiaires'!$A:$A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RAIS_PERSO">
    <tabColor rgb="FFFFFF00"/>
  </sheetPr>
  <dimension ref="A1:BN577"/>
  <sheetViews>
    <sheetView showGridLines="0" zoomScale="90" zoomScaleNormal="90" zoomScaleSheetLayoutView="40" workbookViewId="0">
      <selection activeCell="F12" sqref="F12"/>
    </sheetView>
  </sheetViews>
  <sheetFormatPr baseColWidth="10" defaultColWidth="25" defaultRowHeight="12.75" x14ac:dyDescent="0.25"/>
  <cols>
    <col min="1" max="1" width="16.7109375" style="297" customWidth="1"/>
    <col min="2" max="2" width="19.42578125" style="297" bestFit="1" customWidth="1"/>
    <col min="3" max="3" width="16.28515625" style="297" customWidth="1"/>
    <col min="4" max="4" width="17.28515625" style="297" customWidth="1"/>
    <col min="5" max="5" width="15.7109375" style="297" customWidth="1"/>
    <col min="6" max="6" width="17.28515625" style="297" customWidth="1"/>
    <col min="7" max="7" width="15.28515625" style="297" customWidth="1"/>
    <col min="8" max="8" width="15" style="297" customWidth="1"/>
    <col min="9" max="9" width="15.85546875" style="297" customWidth="1"/>
    <col min="10" max="10" width="15.7109375" style="297" customWidth="1"/>
    <col min="11" max="11" width="14.5703125" style="297" customWidth="1"/>
    <col min="12" max="12" width="33.28515625" style="297" customWidth="1"/>
    <col min="13" max="13" width="17.140625" style="298" hidden="1" customWidth="1"/>
    <col min="14" max="15" width="13.42578125" style="297" hidden="1" customWidth="1"/>
    <col min="16" max="16" width="13.28515625" style="297" hidden="1" customWidth="1"/>
    <col min="17" max="17" width="15.28515625" style="297" hidden="1" customWidth="1"/>
    <col min="18" max="18" width="16.5703125" style="297" hidden="1" customWidth="1"/>
    <col min="19" max="19" width="13.42578125" style="297" hidden="1" customWidth="1"/>
    <col min="20" max="20" width="20.7109375" style="297" hidden="1" customWidth="1"/>
    <col min="21" max="21" width="62.85546875" style="297" hidden="1" customWidth="1"/>
    <col min="22" max="27" width="25" style="297" customWidth="1"/>
    <col min="28" max="56" width="25" style="297" hidden="1" customWidth="1"/>
    <col min="57" max="57" width="25" style="299" hidden="1" customWidth="1"/>
    <col min="58" max="66" width="25" style="297" hidden="1" customWidth="1"/>
    <col min="67" max="16384" width="25" style="297"/>
  </cols>
  <sheetData>
    <row r="1" spans="1:59" ht="148.5" customHeight="1" x14ac:dyDescent="0.25">
      <c r="A1" s="295" t="s">
        <v>42</v>
      </c>
      <c r="B1" s="296" t="s">
        <v>43</v>
      </c>
      <c r="C1" s="296" t="s">
        <v>44</v>
      </c>
      <c r="D1" s="296" t="s">
        <v>1306</v>
      </c>
      <c r="E1" s="296" t="s">
        <v>45</v>
      </c>
    </row>
    <row r="2" spans="1:59" x14ac:dyDescent="0.25">
      <c r="A2" s="214"/>
      <c r="B2" s="214"/>
      <c r="C2" s="214"/>
      <c r="D2" s="214"/>
      <c r="E2" s="214"/>
    </row>
    <row r="3" spans="1:59" x14ac:dyDescent="0.25">
      <c r="A3" s="214"/>
      <c r="B3" s="214"/>
      <c r="C3" s="214"/>
      <c r="D3" s="214"/>
      <c r="E3" s="214"/>
    </row>
    <row r="4" spans="1:59" x14ac:dyDescent="0.25">
      <c r="A4" s="214"/>
      <c r="B4" s="214"/>
      <c r="C4" s="214"/>
      <c r="D4" s="214"/>
      <c r="E4" s="214"/>
    </row>
    <row r="5" spans="1:59" x14ac:dyDescent="0.25">
      <c r="A5" s="214"/>
      <c r="B5" s="214"/>
      <c r="C5" s="214"/>
      <c r="D5" s="214"/>
      <c r="E5" s="214"/>
    </row>
    <row r="6" spans="1:59" x14ac:dyDescent="0.25">
      <c r="A6" s="214"/>
      <c r="B6" s="214"/>
      <c r="C6" s="214"/>
      <c r="D6" s="214"/>
      <c r="E6" s="214"/>
    </row>
    <row r="7" spans="1:59" ht="15" x14ac:dyDescent="0.25">
      <c r="E7" s="300">
        <f>SUM(E2:E6)</f>
        <v>0</v>
      </c>
    </row>
    <row r="8" spans="1:59" ht="10.9" customHeight="1" thickBot="1" x14ac:dyDescent="0.3"/>
    <row r="9" spans="1:59" ht="23.25" x14ac:dyDescent="0.25">
      <c r="A9" s="405" t="s">
        <v>46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Y9" s="301"/>
      <c r="Z9" s="299"/>
      <c r="AA9" s="301"/>
      <c r="AB9" s="301"/>
      <c r="AC9" s="301"/>
      <c r="AD9" s="301"/>
    </row>
    <row r="10" spans="1:59" ht="115.15" customHeight="1" x14ac:dyDescent="0.25">
      <c r="A10" s="404" t="s">
        <v>1307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3" t="s">
        <v>47</v>
      </c>
      <c r="N10" s="403"/>
      <c r="O10" s="403"/>
      <c r="P10" s="403"/>
      <c r="Q10" s="403"/>
      <c r="R10" s="403"/>
      <c r="S10" s="403"/>
      <c r="T10" s="403"/>
      <c r="U10" s="403"/>
    </row>
    <row r="11" spans="1:59" s="309" customFormat="1" ht="47.65" customHeight="1" x14ac:dyDescent="0.25">
      <c r="A11" s="302" t="s">
        <v>48</v>
      </c>
      <c r="B11" s="302" t="s">
        <v>49</v>
      </c>
      <c r="C11" s="302" t="s">
        <v>50</v>
      </c>
      <c r="D11" s="302" t="s">
        <v>70</v>
      </c>
      <c r="E11" s="303" t="s">
        <v>51</v>
      </c>
      <c r="F11" s="302" t="s">
        <v>52</v>
      </c>
      <c r="G11" s="302" t="s">
        <v>53</v>
      </c>
      <c r="H11" s="302" t="s">
        <v>1308</v>
      </c>
      <c r="I11" s="302" t="s">
        <v>54</v>
      </c>
      <c r="J11" s="302" t="s">
        <v>55</v>
      </c>
      <c r="K11" s="304" t="s">
        <v>56</v>
      </c>
      <c r="L11" s="303" t="s">
        <v>57</v>
      </c>
      <c r="M11" s="305" t="s">
        <v>58</v>
      </c>
      <c r="N11" s="302" t="s">
        <v>59</v>
      </c>
      <c r="O11" s="302" t="s">
        <v>53</v>
      </c>
      <c r="P11" s="302" t="s">
        <v>1309</v>
      </c>
      <c r="Q11" s="302" t="s">
        <v>54</v>
      </c>
      <c r="R11" s="302" t="s">
        <v>55</v>
      </c>
      <c r="S11" s="306" t="s">
        <v>60</v>
      </c>
      <c r="T11" s="302" t="s">
        <v>61</v>
      </c>
      <c r="U11" s="307" t="s">
        <v>62</v>
      </c>
      <c r="V11" s="308" t="s">
        <v>63</v>
      </c>
      <c r="BE11" s="301"/>
      <c r="BF11" s="310"/>
    </row>
    <row r="12" spans="1:59" x14ac:dyDescent="0.25">
      <c r="A12" s="215" t="s">
        <v>64</v>
      </c>
      <c r="B12" s="215" t="s">
        <v>65</v>
      </c>
      <c r="C12" s="216"/>
      <c r="D12" s="217"/>
      <c r="E12" s="218">
        <v>0</v>
      </c>
      <c r="F12" s="219"/>
      <c r="G12" s="219"/>
      <c r="H12" s="219"/>
      <c r="I12" s="219"/>
      <c r="J12" s="219"/>
      <c r="K12" s="311">
        <f>(SUM($F12:$I12)-J12)*$E12</f>
        <v>0</v>
      </c>
      <c r="L12" s="220"/>
      <c r="M12" s="291">
        <f t="shared" ref="M12:M36" si="0">IF(E12="","",E12)</f>
        <v>0</v>
      </c>
      <c r="N12" s="292">
        <f t="shared" ref="N12:N36" si="1">F12</f>
        <v>0</v>
      </c>
      <c r="O12" s="292">
        <f t="shared" ref="O12:O36" si="2">G12</f>
        <v>0</v>
      </c>
      <c r="P12" s="292">
        <f t="shared" ref="P12:R36" si="3">H12</f>
        <v>0</v>
      </c>
      <c r="Q12" s="292">
        <f t="shared" si="3"/>
        <v>0</v>
      </c>
      <c r="R12" s="292">
        <f t="shared" si="3"/>
        <v>0</v>
      </c>
      <c r="S12" s="312">
        <f t="shared" ref="S12:S47" si="4">(SUM($N12:$Q12)-R12)*$M12</f>
        <v>0</v>
      </c>
      <c r="T12" s="313">
        <f>IF($K12="","",$S12-$K12)</f>
        <v>0</v>
      </c>
      <c r="U12" s="293"/>
      <c r="V12" s="308">
        <f>IF(LEN(U12)&gt;0,1,0)</f>
        <v>0</v>
      </c>
      <c r="W12" s="309"/>
      <c r="BE12" s="310" t="e">
        <f>IF(A12="","",INDEX(PERSO_TAB1,MATCH(A12,PERSO_TAB1_NOM_PRENOM,0),MATCH(#REF!,PERSO_TAB1_ENTETE,0)))</f>
        <v>#NAME?</v>
      </c>
      <c r="BF12" s="310" t="e">
        <f>INDEX(PERSO_TAB1,MATCH($A12,PERSO_TAB1_NOM_PRENOM,0),MATCH(#REF!,PERSO_TAB1_ENTETE,0))</f>
        <v>#NAME?</v>
      </c>
      <c r="BG12" s="301"/>
    </row>
    <row r="13" spans="1:59" ht="16.5" customHeight="1" x14ac:dyDescent="0.25">
      <c r="A13" s="215" t="s">
        <v>64</v>
      </c>
      <c r="B13" s="215" t="s">
        <v>65</v>
      </c>
      <c r="C13" s="215"/>
      <c r="D13" s="221"/>
      <c r="E13" s="218">
        <v>0</v>
      </c>
      <c r="F13" s="222"/>
      <c r="G13" s="222"/>
      <c r="H13" s="222"/>
      <c r="I13" s="222"/>
      <c r="J13" s="222"/>
      <c r="K13" s="314">
        <f>(SUM($F13:$I13)-J13)*$E13</f>
        <v>0</v>
      </c>
      <c r="L13" s="223"/>
      <c r="M13" s="291">
        <f t="shared" si="0"/>
        <v>0</v>
      </c>
      <c r="N13" s="292">
        <f t="shared" si="1"/>
        <v>0</v>
      </c>
      <c r="O13" s="292">
        <f t="shared" si="2"/>
        <v>0</v>
      </c>
      <c r="P13" s="292">
        <f t="shared" si="3"/>
        <v>0</v>
      </c>
      <c r="Q13" s="292">
        <f t="shared" si="3"/>
        <v>0</v>
      </c>
      <c r="R13" s="292">
        <f t="shared" si="3"/>
        <v>0</v>
      </c>
      <c r="S13" s="315">
        <f t="shared" si="4"/>
        <v>0</v>
      </c>
      <c r="T13" s="316">
        <f t="shared" ref="T13:T36" si="5">IF($K13="","",$S13-$K13)</f>
        <v>0</v>
      </c>
      <c r="U13" s="294"/>
      <c r="V13" s="308">
        <f>IF(LEN(U13)&gt;0,1,0)</f>
        <v>0</v>
      </c>
      <c r="W13" s="309"/>
      <c r="BE13" s="310" t="e">
        <f>IF(A13="","",INDEX(PERSO_TAB1,MATCH(A13,PERSO_TAB1_NOM_PRENOM,0),MATCH(#REF!,PERSO_TAB1_ENTETE,0)))</f>
        <v>#NAME?</v>
      </c>
      <c r="BF13" s="310" t="e">
        <f>INDEX(PERSO_TAB1,MATCH($A13,PERSO_TAB1_NOM_PRENOM,0),MATCH(#REF!,PERSO_TAB1_ENTETE,0))</f>
        <v>#NAME?</v>
      </c>
      <c r="BG13" s="299"/>
    </row>
    <row r="14" spans="1:59" ht="16.5" customHeight="1" x14ac:dyDescent="0.25">
      <c r="A14" s="215" t="s">
        <v>64</v>
      </c>
      <c r="B14" s="215" t="s">
        <v>65</v>
      </c>
      <c r="C14" s="215"/>
      <c r="D14" s="221"/>
      <c r="E14" s="218">
        <v>0</v>
      </c>
      <c r="F14" s="222"/>
      <c r="G14" s="222"/>
      <c r="H14" s="222"/>
      <c r="I14" s="222"/>
      <c r="J14" s="222"/>
      <c r="K14" s="314">
        <f t="shared" ref="K14:K47" si="6">(SUM($F14:$I14)-J14)*$E14</f>
        <v>0</v>
      </c>
      <c r="L14" s="223"/>
      <c r="M14" s="291">
        <f t="shared" si="0"/>
        <v>0</v>
      </c>
      <c r="N14" s="292">
        <f t="shared" si="1"/>
        <v>0</v>
      </c>
      <c r="O14" s="292">
        <f t="shared" si="2"/>
        <v>0</v>
      </c>
      <c r="P14" s="292">
        <f t="shared" si="3"/>
        <v>0</v>
      </c>
      <c r="Q14" s="292">
        <f t="shared" si="3"/>
        <v>0</v>
      </c>
      <c r="R14" s="292">
        <f t="shared" si="3"/>
        <v>0</v>
      </c>
      <c r="S14" s="315">
        <f t="shared" si="4"/>
        <v>0</v>
      </c>
      <c r="T14" s="316">
        <f t="shared" si="5"/>
        <v>0</v>
      </c>
      <c r="U14" s="294"/>
      <c r="V14" s="308">
        <f t="shared" ref="V14:V47" si="7">IF(LEN(U14)&gt;0,1,0)</f>
        <v>0</v>
      </c>
      <c r="W14" s="309"/>
      <c r="BE14" s="310" t="e">
        <f>IF(A14="","",INDEX(PERSO_TAB1,MATCH(A14,PERSO_TAB1_NOM_PRENOM,0),MATCH(#REF!,PERSO_TAB1_ENTETE,0)))</f>
        <v>#NAME?</v>
      </c>
      <c r="BF14" s="310" t="e">
        <f>INDEX(PERSO_TAB1,MATCH($A14,PERSO_TAB1_NOM_PRENOM,0),MATCH(#REF!,PERSO_TAB1_ENTETE,0))</f>
        <v>#NAME?</v>
      </c>
      <c r="BG14" s="299"/>
    </row>
    <row r="15" spans="1:59" ht="16.5" customHeight="1" x14ac:dyDescent="0.25">
      <c r="A15" s="215" t="s">
        <v>64</v>
      </c>
      <c r="B15" s="215" t="s">
        <v>65</v>
      </c>
      <c r="C15" s="215"/>
      <c r="D15" s="221"/>
      <c r="E15" s="218">
        <v>0</v>
      </c>
      <c r="F15" s="222"/>
      <c r="G15" s="222"/>
      <c r="H15" s="222"/>
      <c r="I15" s="222"/>
      <c r="J15" s="222"/>
      <c r="K15" s="314">
        <f t="shared" si="6"/>
        <v>0</v>
      </c>
      <c r="L15" s="223"/>
      <c r="M15" s="291">
        <f t="shared" si="0"/>
        <v>0</v>
      </c>
      <c r="N15" s="292">
        <f t="shared" si="1"/>
        <v>0</v>
      </c>
      <c r="O15" s="292">
        <f t="shared" si="2"/>
        <v>0</v>
      </c>
      <c r="P15" s="292">
        <f t="shared" si="3"/>
        <v>0</v>
      </c>
      <c r="Q15" s="292">
        <f t="shared" si="3"/>
        <v>0</v>
      </c>
      <c r="R15" s="292">
        <f t="shared" si="3"/>
        <v>0</v>
      </c>
      <c r="S15" s="315">
        <f t="shared" si="4"/>
        <v>0</v>
      </c>
      <c r="T15" s="316">
        <f t="shared" si="5"/>
        <v>0</v>
      </c>
      <c r="U15" s="294"/>
      <c r="V15" s="308">
        <f t="shared" si="7"/>
        <v>0</v>
      </c>
      <c r="W15" s="309"/>
      <c r="BE15" s="310" t="e">
        <f>IF(A15="","",INDEX(PERSO_TAB1,MATCH(A15,PERSO_TAB1_NOM_PRENOM,0),MATCH(#REF!,PERSO_TAB1_ENTETE,0)))</f>
        <v>#NAME?</v>
      </c>
      <c r="BF15" s="310" t="e">
        <f>INDEX(PERSO_TAB1,MATCH($A15,PERSO_TAB1_NOM_PRENOM,0),MATCH(#REF!,PERSO_TAB1_ENTETE,0))</f>
        <v>#NAME?</v>
      </c>
      <c r="BG15" s="299"/>
    </row>
    <row r="16" spans="1:59" ht="16.5" customHeight="1" x14ac:dyDescent="0.25">
      <c r="A16" s="215" t="s">
        <v>64</v>
      </c>
      <c r="B16" s="215" t="s">
        <v>65</v>
      </c>
      <c r="C16" s="215"/>
      <c r="D16" s="221"/>
      <c r="E16" s="218">
        <v>0</v>
      </c>
      <c r="F16" s="222"/>
      <c r="G16" s="222"/>
      <c r="H16" s="222"/>
      <c r="I16" s="222"/>
      <c r="J16" s="222"/>
      <c r="K16" s="314">
        <f t="shared" si="6"/>
        <v>0</v>
      </c>
      <c r="L16" s="223"/>
      <c r="M16" s="291">
        <f t="shared" si="0"/>
        <v>0</v>
      </c>
      <c r="N16" s="292">
        <f t="shared" si="1"/>
        <v>0</v>
      </c>
      <c r="O16" s="292">
        <f t="shared" si="2"/>
        <v>0</v>
      </c>
      <c r="P16" s="292">
        <f t="shared" si="3"/>
        <v>0</v>
      </c>
      <c r="Q16" s="292">
        <f t="shared" si="3"/>
        <v>0</v>
      </c>
      <c r="R16" s="292">
        <f t="shared" si="3"/>
        <v>0</v>
      </c>
      <c r="S16" s="315">
        <f>(SUM($N16:$Q16)-R16)*$M16</f>
        <v>0</v>
      </c>
      <c r="T16" s="316">
        <f t="shared" si="5"/>
        <v>0</v>
      </c>
      <c r="U16" s="294"/>
      <c r="V16" s="308">
        <f t="shared" si="7"/>
        <v>0</v>
      </c>
      <c r="W16" s="309"/>
      <c r="BE16" s="310" t="e">
        <f>IF(A16="","",INDEX(PERSO_TAB1,MATCH(A16,PERSO_TAB1_NOM_PRENOM,0),MATCH(#REF!,PERSO_TAB1_ENTETE,0)))</f>
        <v>#NAME?</v>
      </c>
      <c r="BF16" s="310" t="e">
        <f>INDEX(PERSO_TAB1,MATCH($A16,PERSO_TAB1_NOM_PRENOM,0),MATCH(#REF!,PERSO_TAB1_ENTETE,0))</f>
        <v>#NAME?</v>
      </c>
      <c r="BG16" s="299"/>
    </row>
    <row r="17" spans="1:59" ht="16.5" customHeight="1" x14ac:dyDescent="0.25">
      <c r="A17" s="215" t="s">
        <v>64</v>
      </c>
      <c r="B17" s="215" t="s">
        <v>65</v>
      </c>
      <c r="C17" s="215"/>
      <c r="D17" s="221"/>
      <c r="E17" s="218">
        <v>0</v>
      </c>
      <c r="F17" s="222"/>
      <c r="G17" s="222"/>
      <c r="H17" s="222"/>
      <c r="I17" s="222"/>
      <c r="J17" s="222"/>
      <c r="K17" s="314">
        <f t="shared" si="6"/>
        <v>0</v>
      </c>
      <c r="L17" s="223"/>
      <c r="M17" s="291">
        <f t="shared" si="0"/>
        <v>0</v>
      </c>
      <c r="N17" s="292">
        <f t="shared" si="1"/>
        <v>0</v>
      </c>
      <c r="O17" s="292">
        <f t="shared" si="2"/>
        <v>0</v>
      </c>
      <c r="P17" s="292">
        <f t="shared" si="3"/>
        <v>0</v>
      </c>
      <c r="Q17" s="292">
        <f t="shared" si="3"/>
        <v>0</v>
      </c>
      <c r="R17" s="292">
        <f t="shared" si="3"/>
        <v>0</v>
      </c>
      <c r="S17" s="315">
        <f t="shared" si="4"/>
        <v>0</v>
      </c>
      <c r="T17" s="316">
        <f t="shared" si="5"/>
        <v>0</v>
      </c>
      <c r="U17" s="294"/>
      <c r="V17" s="308">
        <f t="shared" si="7"/>
        <v>0</v>
      </c>
      <c r="W17" s="309"/>
      <c r="BE17" s="310" t="e">
        <f>IF(A17="","",INDEX(PERSO_TAB1,MATCH(A17,PERSO_TAB1_NOM_PRENOM,0),MATCH(#REF!,PERSO_TAB1_ENTETE,0)))</f>
        <v>#NAME?</v>
      </c>
      <c r="BF17" s="310" t="e">
        <f>INDEX(PERSO_TAB1,MATCH($A17,PERSO_TAB1_NOM_PRENOM,0),MATCH(#REF!,PERSO_TAB1_ENTETE,0))</f>
        <v>#NAME?</v>
      </c>
      <c r="BG17" s="299"/>
    </row>
    <row r="18" spans="1:59" ht="16.5" customHeight="1" x14ac:dyDescent="0.25">
      <c r="A18" s="215" t="s">
        <v>64</v>
      </c>
      <c r="B18" s="215" t="s">
        <v>65</v>
      </c>
      <c r="C18" s="215"/>
      <c r="D18" s="221"/>
      <c r="E18" s="218">
        <v>0</v>
      </c>
      <c r="F18" s="222"/>
      <c r="G18" s="222"/>
      <c r="H18" s="222"/>
      <c r="I18" s="222"/>
      <c r="J18" s="222"/>
      <c r="K18" s="314">
        <f t="shared" si="6"/>
        <v>0</v>
      </c>
      <c r="L18" s="223"/>
      <c r="M18" s="291">
        <f t="shared" si="0"/>
        <v>0</v>
      </c>
      <c r="N18" s="292">
        <f t="shared" si="1"/>
        <v>0</v>
      </c>
      <c r="O18" s="292">
        <f t="shared" si="2"/>
        <v>0</v>
      </c>
      <c r="P18" s="292">
        <f t="shared" si="3"/>
        <v>0</v>
      </c>
      <c r="Q18" s="292">
        <f t="shared" si="3"/>
        <v>0</v>
      </c>
      <c r="R18" s="292">
        <f t="shared" si="3"/>
        <v>0</v>
      </c>
      <c r="S18" s="315">
        <f t="shared" si="4"/>
        <v>0</v>
      </c>
      <c r="T18" s="316">
        <f t="shared" si="5"/>
        <v>0</v>
      </c>
      <c r="U18" s="294"/>
      <c r="V18" s="308">
        <f t="shared" si="7"/>
        <v>0</v>
      </c>
      <c r="W18" s="309"/>
      <c r="BE18" s="310" t="e">
        <f>IF(A18="","",INDEX(PERSO_TAB1,MATCH(A18,PERSO_TAB1_NOM_PRENOM,0),MATCH(#REF!,PERSO_TAB1_ENTETE,0)))</f>
        <v>#NAME?</v>
      </c>
      <c r="BF18" s="310" t="e">
        <f>INDEX(PERSO_TAB1,MATCH($A18,PERSO_TAB1_NOM_PRENOM,0),MATCH(#REF!,PERSO_TAB1_ENTETE,0))</f>
        <v>#NAME?</v>
      </c>
      <c r="BG18" s="299"/>
    </row>
    <row r="19" spans="1:59" ht="16.5" customHeight="1" x14ac:dyDescent="0.25">
      <c r="A19" s="215" t="s">
        <v>64</v>
      </c>
      <c r="B19" s="215" t="s">
        <v>65</v>
      </c>
      <c r="C19" s="215"/>
      <c r="D19" s="221"/>
      <c r="E19" s="218">
        <v>0</v>
      </c>
      <c r="F19" s="222"/>
      <c r="G19" s="222"/>
      <c r="H19" s="222"/>
      <c r="I19" s="222"/>
      <c r="J19" s="222"/>
      <c r="K19" s="314">
        <f t="shared" si="6"/>
        <v>0</v>
      </c>
      <c r="L19" s="223"/>
      <c r="M19" s="291">
        <f t="shared" si="0"/>
        <v>0</v>
      </c>
      <c r="N19" s="292">
        <f t="shared" si="1"/>
        <v>0</v>
      </c>
      <c r="O19" s="292">
        <f t="shared" si="2"/>
        <v>0</v>
      </c>
      <c r="P19" s="292">
        <f t="shared" si="3"/>
        <v>0</v>
      </c>
      <c r="Q19" s="292">
        <f t="shared" si="3"/>
        <v>0</v>
      </c>
      <c r="R19" s="292">
        <f t="shared" si="3"/>
        <v>0</v>
      </c>
      <c r="S19" s="315">
        <f t="shared" si="4"/>
        <v>0</v>
      </c>
      <c r="T19" s="316">
        <f t="shared" si="5"/>
        <v>0</v>
      </c>
      <c r="U19" s="294"/>
      <c r="V19" s="308">
        <f t="shared" si="7"/>
        <v>0</v>
      </c>
      <c r="W19" s="309"/>
      <c r="BE19" s="310" t="e">
        <f>IF(A19="","",INDEX(PERSO_TAB1,MATCH(A19,PERSO_TAB1_NOM_PRENOM,0),MATCH(#REF!,PERSO_TAB1_ENTETE,0)))</f>
        <v>#NAME?</v>
      </c>
      <c r="BF19" s="310" t="e">
        <f>INDEX(PERSO_TAB1,MATCH($A19,PERSO_TAB1_NOM_PRENOM,0),MATCH(#REF!,PERSO_TAB1_ENTETE,0))</f>
        <v>#NAME?</v>
      </c>
      <c r="BG19" s="299"/>
    </row>
    <row r="20" spans="1:59" ht="16.5" customHeight="1" x14ac:dyDescent="0.25">
      <c r="A20" s="215" t="s">
        <v>64</v>
      </c>
      <c r="B20" s="215" t="s">
        <v>65</v>
      </c>
      <c r="C20" s="215"/>
      <c r="D20" s="221"/>
      <c r="E20" s="218">
        <v>0</v>
      </c>
      <c r="F20" s="222"/>
      <c r="G20" s="222"/>
      <c r="H20" s="222"/>
      <c r="I20" s="222"/>
      <c r="J20" s="222"/>
      <c r="K20" s="314">
        <f t="shared" si="6"/>
        <v>0</v>
      </c>
      <c r="L20" s="223"/>
      <c r="M20" s="291">
        <f t="shared" si="0"/>
        <v>0</v>
      </c>
      <c r="N20" s="292">
        <f t="shared" si="1"/>
        <v>0</v>
      </c>
      <c r="O20" s="292">
        <f t="shared" si="2"/>
        <v>0</v>
      </c>
      <c r="P20" s="292">
        <f t="shared" si="3"/>
        <v>0</v>
      </c>
      <c r="Q20" s="292">
        <f t="shared" si="3"/>
        <v>0</v>
      </c>
      <c r="R20" s="292">
        <f t="shared" si="3"/>
        <v>0</v>
      </c>
      <c r="S20" s="315">
        <f t="shared" si="4"/>
        <v>0</v>
      </c>
      <c r="T20" s="316">
        <f t="shared" si="5"/>
        <v>0</v>
      </c>
      <c r="U20" s="294"/>
      <c r="V20" s="308">
        <f t="shared" si="7"/>
        <v>0</v>
      </c>
      <c r="W20" s="309"/>
      <c r="AB20" s="317"/>
      <c r="AC20" s="318"/>
      <c r="AD20" s="318"/>
      <c r="AE20" s="298"/>
      <c r="BE20" s="310" t="e">
        <f>IF(A20="","",INDEX(PERSO_TAB1,MATCH(A20,PERSO_TAB1_NOM_PRENOM,0),MATCH(#REF!,PERSO_TAB1_ENTETE,0)))</f>
        <v>#NAME?</v>
      </c>
      <c r="BF20" s="310" t="e">
        <f>INDEX(PERSO_TAB1,MATCH($A20,PERSO_TAB1_NOM_PRENOM,0),MATCH(#REF!,PERSO_TAB1_ENTETE,0))</f>
        <v>#NAME?</v>
      </c>
      <c r="BG20" s="299"/>
    </row>
    <row r="21" spans="1:59" ht="16.5" customHeight="1" x14ac:dyDescent="0.25">
      <c r="A21" s="215" t="s">
        <v>64</v>
      </c>
      <c r="B21" s="215" t="s">
        <v>65</v>
      </c>
      <c r="C21" s="215"/>
      <c r="D21" s="221"/>
      <c r="E21" s="218">
        <v>0</v>
      </c>
      <c r="F21" s="222"/>
      <c r="G21" s="222"/>
      <c r="H21" s="222"/>
      <c r="I21" s="222"/>
      <c r="J21" s="222"/>
      <c r="K21" s="314">
        <f t="shared" si="6"/>
        <v>0</v>
      </c>
      <c r="L21" s="223"/>
      <c r="M21" s="291">
        <f t="shared" si="0"/>
        <v>0</v>
      </c>
      <c r="N21" s="292">
        <f t="shared" si="1"/>
        <v>0</v>
      </c>
      <c r="O21" s="292">
        <f t="shared" si="2"/>
        <v>0</v>
      </c>
      <c r="P21" s="292">
        <f t="shared" si="3"/>
        <v>0</v>
      </c>
      <c r="Q21" s="292">
        <f t="shared" si="3"/>
        <v>0</v>
      </c>
      <c r="R21" s="292">
        <f t="shared" si="3"/>
        <v>0</v>
      </c>
      <c r="S21" s="315">
        <f t="shared" si="4"/>
        <v>0</v>
      </c>
      <c r="T21" s="316">
        <f t="shared" si="5"/>
        <v>0</v>
      </c>
      <c r="U21" s="294"/>
      <c r="V21" s="308">
        <f t="shared" si="7"/>
        <v>0</v>
      </c>
      <c r="W21" s="309"/>
      <c r="AB21" s="317"/>
      <c r="AC21" s="318"/>
      <c r="AD21" s="318"/>
      <c r="AE21" s="298"/>
      <c r="BE21" s="310" t="e">
        <f>IF(A21="","",INDEX(PERSO_TAB1,MATCH(A21,PERSO_TAB1_NOM_PRENOM,0),MATCH(#REF!,PERSO_TAB1_ENTETE,0)))</f>
        <v>#NAME?</v>
      </c>
      <c r="BF21" s="310" t="e">
        <f>INDEX(PERSO_TAB1,MATCH($A21,PERSO_TAB1_NOM_PRENOM,0),MATCH(#REF!,PERSO_TAB1_ENTETE,0))</f>
        <v>#NAME?</v>
      </c>
      <c r="BG21" s="299"/>
    </row>
    <row r="22" spans="1:59" ht="16.5" customHeight="1" x14ac:dyDescent="0.25">
      <c r="A22" s="215" t="s">
        <v>64</v>
      </c>
      <c r="B22" s="215" t="s">
        <v>65</v>
      </c>
      <c r="C22" s="215"/>
      <c r="D22" s="221"/>
      <c r="E22" s="218">
        <v>0</v>
      </c>
      <c r="F22" s="222"/>
      <c r="G22" s="222"/>
      <c r="H22" s="222"/>
      <c r="I22" s="222"/>
      <c r="J22" s="222"/>
      <c r="K22" s="314">
        <f t="shared" si="6"/>
        <v>0</v>
      </c>
      <c r="L22" s="223"/>
      <c r="M22" s="291">
        <f t="shared" si="0"/>
        <v>0</v>
      </c>
      <c r="N22" s="292">
        <f t="shared" si="1"/>
        <v>0</v>
      </c>
      <c r="O22" s="292">
        <f t="shared" si="2"/>
        <v>0</v>
      </c>
      <c r="P22" s="292">
        <f t="shared" si="3"/>
        <v>0</v>
      </c>
      <c r="Q22" s="292">
        <f t="shared" si="3"/>
        <v>0</v>
      </c>
      <c r="R22" s="292">
        <f t="shared" si="3"/>
        <v>0</v>
      </c>
      <c r="S22" s="315">
        <f t="shared" si="4"/>
        <v>0</v>
      </c>
      <c r="T22" s="316">
        <f t="shared" si="5"/>
        <v>0</v>
      </c>
      <c r="U22" s="294"/>
      <c r="V22" s="308">
        <f t="shared" si="7"/>
        <v>0</v>
      </c>
      <c r="W22" s="309"/>
      <c r="AB22" s="317"/>
      <c r="AC22" s="318"/>
      <c r="AD22" s="318"/>
      <c r="AE22" s="298"/>
      <c r="BE22" s="310" t="e">
        <f>IF(A22="","",INDEX(PERSO_TAB1,MATCH(A22,PERSO_TAB1_NOM_PRENOM,0),MATCH(#REF!,PERSO_TAB1_ENTETE,0)))</f>
        <v>#NAME?</v>
      </c>
      <c r="BF22" s="310" t="e">
        <f>INDEX(PERSO_TAB1,MATCH($A22,PERSO_TAB1_NOM_PRENOM,0),MATCH(#REF!,PERSO_TAB1_ENTETE,0))</f>
        <v>#NAME?</v>
      </c>
      <c r="BG22" s="299"/>
    </row>
    <row r="23" spans="1:59" ht="16.5" customHeight="1" x14ac:dyDescent="0.25">
      <c r="A23" s="215" t="s">
        <v>64</v>
      </c>
      <c r="B23" s="215" t="s">
        <v>65</v>
      </c>
      <c r="C23" s="215"/>
      <c r="D23" s="221"/>
      <c r="E23" s="218">
        <v>0</v>
      </c>
      <c r="F23" s="222"/>
      <c r="G23" s="222"/>
      <c r="H23" s="222"/>
      <c r="I23" s="222"/>
      <c r="J23" s="222"/>
      <c r="K23" s="314">
        <f t="shared" si="6"/>
        <v>0</v>
      </c>
      <c r="L23" s="223"/>
      <c r="M23" s="291">
        <f t="shared" si="0"/>
        <v>0</v>
      </c>
      <c r="N23" s="292">
        <f t="shared" si="1"/>
        <v>0</v>
      </c>
      <c r="O23" s="292">
        <f t="shared" si="2"/>
        <v>0</v>
      </c>
      <c r="P23" s="292">
        <f t="shared" si="3"/>
        <v>0</v>
      </c>
      <c r="Q23" s="292">
        <f t="shared" si="3"/>
        <v>0</v>
      </c>
      <c r="R23" s="292">
        <f t="shared" si="3"/>
        <v>0</v>
      </c>
      <c r="S23" s="315">
        <f t="shared" si="4"/>
        <v>0</v>
      </c>
      <c r="T23" s="316">
        <f t="shared" si="5"/>
        <v>0</v>
      </c>
      <c r="U23" s="294"/>
      <c r="V23" s="308">
        <f t="shared" si="7"/>
        <v>0</v>
      </c>
      <c r="W23" s="309"/>
      <c r="AB23" s="317"/>
      <c r="AC23" s="318"/>
      <c r="AD23" s="318"/>
      <c r="AE23" s="298"/>
      <c r="BE23" s="310" t="e">
        <f>IF(A23="","",INDEX(PERSO_TAB1,MATCH(A23,PERSO_TAB1_NOM_PRENOM,0),MATCH(#REF!,PERSO_TAB1_ENTETE,0)))</f>
        <v>#NAME?</v>
      </c>
      <c r="BF23" s="310" t="e">
        <f>INDEX(PERSO_TAB1,MATCH($A23,PERSO_TAB1_NOM_PRENOM,0),MATCH(#REF!,PERSO_TAB1_ENTETE,0))</f>
        <v>#NAME?</v>
      </c>
      <c r="BG23" s="299"/>
    </row>
    <row r="24" spans="1:59" ht="16.5" customHeight="1" x14ac:dyDescent="0.25">
      <c r="A24" s="215" t="s">
        <v>64</v>
      </c>
      <c r="B24" s="215" t="s">
        <v>65</v>
      </c>
      <c r="C24" s="215"/>
      <c r="D24" s="221"/>
      <c r="E24" s="218">
        <v>0</v>
      </c>
      <c r="F24" s="222"/>
      <c r="G24" s="222"/>
      <c r="H24" s="222"/>
      <c r="I24" s="222"/>
      <c r="J24" s="222"/>
      <c r="K24" s="314">
        <f t="shared" si="6"/>
        <v>0</v>
      </c>
      <c r="L24" s="223"/>
      <c r="M24" s="291">
        <f t="shared" si="0"/>
        <v>0</v>
      </c>
      <c r="N24" s="292">
        <f t="shared" si="1"/>
        <v>0</v>
      </c>
      <c r="O24" s="292">
        <f t="shared" si="2"/>
        <v>0</v>
      </c>
      <c r="P24" s="292">
        <f t="shared" si="3"/>
        <v>0</v>
      </c>
      <c r="Q24" s="292">
        <f t="shared" si="3"/>
        <v>0</v>
      </c>
      <c r="R24" s="292">
        <f t="shared" si="3"/>
        <v>0</v>
      </c>
      <c r="S24" s="315">
        <f t="shared" si="4"/>
        <v>0</v>
      </c>
      <c r="T24" s="316">
        <f t="shared" si="5"/>
        <v>0</v>
      </c>
      <c r="U24" s="294"/>
      <c r="V24" s="308">
        <f t="shared" si="7"/>
        <v>0</v>
      </c>
      <c r="W24" s="309"/>
      <c r="AB24" s="317"/>
      <c r="AC24" s="318"/>
      <c r="AD24" s="318"/>
      <c r="AE24" s="298"/>
      <c r="BE24" s="310" t="e">
        <f>IF(A24="","",INDEX(PERSO_TAB1,MATCH(A24,PERSO_TAB1_NOM_PRENOM,0),MATCH(#REF!,PERSO_TAB1_ENTETE,0)))</f>
        <v>#NAME?</v>
      </c>
      <c r="BF24" s="310" t="e">
        <f>INDEX(PERSO_TAB1,MATCH($A24,PERSO_TAB1_NOM_PRENOM,0),MATCH(#REF!,PERSO_TAB1_ENTETE,0))</f>
        <v>#NAME?</v>
      </c>
      <c r="BG24" s="299"/>
    </row>
    <row r="25" spans="1:59" ht="16.5" customHeight="1" x14ac:dyDescent="0.25">
      <c r="A25" s="215" t="s">
        <v>64</v>
      </c>
      <c r="B25" s="215" t="s">
        <v>65</v>
      </c>
      <c r="C25" s="215"/>
      <c r="D25" s="221"/>
      <c r="E25" s="218">
        <v>0</v>
      </c>
      <c r="F25" s="222"/>
      <c r="G25" s="222"/>
      <c r="H25" s="222"/>
      <c r="I25" s="222"/>
      <c r="J25" s="222"/>
      <c r="K25" s="314">
        <f t="shared" si="6"/>
        <v>0</v>
      </c>
      <c r="L25" s="223"/>
      <c r="M25" s="291">
        <f t="shared" si="0"/>
        <v>0</v>
      </c>
      <c r="N25" s="292">
        <f t="shared" si="1"/>
        <v>0</v>
      </c>
      <c r="O25" s="292">
        <f t="shared" si="2"/>
        <v>0</v>
      </c>
      <c r="P25" s="292">
        <f t="shared" si="3"/>
        <v>0</v>
      </c>
      <c r="Q25" s="292">
        <f t="shared" si="3"/>
        <v>0</v>
      </c>
      <c r="R25" s="292">
        <f t="shared" si="3"/>
        <v>0</v>
      </c>
      <c r="S25" s="315">
        <f t="shared" si="4"/>
        <v>0</v>
      </c>
      <c r="T25" s="316">
        <f t="shared" si="5"/>
        <v>0</v>
      </c>
      <c r="U25" s="294"/>
      <c r="V25" s="308">
        <f t="shared" si="7"/>
        <v>0</v>
      </c>
      <c r="W25" s="309"/>
      <c r="BE25" s="310" t="e">
        <f>IF(A25="","",INDEX(PERSO_TAB1,MATCH(A25,PERSO_TAB1_NOM_PRENOM,0),MATCH(#REF!,PERSO_TAB1_ENTETE,0)))</f>
        <v>#NAME?</v>
      </c>
      <c r="BF25" s="310" t="e">
        <f>INDEX(PERSO_TAB1,MATCH($A25,PERSO_TAB1_NOM_PRENOM,0),MATCH(#REF!,PERSO_TAB1_ENTETE,0))</f>
        <v>#NAME?</v>
      </c>
      <c r="BG25" s="299"/>
    </row>
    <row r="26" spans="1:59" ht="16.5" customHeight="1" x14ac:dyDescent="0.25">
      <c r="A26" s="215" t="s">
        <v>64</v>
      </c>
      <c r="B26" s="215" t="s">
        <v>65</v>
      </c>
      <c r="C26" s="215"/>
      <c r="D26" s="221"/>
      <c r="E26" s="218">
        <v>0</v>
      </c>
      <c r="F26" s="222"/>
      <c r="G26" s="222"/>
      <c r="H26" s="222"/>
      <c r="I26" s="222"/>
      <c r="J26" s="222"/>
      <c r="K26" s="314">
        <f t="shared" si="6"/>
        <v>0</v>
      </c>
      <c r="L26" s="223"/>
      <c r="M26" s="291">
        <f t="shared" si="0"/>
        <v>0</v>
      </c>
      <c r="N26" s="292">
        <f t="shared" si="1"/>
        <v>0</v>
      </c>
      <c r="O26" s="292">
        <f t="shared" si="2"/>
        <v>0</v>
      </c>
      <c r="P26" s="292">
        <f t="shared" si="3"/>
        <v>0</v>
      </c>
      <c r="Q26" s="292">
        <f t="shared" si="3"/>
        <v>0</v>
      </c>
      <c r="R26" s="292">
        <f t="shared" si="3"/>
        <v>0</v>
      </c>
      <c r="S26" s="315">
        <f t="shared" si="4"/>
        <v>0</v>
      </c>
      <c r="T26" s="316">
        <f t="shared" si="5"/>
        <v>0</v>
      </c>
      <c r="U26" s="294"/>
      <c r="V26" s="308">
        <f t="shared" si="7"/>
        <v>0</v>
      </c>
      <c r="W26" s="309"/>
      <c r="BE26" s="310" t="e">
        <f>IF(A26="","",INDEX(PERSO_TAB1,MATCH(A26,PERSO_TAB1_NOM_PRENOM,0),MATCH(#REF!,PERSO_TAB1_ENTETE,0)))</f>
        <v>#NAME?</v>
      </c>
      <c r="BF26" s="310" t="e">
        <f>INDEX(PERSO_TAB1,MATCH($A26,PERSO_TAB1_NOM_PRENOM,0),MATCH(#REF!,PERSO_TAB1_ENTETE,0))</f>
        <v>#NAME?</v>
      </c>
      <c r="BG26" s="299"/>
    </row>
    <row r="27" spans="1:59" ht="16.5" customHeight="1" x14ac:dyDescent="0.25">
      <c r="A27" s="215" t="s">
        <v>64</v>
      </c>
      <c r="B27" s="215" t="s">
        <v>65</v>
      </c>
      <c r="C27" s="215"/>
      <c r="D27" s="221"/>
      <c r="E27" s="218">
        <v>0</v>
      </c>
      <c r="F27" s="222"/>
      <c r="G27" s="222"/>
      <c r="H27" s="222"/>
      <c r="I27" s="222"/>
      <c r="J27" s="222"/>
      <c r="K27" s="314">
        <f t="shared" si="6"/>
        <v>0</v>
      </c>
      <c r="L27" s="223"/>
      <c r="M27" s="291">
        <f t="shared" si="0"/>
        <v>0</v>
      </c>
      <c r="N27" s="292">
        <f t="shared" si="1"/>
        <v>0</v>
      </c>
      <c r="O27" s="292">
        <f t="shared" si="2"/>
        <v>0</v>
      </c>
      <c r="P27" s="292">
        <f t="shared" si="3"/>
        <v>0</v>
      </c>
      <c r="Q27" s="292">
        <f t="shared" si="3"/>
        <v>0</v>
      </c>
      <c r="R27" s="292">
        <f t="shared" si="3"/>
        <v>0</v>
      </c>
      <c r="S27" s="315">
        <f t="shared" si="4"/>
        <v>0</v>
      </c>
      <c r="T27" s="316">
        <f t="shared" si="5"/>
        <v>0</v>
      </c>
      <c r="U27" s="294"/>
      <c r="V27" s="308">
        <f t="shared" si="7"/>
        <v>0</v>
      </c>
      <c r="W27" s="309"/>
      <c r="BE27" s="310" t="e">
        <f>IF(A27="","",INDEX(PERSO_TAB1,MATCH(A27,PERSO_TAB1_NOM_PRENOM,0),MATCH(#REF!,PERSO_TAB1_ENTETE,0)))</f>
        <v>#NAME?</v>
      </c>
      <c r="BF27" s="310" t="e">
        <f>INDEX(PERSO_TAB1,MATCH($A27,PERSO_TAB1_NOM_PRENOM,0),MATCH(#REF!,PERSO_TAB1_ENTETE,0))</f>
        <v>#NAME?</v>
      </c>
      <c r="BG27" s="299"/>
    </row>
    <row r="28" spans="1:59" ht="16.5" customHeight="1" x14ac:dyDescent="0.25">
      <c r="A28" s="215" t="s">
        <v>64</v>
      </c>
      <c r="B28" s="215" t="s">
        <v>65</v>
      </c>
      <c r="C28" s="215"/>
      <c r="D28" s="221"/>
      <c r="E28" s="218">
        <v>0</v>
      </c>
      <c r="F28" s="222"/>
      <c r="G28" s="222"/>
      <c r="H28" s="222"/>
      <c r="I28" s="222"/>
      <c r="J28" s="222"/>
      <c r="K28" s="314">
        <f t="shared" si="6"/>
        <v>0</v>
      </c>
      <c r="L28" s="223"/>
      <c r="M28" s="291">
        <f t="shared" si="0"/>
        <v>0</v>
      </c>
      <c r="N28" s="292">
        <f t="shared" si="1"/>
        <v>0</v>
      </c>
      <c r="O28" s="292">
        <f t="shared" si="2"/>
        <v>0</v>
      </c>
      <c r="P28" s="292">
        <f t="shared" si="3"/>
        <v>0</v>
      </c>
      <c r="Q28" s="292">
        <f t="shared" si="3"/>
        <v>0</v>
      </c>
      <c r="R28" s="292">
        <f t="shared" si="3"/>
        <v>0</v>
      </c>
      <c r="S28" s="315">
        <f t="shared" si="4"/>
        <v>0</v>
      </c>
      <c r="T28" s="316">
        <f t="shared" si="5"/>
        <v>0</v>
      </c>
      <c r="U28" s="294"/>
      <c r="V28" s="308">
        <f t="shared" si="7"/>
        <v>0</v>
      </c>
      <c r="W28" s="309"/>
      <c r="BE28" s="310" t="e">
        <f>IF(A28="","",INDEX(PERSO_TAB1,MATCH(A28,PERSO_TAB1_NOM_PRENOM,0),MATCH(#REF!,PERSO_TAB1_ENTETE,0)))</f>
        <v>#NAME?</v>
      </c>
      <c r="BF28" s="310" t="e">
        <f>INDEX(PERSO_TAB1,MATCH($A28,PERSO_TAB1_NOM_PRENOM,0),MATCH(#REF!,PERSO_TAB1_ENTETE,0))</f>
        <v>#NAME?</v>
      </c>
      <c r="BG28" s="299"/>
    </row>
    <row r="29" spans="1:59" ht="16.5" customHeight="1" x14ac:dyDescent="0.25">
      <c r="A29" s="215" t="s">
        <v>64</v>
      </c>
      <c r="B29" s="215" t="s">
        <v>65</v>
      </c>
      <c r="C29" s="215"/>
      <c r="D29" s="221"/>
      <c r="E29" s="218">
        <v>0</v>
      </c>
      <c r="F29" s="222"/>
      <c r="G29" s="222"/>
      <c r="H29" s="222"/>
      <c r="I29" s="222"/>
      <c r="J29" s="222"/>
      <c r="K29" s="314">
        <f t="shared" si="6"/>
        <v>0</v>
      </c>
      <c r="L29" s="223"/>
      <c r="M29" s="291">
        <f t="shared" si="0"/>
        <v>0</v>
      </c>
      <c r="N29" s="292">
        <f t="shared" si="1"/>
        <v>0</v>
      </c>
      <c r="O29" s="292">
        <f t="shared" si="2"/>
        <v>0</v>
      </c>
      <c r="P29" s="292">
        <f t="shared" si="3"/>
        <v>0</v>
      </c>
      <c r="Q29" s="292">
        <f t="shared" si="3"/>
        <v>0</v>
      </c>
      <c r="R29" s="292">
        <f t="shared" si="3"/>
        <v>0</v>
      </c>
      <c r="S29" s="315">
        <f t="shared" si="4"/>
        <v>0</v>
      </c>
      <c r="T29" s="316">
        <f t="shared" si="5"/>
        <v>0</v>
      </c>
      <c r="U29" s="294"/>
      <c r="V29" s="308">
        <f t="shared" si="7"/>
        <v>0</v>
      </c>
      <c r="W29" s="309"/>
      <c r="BE29" s="310" t="e">
        <f>IF(A29="","",INDEX(PERSO_TAB1,MATCH(A29,PERSO_TAB1_NOM_PRENOM,0),MATCH(#REF!,PERSO_TAB1_ENTETE,0)))</f>
        <v>#NAME?</v>
      </c>
      <c r="BF29" s="310" t="e">
        <f>INDEX(PERSO_TAB1,MATCH($A29,PERSO_TAB1_NOM_PRENOM,0),MATCH(#REF!,PERSO_TAB1_ENTETE,0))</f>
        <v>#NAME?</v>
      </c>
      <c r="BG29" s="299"/>
    </row>
    <row r="30" spans="1:59" ht="16.5" customHeight="1" x14ac:dyDescent="0.25">
      <c r="A30" s="215" t="s">
        <v>64</v>
      </c>
      <c r="B30" s="215" t="s">
        <v>65</v>
      </c>
      <c r="C30" s="215"/>
      <c r="D30" s="221"/>
      <c r="E30" s="218">
        <v>0</v>
      </c>
      <c r="F30" s="222"/>
      <c r="G30" s="222"/>
      <c r="H30" s="222"/>
      <c r="I30" s="222"/>
      <c r="J30" s="222"/>
      <c r="K30" s="314">
        <f t="shared" si="6"/>
        <v>0</v>
      </c>
      <c r="L30" s="223"/>
      <c r="M30" s="291">
        <f t="shared" si="0"/>
        <v>0</v>
      </c>
      <c r="N30" s="292">
        <f t="shared" si="1"/>
        <v>0</v>
      </c>
      <c r="O30" s="292">
        <f t="shared" si="2"/>
        <v>0</v>
      </c>
      <c r="P30" s="292">
        <f t="shared" si="3"/>
        <v>0</v>
      </c>
      <c r="Q30" s="292">
        <f t="shared" si="3"/>
        <v>0</v>
      </c>
      <c r="R30" s="292">
        <f t="shared" si="3"/>
        <v>0</v>
      </c>
      <c r="S30" s="315">
        <f t="shared" si="4"/>
        <v>0</v>
      </c>
      <c r="T30" s="316">
        <f t="shared" si="5"/>
        <v>0</v>
      </c>
      <c r="U30" s="294"/>
      <c r="V30" s="308">
        <f t="shared" si="7"/>
        <v>0</v>
      </c>
      <c r="W30" s="309"/>
      <c r="BE30" s="310" t="e">
        <f>IF(A30="","",INDEX(PERSO_TAB1,MATCH(A30,PERSO_TAB1_NOM_PRENOM,0),MATCH(#REF!,PERSO_TAB1_ENTETE,0)))</f>
        <v>#NAME?</v>
      </c>
      <c r="BF30" s="310" t="e">
        <f>INDEX(PERSO_TAB1,MATCH($A30,PERSO_TAB1_NOM_PRENOM,0),MATCH(#REF!,PERSO_TAB1_ENTETE,0))</f>
        <v>#NAME?</v>
      </c>
      <c r="BG30" s="299"/>
    </row>
    <row r="31" spans="1:59" ht="16.5" customHeight="1" x14ac:dyDescent="0.25">
      <c r="A31" s="215" t="s">
        <v>64</v>
      </c>
      <c r="B31" s="215" t="s">
        <v>65</v>
      </c>
      <c r="C31" s="215"/>
      <c r="D31" s="221"/>
      <c r="E31" s="218">
        <v>0</v>
      </c>
      <c r="F31" s="222"/>
      <c r="G31" s="222"/>
      <c r="H31" s="222"/>
      <c r="I31" s="222"/>
      <c r="J31" s="222"/>
      <c r="K31" s="314">
        <f t="shared" si="6"/>
        <v>0</v>
      </c>
      <c r="L31" s="223"/>
      <c r="M31" s="291">
        <f t="shared" si="0"/>
        <v>0</v>
      </c>
      <c r="N31" s="292">
        <f t="shared" si="1"/>
        <v>0</v>
      </c>
      <c r="O31" s="292">
        <f t="shared" si="2"/>
        <v>0</v>
      </c>
      <c r="P31" s="292">
        <f t="shared" si="3"/>
        <v>0</v>
      </c>
      <c r="Q31" s="292">
        <f t="shared" si="3"/>
        <v>0</v>
      </c>
      <c r="R31" s="292">
        <f t="shared" si="3"/>
        <v>0</v>
      </c>
      <c r="S31" s="315">
        <f t="shared" si="4"/>
        <v>0</v>
      </c>
      <c r="T31" s="316">
        <f t="shared" si="5"/>
        <v>0</v>
      </c>
      <c r="U31" s="294"/>
      <c r="V31" s="308">
        <f t="shared" si="7"/>
        <v>0</v>
      </c>
      <c r="W31" s="309"/>
      <c r="BE31" s="310" t="e">
        <f>IF(A31="","",INDEX(PERSO_TAB1,MATCH(A31,PERSO_TAB1_NOM_PRENOM,0),MATCH(#REF!,PERSO_TAB1_ENTETE,0)))</f>
        <v>#NAME?</v>
      </c>
      <c r="BF31" s="310" t="e">
        <f>INDEX(PERSO_TAB1,MATCH($A31,PERSO_TAB1_NOM_PRENOM,0),MATCH(#REF!,PERSO_TAB1_ENTETE,0))</f>
        <v>#NAME?</v>
      </c>
      <c r="BG31" s="299"/>
    </row>
    <row r="32" spans="1:59" ht="16.5" customHeight="1" x14ac:dyDescent="0.25">
      <c r="A32" s="215" t="s">
        <v>64</v>
      </c>
      <c r="B32" s="215" t="s">
        <v>65</v>
      </c>
      <c r="C32" s="215"/>
      <c r="D32" s="221"/>
      <c r="E32" s="218">
        <v>0</v>
      </c>
      <c r="F32" s="222"/>
      <c r="G32" s="222"/>
      <c r="H32" s="222"/>
      <c r="I32" s="222"/>
      <c r="J32" s="222"/>
      <c r="K32" s="314">
        <f t="shared" si="6"/>
        <v>0</v>
      </c>
      <c r="L32" s="223"/>
      <c r="M32" s="291">
        <f t="shared" si="0"/>
        <v>0</v>
      </c>
      <c r="N32" s="292">
        <f t="shared" si="1"/>
        <v>0</v>
      </c>
      <c r="O32" s="292">
        <f t="shared" si="2"/>
        <v>0</v>
      </c>
      <c r="P32" s="292">
        <f t="shared" si="3"/>
        <v>0</v>
      </c>
      <c r="Q32" s="292">
        <f t="shared" si="3"/>
        <v>0</v>
      </c>
      <c r="R32" s="292">
        <f t="shared" si="3"/>
        <v>0</v>
      </c>
      <c r="S32" s="315">
        <f t="shared" si="4"/>
        <v>0</v>
      </c>
      <c r="T32" s="316">
        <f t="shared" si="5"/>
        <v>0</v>
      </c>
      <c r="U32" s="294"/>
      <c r="V32" s="308">
        <f t="shared" si="7"/>
        <v>0</v>
      </c>
      <c r="W32" s="309"/>
      <c r="BE32" s="310" t="e">
        <f>IF(A32="","",INDEX(PERSO_TAB1,MATCH(A32,PERSO_TAB1_NOM_PRENOM,0),MATCH(#REF!,PERSO_TAB1_ENTETE,0)))</f>
        <v>#NAME?</v>
      </c>
      <c r="BF32" s="310" t="e">
        <f>INDEX(PERSO_TAB1,MATCH($A32,PERSO_TAB1_NOM_PRENOM,0),MATCH(#REF!,PERSO_TAB1_ENTETE,0))</f>
        <v>#NAME?</v>
      </c>
      <c r="BG32" s="299"/>
    </row>
    <row r="33" spans="1:59" ht="16.5" customHeight="1" x14ac:dyDescent="0.25">
      <c r="A33" s="215" t="s">
        <v>64</v>
      </c>
      <c r="B33" s="215" t="s">
        <v>65</v>
      </c>
      <c r="C33" s="215"/>
      <c r="D33" s="221"/>
      <c r="E33" s="218">
        <v>0</v>
      </c>
      <c r="F33" s="222"/>
      <c r="G33" s="222"/>
      <c r="H33" s="222"/>
      <c r="I33" s="222"/>
      <c r="J33" s="222"/>
      <c r="K33" s="314">
        <f t="shared" si="6"/>
        <v>0</v>
      </c>
      <c r="L33" s="223"/>
      <c r="M33" s="291">
        <f t="shared" si="0"/>
        <v>0</v>
      </c>
      <c r="N33" s="292">
        <f t="shared" si="1"/>
        <v>0</v>
      </c>
      <c r="O33" s="292">
        <f t="shared" si="2"/>
        <v>0</v>
      </c>
      <c r="P33" s="292">
        <f t="shared" si="3"/>
        <v>0</v>
      </c>
      <c r="Q33" s="292">
        <f t="shared" si="3"/>
        <v>0</v>
      </c>
      <c r="R33" s="292">
        <f t="shared" si="3"/>
        <v>0</v>
      </c>
      <c r="S33" s="315">
        <f t="shared" si="4"/>
        <v>0</v>
      </c>
      <c r="T33" s="316">
        <f t="shared" si="5"/>
        <v>0</v>
      </c>
      <c r="U33" s="294"/>
      <c r="V33" s="308">
        <f t="shared" si="7"/>
        <v>0</v>
      </c>
      <c r="W33" s="309"/>
      <c r="BE33" s="310" t="e">
        <f>IF(A33="","",INDEX(PERSO_TAB1,MATCH(A33,PERSO_TAB1_NOM_PRENOM,0),MATCH(#REF!,PERSO_TAB1_ENTETE,0)))</f>
        <v>#NAME?</v>
      </c>
      <c r="BF33" s="310" t="e">
        <f>INDEX(PERSO_TAB1,MATCH($A33,PERSO_TAB1_NOM_PRENOM,0),MATCH(#REF!,PERSO_TAB1_ENTETE,0))</f>
        <v>#NAME?</v>
      </c>
      <c r="BG33" s="299"/>
    </row>
    <row r="34" spans="1:59" ht="16.5" customHeight="1" x14ac:dyDescent="0.25">
      <c r="A34" s="215" t="s">
        <v>64</v>
      </c>
      <c r="B34" s="215" t="s">
        <v>65</v>
      </c>
      <c r="C34" s="215"/>
      <c r="D34" s="221"/>
      <c r="E34" s="218">
        <v>0</v>
      </c>
      <c r="F34" s="222"/>
      <c r="G34" s="222"/>
      <c r="H34" s="222"/>
      <c r="I34" s="222"/>
      <c r="J34" s="222"/>
      <c r="K34" s="314">
        <f t="shared" si="6"/>
        <v>0</v>
      </c>
      <c r="L34" s="223"/>
      <c r="M34" s="291">
        <f t="shared" si="0"/>
        <v>0</v>
      </c>
      <c r="N34" s="292">
        <f t="shared" si="1"/>
        <v>0</v>
      </c>
      <c r="O34" s="292">
        <f t="shared" si="2"/>
        <v>0</v>
      </c>
      <c r="P34" s="292">
        <f t="shared" si="3"/>
        <v>0</v>
      </c>
      <c r="Q34" s="292">
        <f t="shared" si="3"/>
        <v>0</v>
      </c>
      <c r="R34" s="292">
        <f t="shared" si="3"/>
        <v>0</v>
      </c>
      <c r="S34" s="315">
        <f t="shared" si="4"/>
        <v>0</v>
      </c>
      <c r="T34" s="316">
        <f t="shared" si="5"/>
        <v>0</v>
      </c>
      <c r="U34" s="294"/>
      <c r="V34" s="308">
        <f t="shared" si="7"/>
        <v>0</v>
      </c>
      <c r="W34" s="309"/>
      <c r="BE34" s="310" t="e">
        <f>IF(A34="","",INDEX(PERSO_TAB1,MATCH(A34,PERSO_TAB1_NOM_PRENOM,0),MATCH(#REF!,PERSO_TAB1_ENTETE,0)))</f>
        <v>#NAME?</v>
      </c>
      <c r="BF34" s="310" t="e">
        <f>INDEX(PERSO_TAB1,MATCH($A34,PERSO_TAB1_NOM_PRENOM,0),MATCH(#REF!,PERSO_TAB1_ENTETE,0))</f>
        <v>#NAME?</v>
      </c>
      <c r="BG34" s="299"/>
    </row>
    <row r="35" spans="1:59" ht="16.5" customHeight="1" x14ac:dyDescent="0.25">
      <c r="A35" s="215" t="s">
        <v>64</v>
      </c>
      <c r="B35" s="215" t="s">
        <v>65</v>
      </c>
      <c r="C35" s="215"/>
      <c r="D35" s="221"/>
      <c r="E35" s="218">
        <v>0</v>
      </c>
      <c r="F35" s="222"/>
      <c r="G35" s="222"/>
      <c r="H35" s="222"/>
      <c r="I35" s="222"/>
      <c r="J35" s="222"/>
      <c r="K35" s="314">
        <f t="shared" si="6"/>
        <v>0</v>
      </c>
      <c r="L35" s="223"/>
      <c r="M35" s="291">
        <f t="shared" si="0"/>
        <v>0</v>
      </c>
      <c r="N35" s="292">
        <f t="shared" si="1"/>
        <v>0</v>
      </c>
      <c r="O35" s="292">
        <f t="shared" si="2"/>
        <v>0</v>
      </c>
      <c r="P35" s="292">
        <f t="shared" si="3"/>
        <v>0</v>
      </c>
      <c r="Q35" s="292">
        <f t="shared" si="3"/>
        <v>0</v>
      </c>
      <c r="R35" s="292">
        <f t="shared" si="3"/>
        <v>0</v>
      </c>
      <c r="S35" s="315">
        <f t="shared" si="4"/>
        <v>0</v>
      </c>
      <c r="T35" s="316">
        <f t="shared" si="5"/>
        <v>0</v>
      </c>
      <c r="U35" s="294"/>
      <c r="V35" s="308">
        <f t="shared" si="7"/>
        <v>0</v>
      </c>
      <c r="W35" s="309"/>
      <c r="BE35" s="310" t="e">
        <f>IF(A35="","",INDEX(PERSO_TAB1,MATCH(A35,PERSO_TAB1_NOM_PRENOM,0),MATCH(#REF!,PERSO_TAB1_ENTETE,0)))</f>
        <v>#NAME?</v>
      </c>
      <c r="BF35" s="310" t="e">
        <f>INDEX(PERSO_TAB1,MATCH($A35,PERSO_TAB1_NOM_PRENOM,0),MATCH(#REF!,PERSO_TAB1_ENTETE,0))</f>
        <v>#NAME?</v>
      </c>
      <c r="BG35" s="299"/>
    </row>
    <row r="36" spans="1:59" ht="16.5" customHeight="1" x14ac:dyDescent="0.25">
      <c r="A36" s="215" t="s">
        <v>64</v>
      </c>
      <c r="B36" s="215" t="s">
        <v>65</v>
      </c>
      <c r="C36" s="215"/>
      <c r="D36" s="221"/>
      <c r="E36" s="218">
        <v>0</v>
      </c>
      <c r="F36" s="222"/>
      <c r="G36" s="222"/>
      <c r="H36" s="222"/>
      <c r="I36" s="222"/>
      <c r="J36" s="222"/>
      <c r="K36" s="314">
        <f t="shared" si="6"/>
        <v>0</v>
      </c>
      <c r="L36" s="223"/>
      <c r="M36" s="291">
        <f t="shared" si="0"/>
        <v>0</v>
      </c>
      <c r="N36" s="292">
        <f t="shared" si="1"/>
        <v>0</v>
      </c>
      <c r="O36" s="292">
        <f t="shared" si="2"/>
        <v>0</v>
      </c>
      <c r="P36" s="292">
        <f t="shared" si="3"/>
        <v>0</v>
      </c>
      <c r="Q36" s="292">
        <f t="shared" si="3"/>
        <v>0</v>
      </c>
      <c r="R36" s="292">
        <f t="shared" si="3"/>
        <v>0</v>
      </c>
      <c r="S36" s="315">
        <f t="shared" si="4"/>
        <v>0</v>
      </c>
      <c r="T36" s="316">
        <f t="shared" si="5"/>
        <v>0</v>
      </c>
      <c r="U36" s="294"/>
      <c r="V36" s="308">
        <f t="shared" si="7"/>
        <v>0</v>
      </c>
      <c r="W36" s="309"/>
      <c r="BE36" s="310" t="e">
        <f>IF(A36="","",INDEX(PERSO_TAB1,MATCH(A36,PERSO_TAB1_NOM_PRENOM,0),MATCH(#REF!,PERSO_TAB1_ENTETE,0)))</f>
        <v>#NAME?</v>
      </c>
      <c r="BF36" s="310" t="e">
        <f>INDEX(PERSO_TAB1,MATCH($A36,PERSO_TAB1_NOM_PRENOM,0),MATCH(#REF!,PERSO_TAB1_ENTETE,0))</f>
        <v>#NAME?</v>
      </c>
      <c r="BG36" s="299"/>
    </row>
    <row r="37" spans="1:59" ht="16.5" customHeight="1" x14ac:dyDescent="0.25">
      <c r="A37" s="215" t="s">
        <v>64</v>
      </c>
      <c r="B37" s="215" t="s">
        <v>65</v>
      </c>
      <c r="C37" s="215"/>
      <c r="D37" s="221"/>
      <c r="E37" s="218">
        <v>0</v>
      </c>
      <c r="F37" s="222"/>
      <c r="G37" s="222"/>
      <c r="H37" s="222"/>
      <c r="I37" s="222"/>
      <c r="J37" s="222"/>
      <c r="K37" s="314">
        <f t="shared" si="6"/>
        <v>0</v>
      </c>
      <c r="L37" s="223"/>
      <c r="M37" s="291">
        <f t="shared" ref="M37:M47" si="8">IF(E37="","",E37)</f>
        <v>0</v>
      </c>
      <c r="N37" s="292">
        <f t="shared" ref="N37:N47" si="9">F37</f>
        <v>0</v>
      </c>
      <c r="O37" s="292">
        <f t="shared" ref="O37:O47" si="10">G37</f>
        <v>0</v>
      </c>
      <c r="P37" s="292">
        <f t="shared" ref="P37:R47" si="11">H37</f>
        <v>0</v>
      </c>
      <c r="Q37" s="292">
        <f t="shared" si="11"/>
        <v>0</v>
      </c>
      <c r="R37" s="292">
        <f t="shared" si="11"/>
        <v>0</v>
      </c>
      <c r="S37" s="315">
        <f t="shared" si="4"/>
        <v>0</v>
      </c>
      <c r="T37" s="316">
        <f t="shared" ref="T37:T47" si="12">IF($K37="","",$S37-$K37)</f>
        <v>0</v>
      </c>
      <c r="U37" s="294"/>
      <c r="V37" s="308">
        <f t="shared" si="7"/>
        <v>0</v>
      </c>
      <c r="BE37" s="310" t="e">
        <f>IF(A37="","",INDEX(PERSO_TAB1,MATCH(A37,PERSO_TAB1_NOM_PRENOM,0),MATCH(#REF!,PERSO_TAB1_ENTETE,0)))</f>
        <v>#NAME?</v>
      </c>
      <c r="BF37" s="310" t="e">
        <f>INDEX(PERSO_TAB1,MATCH($A37,PERSO_TAB1_NOM_PRENOM,0),MATCH(#REF!,PERSO_TAB1_ENTETE,0))</f>
        <v>#NAME?</v>
      </c>
      <c r="BG37" s="299"/>
    </row>
    <row r="38" spans="1:59" ht="16.5" customHeight="1" x14ac:dyDescent="0.25">
      <c r="A38" s="215" t="s">
        <v>64</v>
      </c>
      <c r="B38" s="215" t="s">
        <v>65</v>
      </c>
      <c r="C38" s="215"/>
      <c r="D38" s="221"/>
      <c r="E38" s="218">
        <v>0</v>
      </c>
      <c r="F38" s="222"/>
      <c r="G38" s="222"/>
      <c r="H38" s="222"/>
      <c r="I38" s="222"/>
      <c r="J38" s="222"/>
      <c r="K38" s="314">
        <f t="shared" si="6"/>
        <v>0</v>
      </c>
      <c r="L38" s="223"/>
      <c r="M38" s="291">
        <f t="shared" si="8"/>
        <v>0</v>
      </c>
      <c r="N38" s="292">
        <f t="shared" si="9"/>
        <v>0</v>
      </c>
      <c r="O38" s="292">
        <f t="shared" si="10"/>
        <v>0</v>
      </c>
      <c r="P38" s="292">
        <f t="shared" si="11"/>
        <v>0</v>
      </c>
      <c r="Q38" s="292">
        <f t="shared" si="11"/>
        <v>0</v>
      </c>
      <c r="R38" s="292">
        <f t="shared" si="11"/>
        <v>0</v>
      </c>
      <c r="S38" s="315">
        <f t="shared" si="4"/>
        <v>0</v>
      </c>
      <c r="T38" s="316">
        <f t="shared" si="12"/>
        <v>0</v>
      </c>
      <c r="U38" s="294"/>
      <c r="V38" s="308">
        <f t="shared" si="7"/>
        <v>0</v>
      </c>
      <c r="BE38" s="310" t="e">
        <f>IF(A38="","",INDEX(PERSO_TAB1,MATCH(A38,PERSO_TAB1_NOM_PRENOM,0),MATCH(#REF!,PERSO_TAB1_ENTETE,0)))</f>
        <v>#NAME?</v>
      </c>
      <c r="BF38" s="310" t="e">
        <f>INDEX(PERSO_TAB1,MATCH($A38,PERSO_TAB1_NOM_PRENOM,0),MATCH(#REF!,PERSO_TAB1_ENTETE,0))</f>
        <v>#NAME?</v>
      </c>
      <c r="BG38" s="299"/>
    </row>
    <row r="39" spans="1:59" ht="16.5" customHeight="1" x14ac:dyDescent="0.25">
      <c r="A39" s="215" t="s">
        <v>64</v>
      </c>
      <c r="B39" s="215" t="s">
        <v>65</v>
      </c>
      <c r="C39" s="215"/>
      <c r="D39" s="221"/>
      <c r="E39" s="218">
        <v>0</v>
      </c>
      <c r="F39" s="222"/>
      <c r="G39" s="222"/>
      <c r="H39" s="222"/>
      <c r="I39" s="222"/>
      <c r="J39" s="222"/>
      <c r="K39" s="314">
        <f t="shared" si="6"/>
        <v>0</v>
      </c>
      <c r="L39" s="223"/>
      <c r="M39" s="291">
        <f t="shared" si="8"/>
        <v>0</v>
      </c>
      <c r="N39" s="292">
        <f t="shared" si="9"/>
        <v>0</v>
      </c>
      <c r="O39" s="292">
        <f t="shared" si="10"/>
        <v>0</v>
      </c>
      <c r="P39" s="292">
        <f t="shared" si="11"/>
        <v>0</v>
      </c>
      <c r="Q39" s="292">
        <f t="shared" si="11"/>
        <v>0</v>
      </c>
      <c r="R39" s="292">
        <f t="shared" si="11"/>
        <v>0</v>
      </c>
      <c r="S39" s="315">
        <f t="shared" si="4"/>
        <v>0</v>
      </c>
      <c r="T39" s="316">
        <f t="shared" si="12"/>
        <v>0</v>
      </c>
      <c r="U39" s="294"/>
      <c r="V39" s="308">
        <f t="shared" si="7"/>
        <v>0</v>
      </c>
      <c r="BE39" s="310" t="e">
        <f>IF(A39="","",INDEX(PERSO_TAB1,MATCH(A39,PERSO_TAB1_NOM_PRENOM,0),MATCH(#REF!,PERSO_TAB1_ENTETE,0)))</f>
        <v>#NAME?</v>
      </c>
      <c r="BF39" s="310" t="e">
        <f>INDEX(PERSO_TAB1,MATCH($A39,PERSO_TAB1_NOM_PRENOM,0),MATCH(#REF!,PERSO_TAB1_ENTETE,0))</f>
        <v>#NAME?</v>
      </c>
      <c r="BG39" s="299"/>
    </row>
    <row r="40" spans="1:59" ht="16.5" customHeight="1" x14ac:dyDescent="0.25">
      <c r="A40" s="215" t="s">
        <v>64</v>
      </c>
      <c r="B40" s="215" t="s">
        <v>65</v>
      </c>
      <c r="C40" s="215"/>
      <c r="D40" s="221"/>
      <c r="E40" s="218">
        <v>0</v>
      </c>
      <c r="F40" s="222"/>
      <c r="G40" s="222"/>
      <c r="H40" s="222"/>
      <c r="I40" s="222"/>
      <c r="J40" s="222"/>
      <c r="K40" s="314">
        <f t="shared" si="6"/>
        <v>0</v>
      </c>
      <c r="L40" s="223"/>
      <c r="M40" s="291">
        <f t="shared" si="8"/>
        <v>0</v>
      </c>
      <c r="N40" s="292">
        <f t="shared" si="9"/>
        <v>0</v>
      </c>
      <c r="O40" s="292">
        <f t="shared" si="10"/>
        <v>0</v>
      </c>
      <c r="P40" s="292">
        <f t="shared" si="11"/>
        <v>0</v>
      </c>
      <c r="Q40" s="292">
        <f t="shared" si="11"/>
        <v>0</v>
      </c>
      <c r="R40" s="292">
        <f t="shared" si="11"/>
        <v>0</v>
      </c>
      <c r="S40" s="315">
        <f t="shared" si="4"/>
        <v>0</v>
      </c>
      <c r="T40" s="316">
        <f t="shared" si="12"/>
        <v>0</v>
      </c>
      <c r="U40" s="294"/>
      <c r="V40" s="308">
        <f t="shared" si="7"/>
        <v>0</v>
      </c>
      <c r="BE40" s="310" t="e">
        <f>IF(A40="","",INDEX(PERSO_TAB1,MATCH(A40,PERSO_TAB1_NOM_PRENOM,0),MATCH(#REF!,PERSO_TAB1_ENTETE,0)))</f>
        <v>#NAME?</v>
      </c>
      <c r="BF40" s="310" t="e">
        <f>INDEX(PERSO_TAB1,MATCH($A40,PERSO_TAB1_NOM_PRENOM,0),MATCH(#REF!,PERSO_TAB1_ENTETE,0))</f>
        <v>#NAME?</v>
      </c>
      <c r="BG40" s="299"/>
    </row>
    <row r="41" spans="1:59" ht="16.5" customHeight="1" x14ac:dyDescent="0.25">
      <c r="A41" s="215" t="s">
        <v>64</v>
      </c>
      <c r="B41" s="215" t="s">
        <v>65</v>
      </c>
      <c r="C41" s="215"/>
      <c r="D41" s="221"/>
      <c r="E41" s="218">
        <v>0</v>
      </c>
      <c r="F41" s="222"/>
      <c r="G41" s="222"/>
      <c r="H41" s="222"/>
      <c r="I41" s="222"/>
      <c r="J41" s="222"/>
      <c r="K41" s="314">
        <f t="shared" si="6"/>
        <v>0</v>
      </c>
      <c r="L41" s="223"/>
      <c r="M41" s="291">
        <f t="shared" si="8"/>
        <v>0</v>
      </c>
      <c r="N41" s="292">
        <f t="shared" si="9"/>
        <v>0</v>
      </c>
      <c r="O41" s="292">
        <f t="shared" si="10"/>
        <v>0</v>
      </c>
      <c r="P41" s="292">
        <f t="shared" si="11"/>
        <v>0</v>
      </c>
      <c r="Q41" s="292">
        <f t="shared" si="11"/>
        <v>0</v>
      </c>
      <c r="R41" s="292">
        <f t="shared" si="11"/>
        <v>0</v>
      </c>
      <c r="S41" s="315">
        <f t="shared" si="4"/>
        <v>0</v>
      </c>
      <c r="T41" s="316">
        <f t="shared" si="12"/>
        <v>0</v>
      </c>
      <c r="U41" s="294"/>
      <c r="V41" s="308">
        <f t="shared" si="7"/>
        <v>0</v>
      </c>
      <c r="BE41" s="310" t="e">
        <f>IF(A41="","",INDEX(PERSO_TAB1,MATCH(A41,PERSO_TAB1_NOM_PRENOM,0),MATCH(#REF!,PERSO_TAB1_ENTETE,0)))</f>
        <v>#NAME?</v>
      </c>
      <c r="BF41" s="310" t="e">
        <f>INDEX(PERSO_TAB1,MATCH($A41,PERSO_TAB1_NOM_PRENOM,0),MATCH(#REF!,PERSO_TAB1_ENTETE,0))</f>
        <v>#NAME?</v>
      </c>
      <c r="BG41" s="299"/>
    </row>
    <row r="42" spans="1:59" ht="16.5" customHeight="1" x14ac:dyDescent="0.25">
      <c r="A42" s="215" t="s">
        <v>64</v>
      </c>
      <c r="B42" s="215" t="s">
        <v>65</v>
      </c>
      <c r="C42" s="215"/>
      <c r="D42" s="221"/>
      <c r="E42" s="218">
        <v>0</v>
      </c>
      <c r="F42" s="222"/>
      <c r="G42" s="222"/>
      <c r="H42" s="222"/>
      <c r="I42" s="222"/>
      <c r="J42" s="222"/>
      <c r="K42" s="314">
        <f t="shared" si="6"/>
        <v>0</v>
      </c>
      <c r="L42" s="223"/>
      <c r="M42" s="291">
        <f t="shared" si="8"/>
        <v>0</v>
      </c>
      <c r="N42" s="292">
        <f t="shared" si="9"/>
        <v>0</v>
      </c>
      <c r="O42" s="292">
        <f t="shared" si="10"/>
        <v>0</v>
      </c>
      <c r="P42" s="292">
        <f t="shared" si="11"/>
        <v>0</v>
      </c>
      <c r="Q42" s="292">
        <f t="shared" si="11"/>
        <v>0</v>
      </c>
      <c r="R42" s="292">
        <f t="shared" si="11"/>
        <v>0</v>
      </c>
      <c r="S42" s="315">
        <f t="shared" si="4"/>
        <v>0</v>
      </c>
      <c r="T42" s="316">
        <f t="shared" si="12"/>
        <v>0</v>
      </c>
      <c r="U42" s="294"/>
      <c r="V42" s="308">
        <f t="shared" si="7"/>
        <v>0</v>
      </c>
      <c r="BE42" s="310" t="e">
        <f>IF(A42="","",INDEX(PERSO_TAB1,MATCH(A42,PERSO_TAB1_NOM_PRENOM,0),MATCH(#REF!,PERSO_TAB1_ENTETE,0)))</f>
        <v>#NAME?</v>
      </c>
      <c r="BF42" s="310" t="e">
        <f>INDEX(PERSO_TAB1,MATCH($A42,PERSO_TAB1_NOM_PRENOM,0),MATCH(#REF!,PERSO_TAB1_ENTETE,0))</f>
        <v>#NAME?</v>
      </c>
      <c r="BG42" s="299"/>
    </row>
    <row r="43" spans="1:59" ht="16.5" customHeight="1" x14ac:dyDescent="0.25">
      <c r="A43" s="215" t="s">
        <v>64</v>
      </c>
      <c r="B43" s="215" t="s">
        <v>65</v>
      </c>
      <c r="C43" s="215"/>
      <c r="D43" s="221"/>
      <c r="E43" s="218">
        <v>0</v>
      </c>
      <c r="F43" s="222"/>
      <c r="G43" s="222"/>
      <c r="H43" s="222"/>
      <c r="I43" s="222"/>
      <c r="J43" s="222"/>
      <c r="K43" s="314">
        <f t="shared" si="6"/>
        <v>0</v>
      </c>
      <c r="L43" s="223"/>
      <c r="M43" s="291">
        <f t="shared" si="8"/>
        <v>0</v>
      </c>
      <c r="N43" s="292">
        <f t="shared" si="9"/>
        <v>0</v>
      </c>
      <c r="O43" s="292">
        <f t="shared" si="10"/>
        <v>0</v>
      </c>
      <c r="P43" s="292">
        <f t="shared" si="11"/>
        <v>0</v>
      </c>
      <c r="Q43" s="292">
        <f t="shared" si="11"/>
        <v>0</v>
      </c>
      <c r="R43" s="292">
        <f t="shared" si="11"/>
        <v>0</v>
      </c>
      <c r="S43" s="315">
        <f t="shared" si="4"/>
        <v>0</v>
      </c>
      <c r="T43" s="316">
        <f t="shared" si="12"/>
        <v>0</v>
      </c>
      <c r="U43" s="294"/>
      <c r="V43" s="308">
        <f t="shared" si="7"/>
        <v>0</v>
      </c>
      <c r="BE43" s="310" t="e">
        <f>IF(A43="","",INDEX(PERSO_TAB1,MATCH(A43,PERSO_TAB1_NOM_PRENOM,0),MATCH(#REF!,PERSO_TAB1_ENTETE,0)))</f>
        <v>#NAME?</v>
      </c>
      <c r="BF43" s="310" t="e">
        <f>INDEX(PERSO_TAB1,MATCH($A43,PERSO_TAB1_NOM_PRENOM,0),MATCH(#REF!,PERSO_TAB1_ENTETE,0))</f>
        <v>#NAME?</v>
      </c>
      <c r="BG43" s="299"/>
    </row>
    <row r="44" spans="1:59" ht="16.5" customHeight="1" x14ac:dyDescent="0.25">
      <c r="A44" s="215" t="s">
        <v>64</v>
      </c>
      <c r="B44" s="215" t="s">
        <v>65</v>
      </c>
      <c r="C44" s="215"/>
      <c r="D44" s="221"/>
      <c r="E44" s="218">
        <v>0</v>
      </c>
      <c r="F44" s="222"/>
      <c r="G44" s="222"/>
      <c r="H44" s="222"/>
      <c r="I44" s="222"/>
      <c r="J44" s="222"/>
      <c r="K44" s="314">
        <f t="shared" si="6"/>
        <v>0</v>
      </c>
      <c r="L44" s="223"/>
      <c r="M44" s="291">
        <f t="shared" si="8"/>
        <v>0</v>
      </c>
      <c r="N44" s="292">
        <f t="shared" si="9"/>
        <v>0</v>
      </c>
      <c r="O44" s="292">
        <f t="shared" si="10"/>
        <v>0</v>
      </c>
      <c r="P44" s="292">
        <f t="shared" si="11"/>
        <v>0</v>
      </c>
      <c r="Q44" s="292">
        <f t="shared" si="11"/>
        <v>0</v>
      </c>
      <c r="R44" s="292">
        <f t="shared" si="11"/>
        <v>0</v>
      </c>
      <c r="S44" s="315">
        <f t="shared" si="4"/>
        <v>0</v>
      </c>
      <c r="T44" s="316">
        <f t="shared" si="12"/>
        <v>0</v>
      </c>
      <c r="U44" s="294"/>
      <c r="V44" s="308">
        <f t="shared" si="7"/>
        <v>0</v>
      </c>
      <c r="BE44" s="310" t="e">
        <f>IF(A44="","",INDEX(PERSO_TAB1,MATCH(A44,PERSO_TAB1_NOM_PRENOM,0),MATCH(#REF!,PERSO_TAB1_ENTETE,0)))</f>
        <v>#NAME?</v>
      </c>
      <c r="BF44" s="310" t="e">
        <f>INDEX(PERSO_TAB1,MATCH($A44,PERSO_TAB1_NOM_PRENOM,0),MATCH(#REF!,PERSO_TAB1_ENTETE,0))</f>
        <v>#NAME?</v>
      </c>
      <c r="BG44" s="299"/>
    </row>
    <row r="45" spans="1:59" ht="16.5" customHeight="1" x14ac:dyDescent="0.25">
      <c r="A45" s="215" t="s">
        <v>64</v>
      </c>
      <c r="B45" s="215" t="s">
        <v>65</v>
      </c>
      <c r="C45" s="215"/>
      <c r="D45" s="221"/>
      <c r="E45" s="218">
        <v>0</v>
      </c>
      <c r="F45" s="222"/>
      <c r="G45" s="222"/>
      <c r="H45" s="222"/>
      <c r="I45" s="222"/>
      <c r="J45" s="222"/>
      <c r="K45" s="314">
        <f t="shared" si="6"/>
        <v>0</v>
      </c>
      <c r="L45" s="223"/>
      <c r="M45" s="291">
        <f t="shared" si="8"/>
        <v>0</v>
      </c>
      <c r="N45" s="292">
        <f t="shared" si="9"/>
        <v>0</v>
      </c>
      <c r="O45" s="292">
        <f t="shared" si="10"/>
        <v>0</v>
      </c>
      <c r="P45" s="292">
        <f t="shared" si="11"/>
        <v>0</v>
      </c>
      <c r="Q45" s="292">
        <f t="shared" si="11"/>
        <v>0</v>
      </c>
      <c r="R45" s="292">
        <f t="shared" si="11"/>
        <v>0</v>
      </c>
      <c r="S45" s="315">
        <f t="shared" si="4"/>
        <v>0</v>
      </c>
      <c r="T45" s="316">
        <f t="shared" si="12"/>
        <v>0</v>
      </c>
      <c r="U45" s="294"/>
      <c r="V45" s="308">
        <f t="shared" si="7"/>
        <v>0</v>
      </c>
      <c r="BE45" s="310" t="e">
        <f>IF(A45="","",INDEX(PERSO_TAB1,MATCH(A45,PERSO_TAB1_NOM_PRENOM,0),MATCH(#REF!,PERSO_TAB1_ENTETE,0)))</f>
        <v>#NAME?</v>
      </c>
      <c r="BF45" s="310" t="e">
        <f>INDEX(PERSO_TAB1,MATCH($A45,PERSO_TAB1_NOM_PRENOM,0),MATCH(#REF!,PERSO_TAB1_ENTETE,0))</f>
        <v>#NAME?</v>
      </c>
      <c r="BG45" s="299"/>
    </row>
    <row r="46" spans="1:59" ht="16.5" customHeight="1" x14ac:dyDescent="0.25">
      <c r="A46" s="215" t="s">
        <v>64</v>
      </c>
      <c r="B46" s="215" t="s">
        <v>65</v>
      </c>
      <c r="C46" s="215"/>
      <c r="D46" s="221"/>
      <c r="E46" s="218">
        <v>0</v>
      </c>
      <c r="F46" s="222"/>
      <c r="G46" s="222"/>
      <c r="H46" s="222"/>
      <c r="I46" s="222"/>
      <c r="J46" s="222"/>
      <c r="K46" s="314">
        <f t="shared" si="6"/>
        <v>0</v>
      </c>
      <c r="L46" s="223"/>
      <c r="M46" s="291">
        <f t="shared" si="8"/>
        <v>0</v>
      </c>
      <c r="N46" s="292">
        <f t="shared" si="9"/>
        <v>0</v>
      </c>
      <c r="O46" s="292">
        <f t="shared" si="10"/>
        <v>0</v>
      </c>
      <c r="P46" s="292">
        <f t="shared" si="11"/>
        <v>0</v>
      </c>
      <c r="Q46" s="292">
        <f t="shared" si="11"/>
        <v>0</v>
      </c>
      <c r="R46" s="292">
        <f t="shared" si="11"/>
        <v>0</v>
      </c>
      <c r="S46" s="315">
        <f t="shared" si="4"/>
        <v>0</v>
      </c>
      <c r="T46" s="316">
        <f t="shared" si="12"/>
        <v>0</v>
      </c>
      <c r="U46" s="294"/>
      <c r="V46" s="308">
        <f t="shared" si="7"/>
        <v>0</v>
      </c>
      <c r="BE46" s="310" t="e">
        <f>IF(A46="","",INDEX(PERSO_TAB1,MATCH(A46,PERSO_TAB1_NOM_PRENOM,0),MATCH(#REF!,PERSO_TAB1_ENTETE,0)))</f>
        <v>#NAME?</v>
      </c>
      <c r="BF46" s="310" t="e">
        <f>INDEX(PERSO_TAB1,MATCH($A46,PERSO_TAB1_NOM_PRENOM,0),MATCH(#REF!,PERSO_TAB1_ENTETE,0))</f>
        <v>#NAME?</v>
      </c>
      <c r="BG46" s="299"/>
    </row>
    <row r="47" spans="1:59" ht="16.5" customHeight="1" x14ac:dyDescent="0.25">
      <c r="A47" s="215" t="s">
        <v>64</v>
      </c>
      <c r="B47" s="215" t="s">
        <v>65</v>
      </c>
      <c r="C47" s="215"/>
      <c r="D47" s="221"/>
      <c r="E47" s="218">
        <v>0</v>
      </c>
      <c r="F47" s="222"/>
      <c r="G47" s="222"/>
      <c r="H47" s="222"/>
      <c r="I47" s="222"/>
      <c r="J47" s="222"/>
      <c r="K47" s="314">
        <f t="shared" si="6"/>
        <v>0</v>
      </c>
      <c r="L47" s="223"/>
      <c r="M47" s="291">
        <f t="shared" si="8"/>
        <v>0</v>
      </c>
      <c r="N47" s="292">
        <f t="shared" si="9"/>
        <v>0</v>
      </c>
      <c r="O47" s="292">
        <f t="shared" si="10"/>
        <v>0</v>
      </c>
      <c r="P47" s="292">
        <f t="shared" si="11"/>
        <v>0</v>
      </c>
      <c r="Q47" s="292">
        <f t="shared" si="11"/>
        <v>0</v>
      </c>
      <c r="R47" s="292">
        <f t="shared" si="11"/>
        <v>0</v>
      </c>
      <c r="S47" s="315">
        <f t="shared" si="4"/>
        <v>0</v>
      </c>
      <c r="T47" s="316">
        <f t="shared" si="12"/>
        <v>0</v>
      </c>
      <c r="U47" s="294"/>
      <c r="V47" s="308">
        <f t="shared" si="7"/>
        <v>0</v>
      </c>
      <c r="BE47" s="310" t="e">
        <f>IF(A47="","",INDEX(PERSO_TAB1,MATCH(A47,PERSO_TAB1_NOM_PRENOM,0),MATCH(#REF!,PERSO_TAB1_ENTETE,0)))</f>
        <v>#NAME?</v>
      </c>
      <c r="BF47" s="310" t="e">
        <f>INDEX(PERSO_TAB1,MATCH($A47,PERSO_TAB1_NOM_PRENOM,0),MATCH(#REF!,PERSO_TAB1_ENTETE,0))</f>
        <v>#NAME?</v>
      </c>
      <c r="BG47" s="299"/>
    </row>
    <row r="48" spans="1:59" ht="15" x14ac:dyDescent="0.25">
      <c r="A48" s="319"/>
      <c r="E48" s="226" t="e">
        <f>AVERAGEIF(E12:E47,"&lt;&gt;0")</f>
        <v>#DIV/0!</v>
      </c>
      <c r="F48" s="320"/>
      <c r="G48" s="320"/>
      <c r="H48" s="320"/>
      <c r="I48" s="320"/>
      <c r="J48" s="320"/>
      <c r="K48" s="321">
        <f>SUM(K12:K47)</f>
        <v>0</v>
      </c>
      <c r="L48" s="320"/>
      <c r="N48" s="322">
        <f>SUM(N12:N47)</f>
        <v>0</v>
      </c>
      <c r="O48" s="322">
        <f>SUM(O12:O47)</f>
        <v>0</v>
      </c>
      <c r="P48" s="322">
        <f>SUM(P12:P47)</f>
        <v>0</v>
      </c>
      <c r="Q48" s="322"/>
      <c r="R48" s="322"/>
      <c r="S48" s="323">
        <f>SUM(S12:S47)</f>
        <v>0</v>
      </c>
      <c r="T48" s="322">
        <f>SUM(T12:T47)</f>
        <v>0</v>
      </c>
      <c r="V48" s="310"/>
      <c r="BE48" s="310" t="str">
        <f>IF(A48="","",INDEX(PERSO_TAB1,MATCH(A48,PERSO_NOM_PRENOM,0),MATCH(#REF!,PERSO_TAB1_ENTETE,0)))</f>
        <v/>
      </c>
      <c r="BG48" s="299"/>
    </row>
    <row r="49" spans="1:22" x14ac:dyDescent="0.25">
      <c r="A49" s="319"/>
      <c r="F49" s="320"/>
      <c r="G49" s="320"/>
      <c r="H49" s="320"/>
      <c r="I49" s="320"/>
      <c r="J49" s="320"/>
      <c r="N49" s="320"/>
      <c r="O49" s="320"/>
      <c r="P49" s="320"/>
      <c r="Q49" s="320"/>
      <c r="R49" s="320"/>
      <c r="S49" s="320"/>
      <c r="T49" s="320"/>
      <c r="V49" s="310"/>
    </row>
    <row r="50" spans="1:22" ht="61.9" customHeight="1" x14ac:dyDescent="0.25">
      <c r="A50" s="319"/>
    </row>
    <row r="51" spans="1:22" x14ac:dyDescent="0.25">
      <c r="A51" s="319"/>
    </row>
    <row r="52" spans="1:22" x14ac:dyDescent="0.25">
      <c r="A52" s="319"/>
    </row>
    <row r="53" spans="1:22" x14ac:dyDescent="0.25">
      <c r="A53" s="319"/>
    </row>
    <row r="54" spans="1:22" x14ac:dyDescent="0.25">
      <c r="A54" s="319"/>
    </row>
    <row r="55" spans="1:22" x14ac:dyDescent="0.25">
      <c r="A55" s="319"/>
    </row>
    <row r="56" spans="1:22" x14ac:dyDescent="0.25">
      <c r="A56" s="319"/>
    </row>
    <row r="57" spans="1:22" x14ac:dyDescent="0.25">
      <c r="A57" s="319"/>
    </row>
    <row r="58" spans="1:22" x14ac:dyDescent="0.25">
      <c r="A58" s="319"/>
    </row>
    <row r="59" spans="1:22" x14ac:dyDescent="0.25">
      <c r="A59" s="319"/>
    </row>
    <row r="60" spans="1:22" x14ac:dyDescent="0.25">
      <c r="A60" s="319"/>
    </row>
    <row r="61" spans="1:22" x14ac:dyDescent="0.25">
      <c r="A61" s="319"/>
    </row>
    <row r="62" spans="1:22" x14ac:dyDescent="0.25">
      <c r="A62" s="319"/>
    </row>
    <row r="63" spans="1:22" x14ac:dyDescent="0.25">
      <c r="A63" s="319"/>
    </row>
    <row r="64" spans="1:22" x14ac:dyDescent="0.25">
      <c r="A64" s="319"/>
    </row>
    <row r="65" spans="1:1" x14ac:dyDescent="0.25">
      <c r="A65" s="319"/>
    </row>
    <row r="66" spans="1:1" x14ac:dyDescent="0.25">
      <c r="A66" s="319"/>
    </row>
    <row r="67" spans="1:1" x14ac:dyDescent="0.25">
      <c r="A67" s="319"/>
    </row>
    <row r="68" spans="1:1" x14ac:dyDescent="0.25">
      <c r="A68" s="319"/>
    </row>
    <row r="69" spans="1:1" x14ac:dyDescent="0.25">
      <c r="A69" s="319"/>
    </row>
    <row r="70" spans="1:1" x14ac:dyDescent="0.25">
      <c r="A70" s="319"/>
    </row>
    <row r="71" spans="1:1" x14ac:dyDescent="0.25">
      <c r="A71" s="319"/>
    </row>
    <row r="72" spans="1:1" x14ac:dyDescent="0.25">
      <c r="A72" s="319"/>
    </row>
    <row r="73" spans="1:1" x14ac:dyDescent="0.25">
      <c r="A73" s="319"/>
    </row>
    <row r="74" spans="1:1" x14ac:dyDescent="0.25">
      <c r="A74" s="319"/>
    </row>
    <row r="75" spans="1:1" x14ac:dyDescent="0.25">
      <c r="A75" s="319"/>
    </row>
    <row r="76" spans="1:1" x14ac:dyDescent="0.25">
      <c r="A76" s="319"/>
    </row>
    <row r="77" spans="1:1" x14ac:dyDescent="0.25">
      <c r="A77" s="319"/>
    </row>
    <row r="78" spans="1:1" x14ac:dyDescent="0.25">
      <c r="A78" s="319"/>
    </row>
    <row r="79" spans="1:1" x14ac:dyDescent="0.25">
      <c r="A79" s="319"/>
    </row>
    <row r="80" spans="1:1" x14ac:dyDescent="0.25">
      <c r="A80" s="319"/>
    </row>
    <row r="81" spans="1:1" x14ac:dyDescent="0.25">
      <c r="A81" s="319"/>
    </row>
    <row r="82" spans="1:1" x14ac:dyDescent="0.25">
      <c r="A82" s="319"/>
    </row>
    <row r="83" spans="1:1" x14ac:dyDescent="0.25">
      <c r="A83" s="319"/>
    </row>
    <row r="84" spans="1:1" x14ac:dyDescent="0.25">
      <c r="A84" s="319"/>
    </row>
    <row r="85" spans="1:1" x14ac:dyDescent="0.25">
      <c r="A85" s="319"/>
    </row>
    <row r="86" spans="1:1" x14ac:dyDescent="0.25">
      <c r="A86" s="319"/>
    </row>
    <row r="87" spans="1:1" x14ac:dyDescent="0.25">
      <c r="A87" s="319"/>
    </row>
    <row r="88" spans="1:1" x14ac:dyDescent="0.25">
      <c r="A88" s="319"/>
    </row>
    <row r="89" spans="1:1" x14ac:dyDescent="0.25">
      <c r="A89" s="319"/>
    </row>
    <row r="90" spans="1:1" x14ac:dyDescent="0.25">
      <c r="A90" s="319"/>
    </row>
    <row r="91" spans="1:1" x14ac:dyDescent="0.25">
      <c r="A91" s="319"/>
    </row>
    <row r="92" spans="1:1" x14ac:dyDescent="0.25">
      <c r="A92" s="319"/>
    </row>
    <row r="93" spans="1:1" x14ac:dyDescent="0.25">
      <c r="A93" s="319"/>
    </row>
    <row r="94" spans="1:1" x14ac:dyDescent="0.25">
      <c r="A94" s="319"/>
    </row>
    <row r="95" spans="1:1" x14ac:dyDescent="0.25">
      <c r="A95" s="319"/>
    </row>
    <row r="96" spans="1:1" x14ac:dyDescent="0.25">
      <c r="A96" s="319"/>
    </row>
    <row r="97" spans="1:1" x14ac:dyDescent="0.25">
      <c r="A97" s="319"/>
    </row>
    <row r="98" spans="1:1" x14ac:dyDescent="0.25">
      <c r="A98" s="319"/>
    </row>
    <row r="99" spans="1:1" x14ac:dyDescent="0.25">
      <c r="A99" s="319"/>
    </row>
    <row r="100" spans="1:1" x14ac:dyDescent="0.25">
      <c r="A100" s="319"/>
    </row>
    <row r="101" spans="1:1" x14ac:dyDescent="0.25">
      <c r="A101" s="319"/>
    </row>
    <row r="102" spans="1:1" x14ac:dyDescent="0.25">
      <c r="A102" s="319"/>
    </row>
    <row r="103" spans="1:1" x14ac:dyDescent="0.25">
      <c r="A103" s="319"/>
    </row>
    <row r="104" spans="1:1" x14ac:dyDescent="0.25">
      <c r="A104" s="319"/>
    </row>
    <row r="105" spans="1:1" x14ac:dyDescent="0.25">
      <c r="A105" s="319"/>
    </row>
    <row r="106" spans="1:1" x14ac:dyDescent="0.25">
      <c r="A106" s="319"/>
    </row>
    <row r="107" spans="1:1" x14ac:dyDescent="0.25">
      <c r="A107" s="319"/>
    </row>
    <row r="108" spans="1:1" x14ac:dyDescent="0.25">
      <c r="A108" s="319"/>
    </row>
    <row r="109" spans="1:1" x14ac:dyDescent="0.25">
      <c r="A109" s="319"/>
    </row>
    <row r="110" spans="1:1" x14ac:dyDescent="0.25">
      <c r="A110" s="319"/>
    </row>
    <row r="111" spans="1:1" x14ac:dyDescent="0.25">
      <c r="A111" s="319"/>
    </row>
    <row r="112" spans="1:1" x14ac:dyDescent="0.25">
      <c r="A112" s="319"/>
    </row>
    <row r="113" spans="1:1" x14ac:dyDescent="0.25">
      <c r="A113" s="319"/>
    </row>
    <row r="114" spans="1:1" x14ac:dyDescent="0.25">
      <c r="A114" s="319"/>
    </row>
    <row r="115" spans="1:1" x14ac:dyDescent="0.25">
      <c r="A115" s="319"/>
    </row>
    <row r="116" spans="1:1" x14ac:dyDescent="0.25">
      <c r="A116" s="319"/>
    </row>
    <row r="117" spans="1:1" x14ac:dyDescent="0.25">
      <c r="A117" s="319"/>
    </row>
    <row r="118" spans="1:1" x14ac:dyDescent="0.25">
      <c r="A118" s="319"/>
    </row>
    <row r="119" spans="1:1" x14ac:dyDescent="0.25">
      <c r="A119" s="319"/>
    </row>
    <row r="120" spans="1:1" x14ac:dyDescent="0.25">
      <c r="A120" s="319"/>
    </row>
    <row r="121" spans="1:1" x14ac:dyDescent="0.25">
      <c r="A121" s="319"/>
    </row>
    <row r="122" spans="1:1" x14ac:dyDescent="0.25">
      <c r="A122" s="319"/>
    </row>
    <row r="123" spans="1:1" x14ac:dyDescent="0.25">
      <c r="A123" s="319"/>
    </row>
    <row r="124" spans="1:1" x14ac:dyDescent="0.25">
      <c r="A124" s="319"/>
    </row>
    <row r="125" spans="1:1" x14ac:dyDescent="0.25">
      <c r="A125" s="319"/>
    </row>
    <row r="126" spans="1:1" x14ac:dyDescent="0.25">
      <c r="A126" s="319"/>
    </row>
    <row r="127" spans="1:1" x14ac:dyDescent="0.25">
      <c r="A127" s="319"/>
    </row>
    <row r="128" spans="1:1" x14ac:dyDescent="0.25">
      <c r="A128" s="319"/>
    </row>
    <row r="129" spans="1:1" x14ac:dyDescent="0.25">
      <c r="A129" s="319"/>
    </row>
    <row r="130" spans="1:1" x14ac:dyDescent="0.25">
      <c r="A130" s="319"/>
    </row>
    <row r="131" spans="1:1" x14ac:dyDescent="0.25">
      <c r="A131" s="319"/>
    </row>
    <row r="132" spans="1:1" x14ac:dyDescent="0.25">
      <c r="A132" s="319"/>
    </row>
    <row r="133" spans="1:1" x14ac:dyDescent="0.25">
      <c r="A133" s="319"/>
    </row>
    <row r="134" spans="1:1" x14ac:dyDescent="0.25">
      <c r="A134" s="319"/>
    </row>
    <row r="135" spans="1:1" x14ac:dyDescent="0.25">
      <c r="A135" s="319"/>
    </row>
    <row r="136" spans="1:1" x14ac:dyDescent="0.25">
      <c r="A136" s="319"/>
    </row>
    <row r="137" spans="1:1" x14ac:dyDescent="0.25">
      <c r="A137" s="319"/>
    </row>
    <row r="138" spans="1:1" x14ac:dyDescent="0.25">
      <c r="A138" s="319"/>
    </row>
    <row r="139" spans="1:1" x14ac:dyDescent="0.25">
      <c r="A139" s="319"/>
    </row>
    <row r="140" spans="1:1" x14ac:dyDescent="0.25">
      <c r="A140" s="319"/>
    </row>
    <row r="141" spans="1:1" x14ac:dyDescent="0.25">
      <c r="A141" s="319"/>
    </row>
    <row r="142" spans="1:1" x14ac:dyDescent="0.25">
      <c r="A142" s="319"/>
    </row>
    <row r="143" spans="1:1" x14ac:dyDescent="0.25">
      <c r="A143" s="319"/>
    </row>
    <row r="144" spans="1:1" x14ac:dyDescent="0.25">
      <c r="A144" s="319"/>
    </row>
    <row r="145" spans="1:1" x14ac:dyDescent="0.25">
      <c r="A145" s="319"/>
    </row>
    <row r="146" spans="1:1" x14ac:dyDescent="0.25">
      <c r="A146" s="319"/>
    </row>
    <row r="147" spans="1:1" x14ac:dyDescent="0.25">
      <c r="A147" s="319"/>
    </row>
    <row r="148" spans="1:1" x14ac:dyDescent="0.25">
      <c r="A148" s="319"/>
    </row>
    <row r="149" spans="1:1" x14ac:dyDescent="0.25">
      <c r="A149" s="319"/>
    </row>
    <row r="150" spans="1:1" x14ac:dyDescent="0.25">
      <c r="A150" s="319"/>
    </row>
    <row r="151" spans="1:1" x14ac:dyDescent="0.25">
      <c r="A151" s="319"/>
    </row>
    <row r="152" spans="1:1" x14ac:dyDescent="0.25">
      <c r="A152" s="319"/>
    </row>
    <row r="153" spans="1:1" x14ac:dyDescent="0.25">
      <c r="A153" s="319"/>
    </row>
    <row r="154" spans="1:1" x14ac:dyDescent="0.25">
      <c r="A154" s="319"/>
    </row>
    <row r="155" spans="1:1" x14ac:dyDescent="0.25">
      <c r="A155" s="319"/>
    </row>
    <row r="156" spans="1:1" x14ac:dyDescent="0.25">
      <c r="A156" s="319"/>
    </row>
    <row r="157" spans="1:1" x14ac:dyDescent="0.25">
      <c r="A157" s="319"/>
    </row>
    <row r="158" spans="1:1" x14ac:dyDescent="0.25">
      <c r="A158" s="319"/>
    </row>
    <row r="159" spans="1:1" x14ac:dyDescent="0.25">
      <c r="A159" s="319"/>
    </row>
    <row r="160" spans="1:1" x14ac:dyDescent="0.25">
      <c r="A160" s="319"/>
    </row>
    <row r="161" spans="1:1" x14ac:dyDescent="0.25">
      <c r="A161" s="319"/>
    </row>
    <row r="162" spans="1:1" x14ac:dyDescent="0.25">
      <c r="A162" s="319"/>
    </row>
    <row r="163" spans="1:1" x14ac:dyDescent="0.25">
      <c r="A163" s="319"/>
    </row>
    <row r="164" spans="1:1" x14ac:dyDescent="0.25">
      <c r="A164" s="319"/>
    </row>
    <row r="165" spans="1:1" x14ac:dyDescent="0.25">
      <c r="A165" s="319"/>
    </row>
    <row r="166" spans="1:1" x14ac:dyDescent="0.25">
      <c r="A166" s="319"/>
    </row>
    <row r="167" spans="1:1" x14ac:dyDescent="0.25">
      <c r="A167" s="319"/>
    </row>
    <row r="168" spans="1:1" x14ac:dyDescent="0.25">
      <c r="A168" s="319"/>
    </row>
    <row r="169" spans="1:1" x14ac:dyDescent="0.25">
      <c r="A169" s="319"/>
    </row>
    <row r="170" spans="1:1" x14ac:dyDescent="0.25">
      <c r="A170" s="319"/>
    </row>
    <row r="171" spans="1:1" x14ac:dyDescent="0.25">
      <c r="A171" s="319"/>
    </row>
    <row r="172" spans="1:1" x14ac:dyDescent="0.25">
      <c r="A172" s="319"/>
    </row>
    <row r="173" spans="1:1" x14ac:dyDescent="0.25">
      <c r="A173" s="319"/>
    </row>
    <row r="174" spans="1:1" x14ac:dyDescent="0.25">
      <c r="A174" s="319"/>
    </row>
    <row r="175" spans="1:1" x14ac:dyDescent="0.25">
      <c r="A175" s="319"/>
    </row>
    <row r="176" spans="1:1" x14ac:dyDescent="0.25">
      <c r="A176" s="319"/>
    </row>
    <row r="177" spans="1:1" x14ac:dyDescent="0.25">
      <c r="A177" s="319"/>
    </row>
    <row r="178" spans="1:1" x14ac:dyDescent="0.25">
      <c r="A178" s="319"/>
    </row>
    <row r="179" spans="1:1" x14ac:dyDescent="0.25">
      <c r="A179" s="319"/>
    </row>
    <row r="180" spans="1:1" x14ac:dyDescent="0.25">
      <c r="A180" s="319"/>
    </row>
    <row r="181" spans="1:1" x14ac:dyDescent="0.25">
      <c r="A181" s="319"/>
    </row>
    <row r="182" spans="1:1" x14ac:dyDescent="0.25">
      <c r="A182" s="319"/>
    </row>
    <row r="183" spans="1:1" x14ac:dyDescent="0.25">
      <c r="A183" s="319"/>
    </row>
    <row r="184" spans="1:1" x14ac:dyDescent="0.25">
      <c r="A184" s="319"/>
    </row>
    <row r="185" spans="1:1" x14ac:dyDescent="0.25">
      <c r="A185" s="319"/>
    </row>
    <row r="186" spans="1:1" x14ac:dyDescent="0.25">
      <c r="A186" s="319"/>
    </row>
    <row r="187" spans="1:1" x14ac:dyDescent="0.25">
      <c r="A187" s="319"/>
    </row>
    <row r="188" spans="1:1" x14ac:dyDescent="0.25">
      <c r="A188" s="319"/>
    </row>
    <row r="189" spans="1:1" x14ac:dyDescent="0.25">
      <c r="A189" s="319"/>
    </row>
    <row r="190" spans="1:1" x14ac:dyDescent="0.25">
      <c r="A190" s="319"/>
    </row>
    <row r="191" spans="1:1" x14ac:dyDescent="0.25">
      <c r="A191" s="319"/>
    </row>
    <row r="192" spans="1:1" x14ac:dyDescent="0.25">
      <c r="A192" s="319"/>
    </row>
    <row r="193" spans="1:1" x14ac:dyDescent="0.25">
      <c r="A193" s="319"/>
    </row>
    <row r="194" spans="1:1" x14ac:dyDescent="0.25">
      <c r="A194" s="319"/>
    </row>
    <row r="195" spans="1:1" x14ac:dyDescent="0.25">
      <c r="A195" s="319"/>
    </row>
    <row r="196" spans="1:1" x14ac:dyDescent="0.25">
      <c r="A196" s="319"/>
    </row>
    <row r="197" spans="1:1" x14ac:dyDescent="0.25">
      <c r="A197" s="319"/>
    </row>
    <row r="198" spans="1:1" x14ac:dyDescent="0.25">
      <c r="A198" s="319"/>
    </row>
    <row r="199" spans="1:1" x14ac:dyDescent="0.25">
      <c r="A199" s="319"/>
    </row>
    <row r="200" spans="1:1" x14ac:dyDescent="0.25">
      <c r="A200" s="319"/>
    </row>
    <row r="201" spans="1:1" x14ac:dyDescent="0.25">
      <c r="A201" s="319"/>
    </row>
    <row r="202" spans="1:1" x14ac:dyDescent="0.25">
      <c r="A202" s="319"/>
    </row>
    <row r="203" spans="1:1" x14ac:dyDescent="0.25">
      <c r="A203" s="319"/>
    </row>
    <row r="204" spans="1:1" x14ac:dyDescent="0.25">
      <c r="A204" s="319"/>
    </row>
    <row r="205" spans="1:1" x14ac:dyDescent="0.25">
      <c r="A205" s="319"/>
    </row>
    <row r="206" spans="1:1" x14ac:dyDescent="0.25">
      <c r="A206" s="319"/>
    </row>
    <row r="207" spans="1:1" x14ac:dyDescent="0.25">
      <c r="A207" s="319"/>
    </row>
    <row r="208" spans="1:1" x14ac:dyDescent="0.25">
      <c r="A208" s="319"/>
    </row>
    <row r="209" spans="1:1" x14ac:dyDescent="0.25">
      <c r="A209" s="319"/>
    </row>
    <row r="210" spans="1:1" x14ac:dyDescent="0.25">
      <c r="A210" s="319"/>
    </row>
    <row r="211" spans="1:1" x14ac:dyDescent="0.25">
      <c r="A211" s="319"/>
    </row>
    <row r="212" spans="1:1" x14ac:dyDescent="0.25">
      <c r="A212" s="319"/>
    </row>
    <row r="213" spans="1:1" x14ac:dyDescent="0.25">
      <c r="A213" s="319"/>
    </row>
    <row r="214" spans="1:1" x14ac:dyDescent="0.25">
      <c r="A214" s="319"/>
    </row>
    <row r="215" spans="1:1" x14ac:dyDescent="0.25">
      <c r="A215" s="319"/>
    </row>
    <row r="216" spans="1:1" x14ac:dyDescent="0.25">
      <c r="A216" s="319"/>
    </row>
    <row r="217" spans="1:1" x14ac:dyDescent="0.25">
      <c r="A217" s="319"/>
    </row>
    <row r="218" spans="1:1" x14ac:dyDescent="0.25">
      <c r="A218" s="319"/>
    </row>
    <row r="219" spans="1:1" x14ac:dyDescent="0.25">
      <c r="A219" s="319"/>
    </row>
    <row r="220" spans="1:1" x14ac:dyDescent="0.25">
      <c r="A220" s="319"/>
    </row>
    <row r="221" spans="1:1" x14ac:dyDescent="0.25">
      <c r="A221" s="319"/>
    </row>
    <row r="222" spans="1:1" x14ac:dyDescent="0.25">
      <c r="A222" s="319"/>
    </row>
    <row r="223" spans="1:1" x14ac:dyDescent="0.25">
      <c r="A223" s="319"/>
    </row>
    <row r="224" spans="1:1" x14ac:dyDescent="0.25">
      <c r="A224" s="319"/>
    </row>
    <row r="225" spans="1:1" x14ac:dyDescent="0.25">
      <c r="A225" s="319"/>
    </row>
    <row r="226" spans="1:1" x14ac:dyDescent="0.25">
      <c r="A226" s="319"/>
    </row>
    <row r="227" spans="1:1" x14ac:dyDescent="0.25">
      <c r="A227" s="319"/>
    </row>
    <row r="228" spans="1:1" x14ac:dyDescent="0.25">
      <c r="A228" s="319"/>
    </row>
    <row r="229" spans="1:1" x14ac:dyDescent="0.25">
      <c r="A229" s="319"/>
    </row>
    <row r="230" spans="1:1" x14ac:dyDescent="0.25">
      <c r="A230" s="319"/>
    </row>
    <row r="231" spans="1:1" x14ac:dyDescent="0.25">
      <c r="A231" s="319"/>
    </row>
    <row r="232" spans="1:1" x14ac:dyDescent="0.25">
      <c r="A232" s="319"/>
    </row>
    <row r="233" spans="1:1" x14ac:dyDescent="0.25">
      <c r="A233" s="319"/>
    </row>
    <row r="234" spans="1:1" x14ac:dyDescent="0.25">
      <c r="A234" s="319"/>
    </row>
    <row r="235" spans="1:1" x14ac:dyDescent="0.25">
      <c r="A235" s="319"/>
    </row>
    <row r="236" spans="1:1" x14ac:dyDescent="0.25">
      <c r="A236" s="319"/>
    </row>
    <row r="237" spans="1:1" x14ac:dyDescent="0.25">
      <c r="A237" s="319"/>
    </row>
    <row r="238" spans="1:1" x14ac:dyDescent="0.25">
      <c r="A238" s="319"/>
    </row>
    <row r="239" spans="1:1" x14ac:dyDescent="0.25">
      <c r="A239" s="319"/>
    </row>
    <row r="240" spans="1:1" x14ac:dyDescent="0.25">
      <c r="A240" s="319"/>
    </row>
    <row r="241" spans="1:1" x14ac:dyDescent="0.25">
      <c r="A241" s="319"/>
    </row>
    <row r="242" spans="1:1" x14ac:dyDescent="0.25">
      <c r="A242" s="319"/>
    </row>
    <row r="243" spans="1:1" x14ac:dyDescent="0.25">
      <c r="A243" s="319"/>
    </row>
    <row r="244" spans="1:1" x14ac:dyDescent="0.25">
      <c r="A244" s="319"/>
    </row>
    <row r="245" spans="1:1" x14ac:dyDescent="0.25">
      <c r="A245" s="319"/>
    </row>
    <row r="246" spans="1:1" x14ac:dyDescent="0.25">
      <c r="A246" s="319"/>
    </row>
    <row r="247" spans="1:1" x14ac:dyDescent="0.25">
      <c r="A247" s="319"/>
    </row>
    <row r="248" spans="1:1" x14ac:dyDescent="0.25">
      <c r="A248" s="319"/>
    </row>
    <row r="249" spans="1:1" x14ac:dyDescent="0.25">
      <c r="A249" s="319"/>
    </row>
    <row r="250" spans="1:1" x14ac:dyDescent="0.25">
      <c r="A250" s="319"/>
    </row>
    <row r="251" spans="1:1" x14ac:dyDescent="0.25">
      <c r="A251" s="319"/>
    </row>
    <row r="252" spans="1:1" x14ac:dyDescent="0.25">
      <c r="A252" s="319"/>
    </row>
    <row r="253" spans="1:1" x14ac:dyDescent="0.25">
      <c r="A253" s="319"/>
    </row>
    <row r="254" spans="1:1" x14ac:dyDescent="0.25">
      <c r="A254" s="319"/>
    </row>
    <row r="255" spans="1:1" x14ac:dyDescent="0.25">
      <c r="A255" s="319"/>
    </row>
    <row r="256" spans="1:1" x14ac:dyDescent="0.25">
      <c r="A256" s="319"/>
    </row>
    <row r="257" spans="1:1" x14ac:dyDescent="0.25">
      <c r="A257" s="319"/>
    </row>
    <row r="258" spans="1:1" x14ac:dyDescent="0.25">
      <c r="A258" s="319"/>
    </row>
    <row r="259" spans="1:1" x14ac:dyDescent="0.25">
      <c r="A259" s="319"/>
    </row>
    <row r="260" spans="1:1" x14ac:dyDescent="0.25">
      <c r="A260" s="319"/>
    </row>
    <row r="261" spans="1:1" x14ac:dyDescent="0.25">
      <c r="A261" s="319"/>
    </row>
    <row r="262" spans="1:1" x14ac:dyDescent="0.25">
      <c r="A262" s="319"/>
    </row>
    <row r="263" spans="1:1" x14ac:dyDescent="0.25">
      <c r="A263" s="319"/>
    </row>
    <row r="264" spans="1:1" x14ac:dyDescent="0.25">
      <c r="A264" s="319"/>
    </row>
    <row r="265" spans="1:1" x14ac:dyDescent="0.25">
      <c r="A265" s="319"/>
    </row>
    <row r="266" spans="1:1" x14ac:dyDescent="0.25">
      <c r="A266" s="319"/>
    </row>
    <row r="267" spans="1:1" x14ac:dyDescent="0.25">
      <c r="A267" s="319"/>
    </row>
    <row r="268" spans="1:1" x14ac:dyDescent="0.25">
      <c r="A268" s="319"/>
    </row>
    <row r="269" spans="1:1" x14ac:dyDescent="0.25">
      <c r="A269" s="319"/>
    </row>
    <row r="270" spans="1:1" x14ac:dyDescent="0.25">
      <c r="A270" s="319"/>
    </row>
    <row r="271" spans="1:1" x14ac:dyDescent="0.25">
      <c r="A271" s="319"/>
    </row>
    <row r="272" spans="1:1" x14ac:dyDescent="0.25">
      <c r="A272" s="319"/>
    </row>
    <row r="273" spans="1:1" x14ac:dyDescent="0.25">
      <c r="A273" s="319"/>
    </row>
    <row r="274" spans="1:1" x14ac:dyDescent="0.25">
      <c r="A274" s="319"/>
    </row>
    <row r="275" spans="1:1" x14ac:dyDescent="0.25">
      <c r="A275" s="319"/>
    </row>
    <row r="276" spans="1:1" x14ac:dyDescent="0.25">
      <c r="A276" s="319"/>
    </row>
    <row r="277" spans="1:1" x14ac:dyDescent="0.25">
      <c r="A277" s="319"/>
    </row>
    <row r="278" spans="1:1" x14ac:dyDescent="0.25">
      <c r="A278" s="319"/>
    </row>
    <row r="279" spans="1:1" x14ac:dyDescent="0.25">
      <c r="A279" s="319"/>
    </row>
    <row r="280" spans="1:1" x14ac:dyDescent="0.25">
      <c r="A280" s="319"/>
    </row>
    <row r="281" spans="1:1" x14ac:dyDescent="0.25">
      <c r="A281" s="319"/>
    </row>
    <row r="282" spans="1:1" x14ac:dyDescent="0.25">
      <c r="A282" s="319"/>
    </row>
    <row r="283" spans="1:1" x14ac:dyDescent="0.25">
      <c r="A283" s="319"/>
    </row>
    <row r="284" spans="1:1" x14ac:dyDescent="0.25">
      <c r="A284" s="319"/>
    </row>
    <row r="285" spans="1:1" x14ac:dyDescent="0.25">
      <c r="A285" s="319"/>
    </row>
    <row r="286" spans="1:1" x14ac:dyDescent="0.25">
      <c r="A286" s="319"/>
    </row>
    <row r="287" spans="1:1" x14ac:dyDescent="0.25">
      <c r="A287" s="319"/>
    </row>
    <row r="288" spans="1:1" x14ac:dyDescent="0.25">
      <c r="A288" s="319"/>
    </row>
    <row r="289" spans="1:1" x14ac:dyDescent="0.25">
      <c r="A289" s="319"/>
    </row>
    <row r="290" spans="1:1" x14ac:dyDescent="0.25">
      <c r="A290" s="319"/>
    </row>
    <row r="291" spans="1:1" x14ac:dyDescent="0.25">
      <c r="A291" s="319"/>
    </row>
    <row r="292" spans="1:1" x14ac:dyDescent="0.25">
      <c r="A292" s="319"/>
    </row>
    <row r="293" spans="1:1" x14ac:dyDescent="0.25">
      <c r="A293" s="319"/>
    </row>
    <row r="294" spans="1:1" x14ac:dyDescent="0.25">
      <c r="A294" s="319"/>
    </row>
    <row r="295" spans="1:1" x14ac:dyDescent="0.25">
      <c r="A295" s="319"/>
    </row>
    <row r="296" spans="1:1" x14ac:dyDescent="0.25">
      <c r="A296" s="319"/>
    </row>
    <row r="297" spans="1:1" x14ac:dyDescent="0.25">
      <c r="A297" s="319"/>
    </row>
    <row r="298" spans="1:1" x14ac:dyDescent="0.25">
      <c r="A298" s="319"/>
    </row>
    <row r="299" spans="1:1" x14ac:dyDescent="0.25">
      <c r="A299" s="319"/>
    </row>
    <row r="300" spans="1:1" x14ac:dyDescent="0.25">
      <c r="A300" s="319"/>
    </row>
    <row r="301" spans="1:1" x14ac:dyDescent="0.25">
      <c r="A301" s="319"/>
    </row>
    <row r="302" spans="1:1" x14ac:dyDescent="0.25">
      <c r="A302" s="319"/>
    </row>
    <row r="303" spans="1:1" x14ac:dyDescent="0.25">
      <c r="A303" s="319"/>
    </row>
    <row r="304" spans="1:1" x14ac:dyDescent="0.25">
      <c r="A304" s="319"/>
    </row>
    <row r="305" spans="1:1" x14ac:dyDescent="0.25">
      <c r="A305" s="319"/>
    </row>
    <row r="306" spans="1:1" x14ac:dyDescent="0.25">
      <c r="A306" s="319"/>
    </row>
    <row r="307" spans="1:1" x14ac:dyDescent="0.25">
      <c r="A307" s="319"/>
    </row>
    <row r="308" spans="1:1" x14ac:dyDescent="0.25">
      <c r="A308" s="319"/>
    </row>
    <row r="309" spans="1:1" x14ac:dyDescent="0.25">
      <c r="A309" s="319"/>
    </row>
    <row r="310" spans="1:1" x14ac:dyDescent="0.25">
      <c r="A310" s="319"/>
    </row>
    <row r="311" spans="1:1" x14ac:dyDescent="0.25">
      <c r="A311" s="319"/>
    </row>
    <row r="312" spans="1:1" x14ac:dyDescent="0.25">
      <c r="A312" s="319"/>
    </row>
    <row r="313" spans="1:1" x14ac:dyDescent="0.25">
      <c r="A313" s="319"/>
    </row>
    <row r="314" spans="1:1" x14ac:dyDescent="0.25">
      <c r="A314" s="319"/>
    </row>
    <row r="315" spans="1:1" x14ac:dyDescent="0.25">
      <c r="A315" s="319"/>
    </row>
    <row r="316" spans="1:1" x14ac:dyDescent="0.25">
      <c r="A316" s="319"/>
    </row>
    <row r="317" spans="1:1" x14ac:dyDescent="0.25">
      <c r="A317" s="319"/>
    </row>
    <row r="318" spans="1:1" x14ac:dyDescent="0.25">
      <c r="A318" s="319"/>
    </row>
    <row r="319" spans="1:1" x14ac:dyDescent="0.25">
      <c r="A319" s="319"/>
    </row>
    <row r="320" spans="1:1" x14ac:dyDescent="0.25">
      <c r="A320" s="319"/>
    </row>
    <row r="321" spans="1:1" x14ac:dyDescent="0.25">
      <c r="A321" s="319"/>
    </row>
    <row r="322" spans="1:1" x14ac:dyDescent="0.25">
      <c r="A322" s="319"/>
    </row>
    <row r="323" spans="1:1" x14ac:dyDescent="0.25">
      <c r="A323" s="319"/>
    </row>
    <row r="324" spans="1:1" x14ac:dyDescent="0.25">
      <c r="A324" s="319"/>
    </row>
    <row r="325" spans="1:1" x14ac:dyDescent="0.25">
      <c r="A325" s="319"/>
    </row>
    <row r="326" spans="1:1" x14ac:dyDescent="0.25">
      <c r="A326" s="319"/>
    </row>
    <row r="327" spans="1:1" x14ac:dyDescent="0.25">
      <c r="A327" s="319"/>
    </row>
    <row r="328" spans="1:1" x14ac:dyDescent="0.25">
      <c r="A328" s="319"/>
    </row>
    <row r="329" spans="1:1" x14ac:dyDescent="0.25">
      <c r="A329" s="319"/>
    </row>
    <row r="330" spans="1:1" x14ac:dyDescent="0.25">
      <c r="A330" s="319"/>
    </row>
    <row r="331" spans="1:1" x14ac:dyDescent="0.25">
      <c r="A331" s="319"/>
    </row>
    <row r="332" spans="1:1" x14ac:dyDescent="0.25">
      <c r="A332" s="319"/>
    </row>
    <row r="333" spans="1:1" x14ac:dyDescent="0.25">
      <c r="A333" s="319"/>
    </row>
    <row r="334" spans="1:1" x14ac:dyDescent="0.25">
      <c r="A334" s="319"/>
    </row>
    <row r="335" spans="1:1" x14ac:dyDescent="0.25">
      <c r="A335" s="319"/>
    </row>
    <row r="336" spans="1:1" x14ac:dyDescent="0.25">
      <c r="A336" s="319"/>
    </row>
    <row r="337" spans="1:1" x14ac:dyDescent="0.25">
      <c r="A337" s="319"/>
    </row>
    <row r="338" spans="1:1" x14ac:dyDescent="0.25">
      <c r="A338" s="319"/>
    </row>
    <row r="339" spans="1:1" x14ac:dyDescent="0.25">
      <c r="A339" s="319"/>
    </row>
    <row r="340" spans="1:1" x14ac:dyDescent="0.25">
      <c r="A340" s="319"/>
    </row>
    <row r="341" spans="1:1" x14ac:dyDescent="0.25">
      <c r="A341" s="319"/>
    </row>
    <row r="342" spans="1:1" x14ac:dyDescent="0.25">
      <c r="A342" s="319"/>
    </row>
    <row r="343" spans="1:1" x14ac:dyDescent="0.25">
      <c r="A343" s="319"/>
    </row>
    <row r="344" spans="1:1" x14ac:dyDescent="0.25">
      <c r="A344" s="319"/>
    </row>
    <row r="345" spans="1:1" x14ac:dyDescent="0.25">
      <c r="A345" s="319"/>
    </row>
    <row r="346" spans="1:1" x14ac:dyDescent="0.25">
      <c r="A346" s="319"/>
    </row>
    <row r="347" spans="1:1" x14ac:dyDescent="0.25">
      <c r="A347" s="319"/>
    </row>
    <row r="348" spans="1:1" x14ac:dyDescent="0.25">
      <c r="A348" s="319"/>
    </row>
    <row r="349" spans="1:1" x14ac:dyDescent="0.25">
      <c r="A349" s="319"/>
    </row>
    <row r="350" spans="1:1" x14ac:dyDescent="0.25">
      <c r="A350" s="319"/>
    </row>
    <row r="351" spans="1:1" x14ac:dyDescent="0.25">
      <c r="A351" s="319"/>
    </row>
    <row r="352" spans="1:1" x14ac:dyDescent="0.25">
      <c r="A352" s="319"/>
    </row>
    <row r="353" spans="1:1" x14ac:dyDescent="0.25">
      <c r="A353" s="319"/>
    </row>
    <row r="354" spans="1:1" x14ac:dyDescent="0.25">
      <c r="A354" s="319"/>
    </row>
    <row r="355" spans="1:1" x14ac:dyDescent="0.25">
      <c r="A355" s="319"/>
    </row>
    <row r="356" spans="1:1" x14ac:dyDescent="0.25">
      <c r="A356" s="319"/>
    </row>
    <row r="357" spans="1:1" x14ac:dyDescent="0.25">
      <c r="A357" s="319"/>
    </row>
    <row r="358" spans="1:1" x14ac:dyDescent="0.25">
      <c r="A358" s="319"/>
    </row>
    <row r="359" spans="1:1" x14ac:dyDescent="0.25">
      <c r="A359" s="319"/>
    </row>
    <row r="360" spans="1:1" x14ac:dyDescent="0.25">
      <c r="A360" s="319"/>
    </row>
    <row r="361" spans="1:1" x14ac:dyDescent="0.25">
      <c r="A361" s="319"/>
    </row>
    <row r="362" spans="1:1" x14ac:dyDescent="0.25">
      <c r="A362" s="319"/>
    </row>
    <row r="363" spans="1:1" x14ac:dyDescent="0.25">
      <c r="A363" s="319"/>
    </row>
    <row r="364" spans="1:1" x14ac:dyDescent="0.25">
      <c r="A364" s="319"/>
    </row>
    <row r="365" spans="1:1" x14ac:dyDescent="0.25">
      <c r="A365" s="319"/>
    </row>
    <row r="366" spans="1:1" x14ac:dyDescent="0.25">
      <c r="A366" s="319"/>
    </row>
    <row r="367" spans="1:1" x14ac:dyDescent="0.25">
      <c r="A367" s="319"/>
    </row>
    <row r="368" spans="1:1" x14ac:dyDescent="0.25">
      <c r="A368" s="319"/>
    </row>
    <row r="369" spans="1:1" x14ac:dyDescent="0.25">
      <c r="A369" s="319"/>
    </row>
    <row r="370" spans="1:1" x14ac:dyDescent="0.25">
      <c r="A370" s="319"/>
    </row>
    <row r="371" spans="1:1" x14ac:dyDescent="0.25">
      <c r="A371" s="319"/>
    </row>
    <row r="372" spans="1:1" x14ac:dyDescent="0.25">
      <c r="A372" s="319"/>
    </row>
    <row r="373" spans="1:1" x14ac:dyDescent="0.25">
      <c r="A373" s="319"/>
    </row>
    <row r="374" spans="1:1" x14ac:dyDescent="0.25">
      <c r="A374" s="319"/>
    </row>
    <row r="375" spans="1:1" x14ac:dyDescent="0.25">
      <c r="A375" s="319"/>
    </row>
    <row r="376" spans="1:1" x14ac:dyDescent="0.25">
      <c r="A376" s="319"/>
    </row>
    <row r="377" spans="1:1" x14ac:dyDescent="0.25">
      <c r="A377" s="319"/>
    </row>
    <row r="378" spans="1:1" x14ac:dyDescent="0.25">
      <c r="A378" s="319"/>
    </row>
    <row r="379" spans="1:1" x14ac:dyDescent="0.25">
      <c r="A379" s="319"/>
    </row>
    <row r="380" spans="1:1" x14ac:dyDescent="0.25">
      <c r="A380" s="319"/>
    </row>
    <row r="381" spans="1:1" x14ac:dyDescent="0.25">
      <c r="A381" s="319"/>
    </row>
    <row r="382" spans="1:1" x14ac:dyDescent="0.25">
      <c r="A382" s="319"/>
    </row>
    <row r="383" spans="1:1" x14ac:dyDescent="0.25">
      <c r="A383" s="319"/>
    </row>
    <row r="384" spans="1:1" x14ac:dyDescent="0.25">
      <c r="A384" s="319"/>
    </row>
    <row r="385" spans="1:1" x14ac:dyDescent="0.25">
      <c r="A385" s="319"/>
    </row>
    <row r="386" spans="1:1" x14ac:dyDescent="0.25">
      <c r="A386" s="319"/>
    </row>
    <row r="387" spans="1:1" x14ac:dyDescent="0.25">
      <c r="A387" s="319"/>
    </row>
    <row r="388" spans="1:1" x14ac:dyDescent="0.25">
      <c r="A388" s="319"/>
    </row>
    <row r="389" spans="1:1" x14ac:dyDescent="0.25">
      <c r="A389" s="319"/>
    </row>
    <row r="390" spans="1:1" x14ac:dyDescent="0.25">
      <c r="A390" s="319"/>
    </row>
    <row r="391" spans="1:1" x14ac:dyDescent="0.25">
      <c r="A391" s="319"/>
    </row>
    <row r="392" spans="1:1" x14ac:dyDescent="0.25">
      <c r="A392" s="319"/>
    </row>
    <row r="393" spans="1:1" x14ac:dyDescent="0.25">
      <c r="A393" s="319"/>
    </row>
    <row r="394" spans="1:1" x14ac:dyDescent="0.25">
      <c r="A394" s="319"/>
    </row>
    <row r="395" spans="1:1" x14ac:dyDescent="0.25">
      <c r="A395" s="319"/>
    </row>
    <row r="396" spans="1:1" x14ac:dyDescent="0.25">
      <c r="A396" s="319"/>
    </row>
    <row r="397" spans="1:1" x14ac:dyDescent="0.25">
      <c r="A397" s="319"/>
    </row>
    <row r="398" spans="1:1" x14ac:dyDescent="0.25">
      <c r="A398" s="319"/>
    </row>
    <row r="399" spans="1:1" x14ac:dyDescent="0.25">
      <c r="A399" s="319"/>
    </row>
    <row r="400" spans="1:1" x14ac:dyDescent="0.25">
      <c r="A400" s="319"/>
    </row>
    <row r="401" spans="1:1" x14ac:dyDescent="0.25">
      <c r="A401" s="319"/>
    </row>
    <row r="402" spans="1:1" x14ac:dyDescent="0.25">
      <c r="A402" s="319"/>
    </row>
    <row r="403" spans="1:1" x14ac:dyDescent="0.25">
      <c r="A403" s="319"/>
    </row>
    <row r="404" spans="1:1" x14ac:dyDescent="0.25">
      <c r="A404" s="319"/>
    </row>
    <row r="405" spans="1:1" x14ac:dyDescent="0.25">
      <c r="A405" s="319"/>
    </row>
    <row r="406" spans="1:1" x14ac:dyDescent="0.25">
      <c r="A406" s="319"/>
    </row>
    <row r="407" spans="1:1" x14ac:dyDescent="0.25">
      <c r="A407" s="319"/>
    </row>
    <row r="408" spans="1:1" x14ac:dyDescent="0.25">
      <c r="A408" s="319"/>
    </row>
    <row r="409" spans="1:1" x14ac:dyDescent="0.25">
      <c r="A409" s="319"/>
    </row>
    <row r="410" spans="1:1" x14ac:dyDescent="0.25">
      <c r="A410" s="319"/>
    </row>
    <row r="411" spans="1:1" x14ac:dyDescent="0.25">
      <c r="A411" s="319"/>
    </row>
    <row r="412" spans="1:1" x14ac:dyDescent="0.25">
      <c r="A412" s="319"/>
    </row>
    <row r="413" spans="1:1" x14ac:dyDescent="0.25">
      <c r="A413" s="319"/>
    </row>
    <row r="414" spans="1:1" x14ac:dyDescent="0.25">
      <c r="A414" s="319"/>
    </row>
    <row r="415" spans="1:1" x14ac:dyDescent="0.25">
      <c r="A415" s="319"/>
    </row>
    <row r="416" spans="1:1" x14ac:dyDescent="0.25">
      <c r="A416" s="319"/>
    </row>
    <row r="417" spans="1:1" x14ac:dyDescent="0.25">
      <c r="A417" s="319"/>
    </row>
    <row r="418" spans="1:1" x14ac:dyDescent="0.25">
      <c r="A418" s="319"/>
    </row>
    <row r="419" spans="1:1" x14ac:dyDescent="0.25">
      <c r="A419" s="319"/>
    </row>
    <row r="420" spans="1:1" x14ac:dyDescent="0.25">
      <c r="A420" s="319"/>
    </row>
    <row r="421" spans="1:1" x14ac:dyDescent="0.25">
      <c r="A421" s="319"/>
    </row>
    <row r="422" spans="1:1" x14ac:dyDescent="0.25">
      <c r="A422" s="319"/>
    </row>
    <row r="423" spans="1:1" x14ac:dyDescent="0.25">
      <c r="A423" s="319"/>
    </row>
    <row r="424" spans="1:1" x14ac:dyDescent="0.25">
      <c r="A424" s="319"/>
    </row>
    <row r="425" spans="1:1" x14ac:dyDescent="0.25">
      <c r="A425" s="319"/>
    </row>
    <row r="426" spans="1:1" x14ac:dyDescent="0.25">
      <c r="A426" s="319"/>
    </row>
    <row r="427" spans="1:1" x14ac:dyDescent="0.25">
      <c r="A427" s="319"/>
    </row>
    <row r="428" spans="1:1" x14ac:dyDescent="0.25">
      <c r="A428" s="319"/>
    </row>
    <row r="429" spans="1:1" x14ac:dyDescent="0.25">
      <c r="A429" s="319"/>
    </row>
    <row r="430" spans="1:1" x14ac:dyDescent="0.25">
      <c r="A430" s="319"/>
    </row>
    <row r="431" spans="1:1" x14ac:dyDescent="0.25">
      <c r="A431" s="319"/>
    </row>
    <row r="432" spans="1:1" x14ac:dyDescent="0.25">
      <c r="A432" s="319"/>
    </row>
    <row r="433" spans="1:1" x14ac:dyDescent="0.25">
      <c r="A433" s="319"/>
    </row>
    <row r="434" spans="1:1" x14ac:dyDescent="0.25">
      <c r="A434" s="319"/>
    </row>
    <row r="435" spans="1:1" x14ac:dyDescent="0.25">
      <c r="A435" s="319"/>
    </row>
    <row r="436" spans="1:1" x14ac:dyDescent="0.25">
      <c r="A436" s="319"/>
    </row>
    <row r="437" spans="1:1" x14ac:dyDescent="0.25">
      <c r="A437" s="319"/>
    </row>
    <row r="438" spans="1:1" x14ac:dyDescent="0.25">
      <c r="A438" s="319"/>
    </row>
    <row r="439" spans="1:1" x14ac:dyDescent="0.25">
      <c r="A439" s="319"/>
    </row>
    <row r="440" spans="1:1" x14ac:dyDescent="0.25">
      <c r="A440" s="319"/>
    </row>
    <row r="441" spans="1:1" x14ac:dyDescent="0.25">
      <c r="A441" s="319"/>
    </row>
    <row r="442" spans="1:1" x14ac:dyDescent="0.25">
      <c r="A442" s="319"/>
    </row>
    <row r="443" spans="1:1" x14ac:dyDescent="0.25">
      <c r="A443" s="319"/>
    </row>
    <row r="444" spans="1:1" x14ac:dyDescent="0.25">
      <c r="A444" s="319"/>
    </row>
    <row r="445" spans="1:1" x14ac:dyDescent="0.25">
      <c r="A445" s="319"/>
    </row>
    <row r="446" spans="1:1" x14ac:dyDescent="0.25">
      <c r="A446" s="319"/>
    </row>
    <row r="447" spans="1:1" x14ac:dyDescent="0.25">
      <c r="A447" s="319"/>
    </row>
    <row r="448" spans="1:1" x14ac:dyDescent="0.25">
      <c r="A448" s="319"/>
    </row>
    <row r="449" spans="1:1" x14ac:dyDescent="0.25">
      <c r="A449" s="319"/>
    </row>
    <row r="450" spans="1:1" x14ac:dyDescent="0.25">
      <c r="A450" s="319"/>
    </row>
    <row r="451" spans="1:1" x14ac:dyDescent="0.25">
      <c r="A451" s="319"/>
    </row>
    <row r="452" spans="1:1" x14ac:dyDescent="0.25">
      <c r="A452" s="319"/>
    </row>
    <row r="453" spans="1:1" x14ac:dyDescent="0.25">
      <c r="A453" s="319"/>
    </row>
    <row r="454" spans="1:1" x14ac:dyDescent="0.25">
      <c r="A454" s="319"/>
    </row>
    <row r="455" spans="1:1" x14ac:dyDescent="0.25">
      <c r="A455" s="319"/>
    </row>
    <row r="456" spans="1:1" x14ac:dyDescent="0.25">
      <c r="A456" s="319"/>
    </row>
    <row r="457" spans="1:1" x14ac:dyDescent="0.25">
      <c r="A457" s="319"/>
    </row>
    <row r="458" spans="1:1" x14ac:dyDescent="0.25">
      <c r="A458" s="319"/>
    </row>
    <row r="459" spans="1:1" x14ac:dyDescent="0.25">
      <c r="A459" s="319"/>
    </row>
    <row r="460" spans="1:1" x14ac:dyDescent="0.25">
      <c r="A460" s="319"/>
    </row>
    <row r="461" spans="1:1" x14ac:dyDescent="0.25">
      <c r="A461" s="319"/>
    </row>
    <row r="462" spans="1:1" x14ac:dyDescent="0.25">
      <c r="A462" s="319"/>
    </row>
    <row r="463" spans="1:1" x14ac:dyDescent="0.25">
      <c r="A463" s="319"/>
    </row>
    <row r="464" spans="1:1" x14ac:dyDescent="0.25">
      <c r="A464" s="319"/>
    </row>
    <row r="465" spans="1:1" x14ac:dyDescent="0.25">
      <c r="A465" s="319"/>
    </row>
    <row r="466" spans="1:1" x14ac:dyDescent="0.25">
      <c r="A466" s="319"/>
    </row>
    <row r="467" spans="1:1" x14ac:dyDescent="0.25">
      <c r="A467" s="319"/>
    </row>
    <row r="468" spans="1:1" x14ac:dyDescent="0.25">
      <c r="A468" s="319"/>
    </row>
    <row r="469" spans="1:1" x14ac:dyDescent="0.25">
      <c r="A469" s="319"/>
    </row>
    <row r="470" spans="1:1" x14ac:dyDescent="0.25">
      <c r="A470" s="319"/>
    </row>
    <row r="471" spans="1:1" x14ac:dyDescent="0.25">
      <c r="A471" s="319"/>
    </row>
    <row r="472" spans="1:1" x14ac:dyDescent="0.25">
      <c r="A472" s="319"/>
    </row>
    <row r="473" spans="1:1" x14ac:dyDescent="0.25">
      <c r="A473" s="319"/>
    </row>
    <row r="474" spans="1:1" x14ac:dyDescent="0.25">
      <c r="A474" s="319"/>
    </row>
    <row r="475" spans="1:1" x14ac:dyDescent="0.25">
      <c r="A475" s="319"/>
    </row>
    <row r="476" spans="1:1" x14ac:dyDescent="0.25">
      <c r="A476" s="319"/>
    </row>
    <row r="477" spans="1:1" x14ac:dyDescent="0.25">
      <c r="A477" s="319"/>
    </row>
    <row r="478" spans="1:1" x14ac:dyDescent="0.25">
      <c r="A478" s="319"/>
    </row>
    <row r="479" spans="1:1" x14ac:dyDescent="0.25">
      <c r="A479" s="319"/>
    </row>
    <row r="480" spans="1:1" x14ac:dyDescent="0.25">
      <c r="A480" s="319"/>
    </row>
    <row r="481" spans="1:1" x14ac:dyDescent="0.25">
      <c r="A481" s="319"/>
    </row>
    <row r="482" spans="1:1" x14ac:dyDescent="0.25">
      <c r="A482" s="319"/>
    </row>
    <row r="483" spans="1:1" x14ac:dyDescent="0.25">
      <c r="A483" s="319"/>
    </row>
    <row r="484" spans="1:1" x14ac:dyDescent="0.25">
      <c r="A484" s="319"/>
    </row>
    <row r="485" spans="1:1" x14ac:dyDescent="0.25">
      <c r="A485" s="319"/>
    </row>
    <row r="486" spans="1:1" x14ac:dyDescent="0.25">
      <c r="A486" s="319"/>
    </row>
    <row r="487" spans="1:1" x14ac:dyDescent="0.25">
      <c r="A487" s="319"/>
    </row>
    <row r="488" spans="1:1" x14ac:dyDescent="0.25">
      <c r="A488" s="319"/>
    </row>
    <row r="489" spans="1:1" x14ac:dyDescent="0.25">
      <c r="A489" s="319"/>
    </row>
    <row r="490" spans="1:1" x14ac:dyDescent="0.25">
      <c r="A490" s="319"/>
    </row>
    <row r="491" spans="1:1" x14ac:dyDescent="0.25">
      <c r="A491" s="319"/>
    </row>
    <row r="492" spans="1:1" x14ac:dyDescent="0.25">
      <c r="A492" s="319"/>
    </row>
    <row r="493" spans="1:1" x14ac:dyDescent="0.25">
      <c r="A493" s="319"/>
    </row>
    <row r="494" spans="1:1" x14ac:dyDescent="0.25">
      <c r="A494" s="319"/>
    </row>
    <row r="495" spans="1:1" x14ac:dyDescent="0.25">
      <c r="A495" s="319"/>
    </row>
    <row r="496" spans="1:1" x14ac:dyDescent="0.25">
      <c r="A496" s="319"/>
    </row>
    <row r="497" spans="1:1" x14ac:dyDescent="0.25">
      <c r="A497" s="319"/>
    </row>
    <row r="498" spans="1:1" x14ac:dyDescent="0.25">
      <c r="A498" s="319"/>
    </row>
    <row r="499" spans="1:1" x14ac:dyDescent="0.25">
      <c r="A499" s="319"/>
    </row>
    <row r="500" spans="1:1" x14ac:dyDescent="0.25">
      <c r="A500" s="319"/>
    </row>
    <row r="501" spans="1:1" x14ac:dyDescent="0.25">
      <c r="A501" s="319"/>
    </row>
    <row r="502" spans="1:1" x14ac:dyDescent="0.25">
      <c r="A502" s="319"/>
    </row>
    <row r="503" spans="1:1" x14ac:dyDescent="0.25">
      <c r="A503" s="319"/>
    </row>
    <row r="504" spans="1:1" x14ac:dyDescent="0.25">
      <c r="A504" s="319"/>
    </row>
    <row r="505" spans="1:1" x14ac:dyDescent="0.25">
      <c r="A505" s="319"/>
    </row>
    <row r="506" spans="1:1" x14ac:dyDescent="0.25">
      <c r="A506" s="319"/>
    </row>
    <row r="507" spans="1:1" x14ac:dyDescent="0.25">
      <c r="A507" s="319"/>
    </row>
    <row r="508" spans="1:1" x14ac:dyDescent="0.25">
      <c r="A508" s="319"/>
    </row>
    <row r="509" spans="1:1" x14ac:dyDescent="0.25">
      <c r="A509" s="319"/>
    </row>
    <row r="510" spans="1:1" x14ac:dyDescent="0.25">
      <c r="A510" s="319"/>
    </row>
    <row r="511" spans="1:1" x14ac:dyDescent="0.25">
      <c r="A511" s="319"/>
    </row>
    <row r="512" spans="1:1" x14ac:dyDescent="0.25">
      <c r="A512" s="319"/>
    </row>
    <row r="513" spans="1:1" x14ac:dyDescent="0.25">
      <c r="A513" s="319"/>
    </row>
    <row r="514" spans="1:1" x14ac:dyDescent="0.25">
      <c r="A514" s="319"/>
    </row>
    <row r="515" spans="1:1" x14ac:dyDescent="0.25">
      <c r="A515" s="319"/>
    </row>
    <row r="516" spans="1:1" x14ac:dyDescent="0.25">
      <c r="A516" s="319"/>
    </row>
    <row r="517" spans="1:1" x14ac:dyDescent="0.25">
      <c r="A517" s="319"/>
    </row>
    <row r="518" spans="1:1" x14ac:dyDescent="0.25">
      <c r="A518" s="319"/>
    </row>
    <row r="519" spans="1:1" x14ac:dyDescent="0.25">
      <c r="A519" s="319"/>
    </row>
    <row r="520" spans="1:1" x14ac:dyDescent="0.25">
      <c r="A520" s="319"/>
    </row>
    <row r="521" spans="1:1" x14ac:dyDescent="0.25">
      <c r="A521" s="319"/>
    </row>
    <row r="522" spans="1:1" x14ac:dyDescent="0.25">
      <c r="A522" s="319"/>
    </row>
    <row r="523" spans="1:1" x14ac:dyDescent="0.25">
      <c r="A523" s="319"/>
    </row>
    <row r="524" spans="1:1" x14ac:dyDescent="0.25">
      <c r="A524" s="319"/>
    </row>
    <row r="525" spans="1:1" x14ac:dyDescent="0.25">
      <c r="A525" s="319"/>
    </row>
    <row r="526" spans="1:1" x14ac:dyDescent="0.25">
      <c r="A526" s="319"/>
    </row>
    <row r="527" spans="1:1" x14ac:dyDescent="0.25">
      <c r="A527" s="319"/>
    </row>
    <row r="528" spans="1:1" x14ac:dyDescent="0.25">
      <c r="A528" s="319"/>
    </row>
    <row r="529" spans="1:1" x14ac:dyDescent="0.25">
      <c r="A529" s="319"/>
    </row>
    <row r="530" spans="1:1" x14ac:dyDescent="0.25">
      <c r="A530" s="319"/>
    </row>
    <row r="531" spans="1:1" x14ac:dyDescent="0.25">
      <c r="A531" s="319"/>
    </row>
    <row r="532" spans="1:1" x14ac:dyDescent="0.25">
      <c r="A532" s="319"/>
    </row>
    <row r="533" spans="1:1" x14ac:dyDescent="0.25">
      <c r="A533" s="319"/>
    </row>
    <row r="534" spans="1:1" x14ac:dyDescent="0.25">
      <c r="A534" s="319"/>
    </row>
    <row r="535" spans="1:1" x14ac:dyDescent="0.25">
      <c r="A535" s="319"/>
    </row>
    <row r="536" spans="1:1" x14ac:dyDescent="0.25">
      <c r="A536" s="319"/>
    </row>
    <row r="537" spans="1:1" x14ac:dyDescent="0.25">
      <c r="A537" s="319"/>
    </row>
    <row r="538" spans="1:1" x14ac:dyDescent="0.25">
      <c r="A538" s="319"/>
    </row>
    <row r="539" spans="1:1" x14ac:dyDescent="0.25">
      <c r="A539" s="319"/>
    </row>
    <row r="540" spans="1:1" x14ac:dyDescent="0.25">
      <c r="A540" s="319"/>
    </row>
    <row r="541" spans="1:1" x14ac:dyDescent="0.25">
      <c r="A541" s="319"/>
    </row>
    <row r="542" spans="1:1" x14ac:dyDescent="0.25">
      <c r="A542" s="319"/>
    </row>
    <row r="543" spans="1:1" x14ac:dyDescent="0.25">
      <c r="A543" s="319"/>
    </row>
    <row r="544" spans="1:1" x14ac:dyDescent="0.25">
      <c r="A544" s="319"/>
    </row>
    <row r="545" spans="1:1" x14ac:dyDescent="0.25">
      <c r="A545" s="319"/>
    </row>
    <row r="546" spans="1:1" x14ac:dyDescent="0.25">
      <c r="A546" s="319"/>
    </row>
    <row r="547" spans="1:1" x14ac:dyDescent="0.25">
      <c r="A547" s="319"/>
    </row>
    <row r="548" spans="1:1" x14ac:dyDescent="0.25">
      <c r="A548" s="319"/>
    </row>
    <row r="549" spans="1:1" x14ac:dyDescent="0.25">
      <c r="A549" s="319"/>
    </row>
    <row r="550" spans="1:1" x14ac:dyDescent="0.25">
      <c r="A550" s="319"/>
    </row>
    <row r="551" spans="1:1" x14ac:dyDescent="0.25">
      <c r="A551" s="319"/>
    </row>
    <row r="552" spans="1:1" x14ac:dyDescent="0.25">
      <c r="A552" s="319"/>
    </row>
    <row r="553" spans="1:1" x14ac:dyDescent="0.25">
      <c r="A553" s="319"/>
    </row>
    <row r="554" spans="1:1" x14ac:dyDescent="0.25">
      <c r="A554" s="319"/>
    </row>
    <row r="555" spans="1:1" x14ac:dyDescent="0.25">
      <c r="A555" s="319"/>
    </row>
    <row r="556" spans="1:1" x14ac:dyDescent="0.25">
      <c r="A556" s="319"/>
    </row>
    <row r="557" spans="1:1" x14ac:dyDescent="0.25">
      <c r="A557" s="319"/>
    </row>
    <row r="558" spans="1:1" x14ac:dyDescent="0.25">
      <c r="A558" s="319"/>
    </row>
    <row r="559" spans="1:1" x14ac:dyDescent="0.25">
      <c r="A559" s="319"/>
    </row>
    <row r="560" spans="1:1" x14ac:dyDescent="0.25">
      <c r="A560" s="319"/>
    </row>
    <row r="561" spans="1:1" x14ac:dyDescent="0.25">
      <c r="A561" s="319"/>
    </row>
    <row r="562" spans="1:1" x14ac:dyDescent="0.25">
      <c r="A562" s="319"/>
    </row>
    <row r="563" spans="1:1" x14ac:dyDescent="0.25">
      <c r="A563" s="319"/>
    </row>
    <row r="564" spans="1:1" x14ac:dyDescent="0.25">
      <c r="A564" s="319"/>
    </row>
    <row r="565" spans="1:1" x14ac:dyDescent="0.25">
      <c r="A565" s="319"/>
    </row>
    <row r="566" spans="1:1" x14ac:dyDescent="0.25">
      <c r="A566" s="319"/>
    </row>
    <row r="567" spans="1:1" x14ac:dyDescent="0.25">
      <c r="A567" s="319"/>
    </row>
    <row r="568" spans="1:1" x14ac:dyDescent="0.25">
      <c r="A568" s="319"/>
    </row>
    <row r="569" spans="1:1" x14ac:dyDescent="0.25">
      <c r="A569" s="319"/>
    </row>
    <row r="570" spans="1:1" x14ac:dyDescent="0.25">
      <c r="A570" s="319"/>
    </row>
    <row r="571" spans="1:1" x14ac:dyDescent="0.25">
      <c r="A571" s="319"/>
    </row>
    <row r="572" spans="1:1" x14ac:dyDescent="0.25">
      <c r="A572" s="319"/>
    </row>
    <row r="573" spans="1:1" x14ac:dyDescent="0.25">
      <c r="A573" s="319"/>
    </row>
    <row r="574" spans="1:1" x14ac:dyDescent="0.25">
      <c r="A574" s="319"/>
    </row>
    <row r="575" spans="1:1" x14ac:dyDescent="0.25">
      <c r="A575" s="319"/>
    </row>
    <row r="576" spans="1:1" x14ac:dyDescent="0.25">
      <c r="A576" s="319"/>
    </row>
    <row r="577" spans="1:1" x14ac:dyDescent="0.25">
      <c r="A577" s="319"/>
    </row>
  </sheetData>
  <sheetProtection algorithmName="SHA-512" hashValue="yG8sbFyhxmLlcBkEcufXD8DbfQIssWS2gzMlBU4PU0Ix/YyLcmZuaWJYHc7mbv4F3xSGbSGXzC5TKJt+wkeoKg==" saltValue="ijt5t/sd/69Gnt7AjnnDAQ==" spinCount="100000" sheet="1" formatCells="0" formatColumns="0" formatRows="0"/>
  <customSheetViews>
    <customSheetView guid="{C3F58662-020B-4E56-B390-38D4A953D070}" scale="80" showGridLines="0" printArea="1" topLeftCell="AB19">
      <selection activeCell="I31" sqref="I31"/>
      <rowBreaks count="1" manualBreakCount="1">
        <brk id="24" max="42" man="1"/>
      </rowBreaks>
      <colBreaks count="1" manualBreakCount="1">
        <brk id="23" min="24" max="403" man="1"/>
      </colBreaks>
      <pageMargins left="0" right="0" top="0" bottom="0" header="0" footer="0"/>
      <pageSetup paperSize="9" scale="37" fitToWidth="2" fitToHeight="10" pageOrder="overThenDown" orientation="landscape" horizontalDpi="0" verticalDpi="0" r:id="rId1"/>
      <headerFooter>
        <oddHeader>&amp;F</oddHeader>
        <oddFooter>&amp;C&amp;A &amp;R&amp;P/&amp;N</oddFooter>
      </headerFooter>
    </customSheetView>
  </customSheetViews>
  <mergeCells count="3">
    <mergeCell ref="M10:U10"/>
    <mergeCell ref="A10:L10"/>
    <mergeCell ref="A9:U9"/>
  </mergeCells>
  <phoneticPr fontId="52" type="noConversion"/>
  <conditionalFormatting sqref="M12:M47">
    <cfRule type="cellIs" dxfId="15" priority="6" operator="notEqual">
      <formula>$E12</formula>
    </cfRule>
  </conditionalFormatting>
  <conditionalFormatting sqref="N12:N47">
    <cfRule type="cellIs" dxfId="14" priority="8" operator="notEqual">
      <formula>$F12</formula>
    </cfRule>
  </conditionalFormatting>
  <conditionalFormatting sqref="O12:O47">
    <cfRule type="cellIs" dxfId="13" priority="9" operator="notEqual">
      <formula>$G12</formula>
    </cfRule>
  </conditionalFormatting>
  <conditionalFormatting sqref="T12:T47 M12:R47 E12:K47">
    <cfRule type="cellIs" dxfId="12" priority="4" operator="equal">
      <formula>0</formula>
    </cfRule>
  </conditionalFormatting>
  <conditionalFormatting sqref="T12:T47">
    <cfRule type="cellIs" dxfId="11" priority="2" operator="notEqual">
      <formula>0</formula>
    </cfRule>
    <cfRule type="cellIs" dxfId="10" priority="10" operator="notEqual">
      <formula>$K12</formula>
    </cfRule>
  </conditionalFormatting>
  <dataValidations xWindow="28" yWindow="758" count="4">
    <dataValidation type="list" allowBlank="1" showInputMessage="1" showErrorMessage="1" sqref="A154:A577" xr:uid="{00000000-0002-0000-0300-000000000000}">
      <formula1>$AB$13:$AB$24</formula1>
    </dataValidation>
    <dataValidation type="list" allowBlank="1" showInputMessage="1" showErrorMessage="1" sqref="B12:B47" xr:uid="{00000000-0002-0000-0300-000002000000}">
      <formula1>LISTE_MOIS</formula1>
    </dataValidation>
    <dataValidation type="decimal" allowBlank="1" showInputMessage="1" showErrorMessage="1" sqref="E2:E6" xr:uid="{AF2C72ED-390E-43C9-B70A-4D0829F65C25}">
      <formula1>0</formula1>
      <formula2>1</formula2>
    </dataValidation>
    <dataValidation type="list" showInputMessage="1" showErrorMessage="1" prompt="Veuillez sélectionner :" sqref="A12:A47" xr:uid="{3B4AB8A6-DE8F-4C05-AFFD-4A6684151E12}">
      <formula1>LISTE_PERSO</formula1>
    </dataValidation>
  </dataValidations>
  <pageMargins left="0" right="0" top="0.39370078740157483" bottom="0.39370078740157483" header="0" footer="0.23622047244094491"/>
  <pageSetup paperSize="9" scale="62" fitToHeight="10" pageOrder="overThenDown" orientation="landscape" r:id="rId2"/>
  <headerFooter>
    <oddHeader>&amp;F</oddHeader>
    <oddFooter>&amp;C&amp;A 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REL_DEP">
    <tabColor rgb="FFFFFF00"/>
    <pageSetUpPr fitToPage="1"/>
  </sheetPr>
  <dimension ref="A1:XEZ39"/>
  <sheetViews>
    <sheetView showGridLines="0" zoomScale="80" zoomScaleNormal="80" zoomScaleSheetLayoutView="70" workbookViewId="0">
      <selection activeCell="G6" sqref="G6"/>
    </sheetView>
  </sheetViews>
  <sheetFormatPr baseColWidth="10" defaultColWidth="30.7109375" defaultRowHeight="12.75" x14ac:dyDescent="0.25"/>
  <cols>
    <col min="1" max="1" width="21.42578125" style="116" customWidth="1"/>
    <col min="2" max="2" width="47.7109375" style="132" customWidth="1"/>
    <col min="3" max="3" width="11.28515625" style="132" customWidth="1"/>
    <col min="4" max="4" width="19.42578125" style="116" bestFit="1" customWidth="1"/>
    <col min="5" max="5" width="11.7109375" style="121" customWidth="1"/>
    <col min="6" max="6" width="13" style="121" customWidth="1"/>
    <col min="7" max="7" width="51.7109375" style="134" customWidth="1"/>
    <col min="8" max="8" width="12.5703125" style="135" customWidth="1"/>
    <col min="9" max="9" width="9.7109375" style="116" customWidth="1"/>
    <col min="10" max="10" width="6.42578125" style="116" customWidth="1"/>
    <col min="11" max="11" width="12.28515625" style="116" customWidth="1"/>
    <col min="12" max="12" width="10.7109375" style="116" hidden="1" customWidth="1"/>
    <col min="13" max="13" width="13.42578125" style="116" hidden="1" customWidth="1"/>
    <col min="14" max="14" width="20.28515625" style="116" hidden="1" customWidth="1"/>
    <col min="15" max="15" width="57.28515625" style="116" hidden="1" customWidth="1"/>
    <col min="16" max="16" width="9.5703125" style="116" hidden="1" customWidth="1"/>
    <col min="17" max="17" width="9.5703125" style="116" customWidth="1"/>
    <col min="18" max="18" width="12.42578125" style="116" customWidth="1"/>
    <col min="19" max="19" width="14.7109375" style="116" customWidth="1"/>
    <col min="20" max="29" width="30.7109375" style="116" customWidth="1"/>
    <col min="30" max="16384" width="30.7109375" style="116"/>
  </cols>
  <sheetData>
    <row r="1" spans="1:41" ht="38.25" customHeight="1" x14ac:dyDescent="0.25">
      <c r="A1" s="407" t="s">
        <v>66</v>
      </c>
      <c r="B1" s="408"/>
      <c r="C1" s="116"/>
      <c r="E1" s="116"/>
      <c r="F1" s="116"/>
      <c r="G1" s="116"/>
      <c r="H1" s="116"/>
    </row>
    <row r="2" spans="1:41" s="117" customFormat="1" ht="15.4" customHeight="1" thickBot="1" x14ac:dyDescent="0.25"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</row>
    <row r="3" spans="1:41" ht="24" customHeight="1" x14ac:dyDescent="0.2">
      <c r="A3" s="119"/>
      <c r="B3" s="119"/>
      <c r="C3" s="119"/>
      <c r="D3" s="119"/>
      <c r="E3" s="119"/>
      <c r="F3" s="116"/>
      <c r="G3" s="116"/>
      <c r="H3" s="116"/>
      <c r="L3" s="412" t="s">
        <v>67</v>
      </c>
      <c r="M3" s="413"/>
      <c r="N3" s="413"/>
      <c r="O3" s="414"/>
      <c r="P3" s="118"/>
    </row>
    <row r="4" spans="1:41" s="121" customFormat="1" ht="51" x14ac:dyDescent="0.25">
      <c r="A4" s="141" t="s">
        <v>68</v>
      </c>
      <c r="B4" s="142" t="s">
        <v>69</v>
      </c>
      <c r="C4" s="143" t="s">
        <v>70</v>
      </c>
      <c r="D4" s="144" t="s">
        <v>71</v>
      </c>
      <c r="E4" s="120" t="s">
        <v>72</v>
      </c>
      <c r="F4" s="145" t="s">
        <v>73</v>
      </c>
      <c r="G4" s="409" t="s">
        <v>74</v>
      </c>
      <c r="H4" s="410"/>
      <c r="I4" s="411"/>
      <c r="L4" s="122" t="s">
        <v>60</v>
      </c>
      <c r="M4" s="123" t="s">
        <v>75</v>
      </c>
      <c r="N4" s="123" t="s">
        <v>76</v>
      </c>
      <c r="O4" s="124" t="s">
        <v>77</v>
      </c>
      <c r="P4" s="125"/>
      <c r="Q4" s="125"/>
      <c r="W4" s="126" t="s">
        <v>63</v>
      </c>
      <c r="X4" s="126" t="s">
        <v>78</v>
      </c>
    </row>
    <row r="5" spans="1:41" ht="16.5" customHeight="1" x14ac:dyDescent="0.25">
      <c r="A5" s="227" t="s">
        <v>79</v>
      </c>
      <c r="B5" s="228"/>
      <c r="C5" s="228"/>
      <c r="D5" s="214" t="s">
        <v>16</v>
      </c>
      <c r="E5" s="229"/>
      <c r="F5" s="230">
        <v>0</v>
      </c>
      <c r="G5" s="231"/>
      <c r="H5" s="232"/>
      <c r="I5" s="233"/>
      <c r="L5" s="325">
        <f t="shared" ref="L5:L15" si="0">IF(F5="","",F5)</f>
        <v>0</v>
      </c>
      <c r="M5" s="127">
        <f t="shared" ref="M5:M15" si="1">IF(F5="","",L5-F5)</f>
        <v>0</v>
      </c>
      <c r="N5" s="326" t="str">
        <f t="shared" ref="N5:N15" si="2">A5</f>
        <v>SOUS-TRAITANCE</v>
      </c>
      <c r="O5" s="327"/>
      <c r="P5" s="128"/>
      <c r="Q5" s="129"/>
      <c r="R5" s="129"/>
      <c r="S5" s="128"/>
      <c r="T5" s="129"/>
      <c r="W5" s="130">
        <f>IF('3-Sous-traitance'!$N5&lt;&gt;$A5,1,0)</f>
        <v>0</v>
      </c>
      <c r="X5" s="131">
        <f t="shared" ref="X5:X15" si="3">IF(LEN($O5)&gt;0,1,0)</f>
        <v>0</v>
      </c>
    </row>
    <row r="6" spans="1:41" ht="16.5" customHeight="1" x14ac:dyDescent="0.25">
      <c r="A6" s="227" t="s">
        <v>79</v>
      </c>
      <c r="B6" s="228"/>
      <c r="C6" s="228"/>
      <c r="D6" s="214" t="s">
        <v>80</v>
      </c>
      <c r="E6" s="214"/>
      <c r="F6" s="230">
        <v>0</v>
      </c>
      <c r="G6" s="231"/>
      <c r="H6" s="232"/>
      <c r="I6" s="233"/>
      <c r="L6" s="325">
        <f t="shared" si="0"/>
        <v>0</v>
      </c>
      <c r="M6" s="127">
        <f t="shared" si="1"/>
        <v>0</v>
      </c>
      <c r="N6" s="326" t="str">
        <f t="shared" si="2"/>
        <v>SOUS-TRAITANCE</v>
      </c>
      <c r="O6" s="327"/>
      <c r="P6" s="128"/>
      <c r="Q6" s="129"/>
      <c r="R6" s="129"/>
      <c r="S6" s="129"/>
      <c r="T6" s="129"/>
      <c r="W6" s="130">
        <f>IF('3-Sous-traitance'!$N6&lt;&gt;$A6,1,0)</f>
        <v>0</v>
      </c>
      <c r="X6" s="131">
        <f t="shared" si="3"/>
        <v>0</v>
      </c>
    </row>
    <row r="7" spans="1:41" ht="15" customHeight="1" x14ac:dyDescent="0.25">
      <c r="A7" s="227" t="s">
        <v>79</v>
      </c>
      <c r="B7" s="228"/>
      <c r="C7" s="228"/>
      <c r="D7" s="214" t="s">
        <v>80</v>
      </c>
      <c r="E7" s="214"/>
      <c r="F7" s="230">
        <v>0</v>
      </c>
      <c r="G7" s="231"/>
      <c r="H7" s="232"/>
      <c r="I7" s="233"/>
      <c r="L7" s="325">
        <f t="shared" si="0"/>
        <v>0</v>
      </c>
      <c r="M7" s="127">
        <f t="shared" si="1"/>
        <v>0</v>
      </c>
      <c r="N7" s="326" t="str">
        <f t="shared" si="2"/>
        <v>SOUS-TRAITANCE</v>
      </c>
      <c r="O7" s="327"/>
      <c r="P7" s="128"/>
      <c r="Q7" s="129"/>
      <c r="R7" s="129"/>
      <c r="S7" s="129"/>
      <c r="T7" s="129"/>
      <c r="W7" s="130">
        <f>IF('3-Sous-traitance'!$N7&lt;&gt;$A7,1,0)</f>
        <v>0</v>
      </c>
      <c r="X7" s="131">
        <f t="shared" si="3"/>
        <v>0</v>
      </c>
    </row>
    <row r="8" spans="1:41" ht="15" customHeight="1" x14ac:dyDescent="0.25">
      <c r="A8" s="227" t="s">
        <v>79</v>
      </c>
      <c r="B8" s="228"/>
      <c r="C8" s="228"/>
      <c r="D8" s="214" t="s">
        <v>80</v>
      </c>
      <c r="E8" s="214"/>
      <c r="F8" s="230">
        <v>0</v>
      </c>
      <c r="G8" s="231"/>
      <c r="H8" s="232"/>
      <c r="I8" s="233"/>
      <c r="L8" s="325">
        <f t="shared" si="0"/>
        <v>0</v>
      </c>
      <c r="M8" s="127">
        <f t="shared" si="1"/>
        <v>0</v>
      </c>
      <c r="N8" s="326" t="str">
        <f t="shared" si="2"/>
        <v>SOUS-TRAITANCE</v>
      </c>
      <c r="O8" s="327"/>
      <c r="P8" s="128"/>
      <c r="Q8" s="129"/>
      <c r="R8" s="129"/>
      <c r="S8" s="129"/>
      <c r="T8" s="129"/>
      <c r="W8" s="130">
        <f>IF('3-Sous-traitance'!$N8&lt;&gt;$A8,1,0)</f>
        <v>0</v>
      </c>
      <c r="X8" s="131">
        <f t="shared" si="3"/>
        <v>0</v>
      </c>
    </row>
    <row r="9" spans="1:41" ht="15" customHeight="1" x14ac:dyDescent="0.25">
      <c r="A9" s="227" t="s">
        <v>79</v>
      </c>
      <c r="B9" s="228"/>
      <c r="C9" s="228"/>
      <c r="D9" s="214" t="s">
        <v>80</v>
      </c>
      <c r="E9" s="214"/>
      <c r="F9" s="230">
        <v>0</v>
      </c>
      <c r="G9" s="231"/>
      <c r="H9" s="232"/>
      <c r="I9" s="233"/>
      <c r="L9" s="325">
        <f t="shared" si="0"/>
        <v>0</v>
      </c>
      <c r="M9" s="127">
        <f t="shared" si="1"/>
        <v>0</v>
      </c>
      <c r="N9" s="326" t="str">
        <f t="shared" si="2"/>
        <v>SOUS-TRAITANCE</v>
      </c>
      <c r="O9" s="327"/>
      <c r="P9" s="128"/>
      <c r="Q9" s="129"/>
      <c r="R9" s="129"/>
      <c r="S9" s="128"/>
      <c r="T9" s="129"/>
      <c r="W9" s="130">
        <f>IF('3-Sous-traitance'!$N9&lt;&gt;$A9,1,0)</f>
        <v>0</v>
      </c>
      <c r="X9" s="131">
        <f t="shared" si="3"/>
        <v>0</v>
      </c>
    </row>
    <row r="10" spans="1:41" ht="15" customHeight="1" x14ac:dyDescent="0.25">
      <c r="A10" s="227" t="s">
        <v>79</v>
      </c>
      <c r="B10" s="228"/>
      <c r="C10" s="228"/>
      <c r="D10" s="214" t="s">
        <v>80</v>
      </c>
      <c r="E10" s="214"/>
      <c r="F10" s="230">
        <v>0</v>
      </c>
      <c r="G10" s="231"/>
      <c r="H10" s="232"/>
      <c r="I10" s="233"/>
      <c r="L10" s="325">
        <f t="shared" si="0"/>
        <v>0</v>
      </c>
      <c r="M10" s="127">
        <f t="shared" si="1"/>
        <v>0</v>
      </c>
      <c r="N10" s="326" t="str">
        <f t="shared" si="2"/>
        <v>SOUS-TRAITANCE</v>
      </c>
      <c r="O10" s="327"/>
      <c r="P10" s="128"/>
      <c r="Q10" s="129"/>
      <c r="R10" s="129"/>
      <c r="S10" s="129"/>
      <c r="T10" s="129"/>
      <c r="W10" s="130">
        <f>IF('3-Sous-traitance'!$N10&lt;&gt;$A10,1,0)</f>
        <v>0</v>
      </c>
      <c r="X10" s="131">
        <f t="shared" si="3"/>
        <v>0</v>
      </c>
    </row>
    <row r="11" spans="1:41" ht="15" customHeight="1" x14ac:dyDescent="0.25">
      <c r="A11" s="227" t="s">
        <v>79</v>
      </c>
      <c r="B11" s="228"/>
      <c r="C11" s="228"/>
      <c r="D11" s="214" t="s">
        <v>80</v>
      </c>
      <c r="E11" s="214"/>
      <c r="F11" s="230">
        <v>0</v>
      </c>
      <c r="G11" s="231"/>
      <c r="H11" s="232"/>
      <c r="I11" s="233"/>
      <c r="L11" s="325">
        <f t="shared" si="0"/>
        <v>0</v>
      </c>
      <c r="M11" s="127">
        <f t="shared" si="1"/>
        <v>0</v>
      </c>
      <c r="N11" s="326" t="str">
        <f t="shared" si="2"/>
        <v>SOUS-TRAITANCE</v>
      </c>
      <c r="O11" s="327"/>
      <c r="P11" s="128"/>
      <c r="Q11" s="129"/>
      <c r="R11" s="129"/>
      <c r="S11" s="129"/>
      <c r="T11" s="129"/>
      <c r="W11" s="130">
        <f>IF('3-Sous-traitance'!$N11&lt;&gt;$A11,1,0)</f>
        <v>0</v>
      </c>
      <c r="X11" s="131">
        <f t="shared" si="3"/>
        <v>0</v>
      </c>
    </row>
    <row r="12" spans="1:41" ht="15" customHeight="1" x14ac:dyDescent="0.25">
      <c r="A12" s="227" t="s">
        <v>79</v>
      </c>
      <c r="B12" s="228"/>
      <c r="C12" s="228"/>
      <c r="D12" s="214" t="s">
        <v>80</v>
      </c>
      <c r="E12" s="214"/>
      <c r="F12" s="230">
        <v>0</v>
      </c>
      <c r="G12" s="231"/>
      <c r="H12" s="232"/>
      <c r="I12" s="233"/>
      <c r="L12" s="325">
        <f t="shared" si="0"/>
        <v>0</v>
      </c>
      <c r="M12" s="127">
        <f t="shared" si="1"/>
        <v>0</v>
      </c>
      <c r="N12" s="326" t="str">
        <f t="shared" si="2"/>
        <v>SOUS-TRAITANCE</v>
      </c>
      <c r="O12" s="327"/>
      <c r="P12" s="128"/>
      <c r="Q12" s="129"/>
      <c r="R12" s="129"/>
      <c r="S12" s="129"/>
      <c r="T12" s="129"/>
      <c r="W12" s="130">
        <f>IF('3-Sous-traitance'!$N12&lt;&gt;$A12,1,0)</f>
        <v>0</v>
      </c>
      <c r="X12" s="131">
        <f t="shared" si="3"/>
        <v>0</v>
      </c>
    </row>
    <row r="13" spans="1:41" ht="20.25" customHeight="1" x14ac:dyDescent="0.25">
      <c r="A13" s="227" t="s">
        <v>79</v>
      </c>
      <c r="B13" s="228"/>
      <c r="C13" s="228"/>
      <c r="D13" s="214" t="s">
        <v>80</v>
      </c>
      <c r="E13" s="214"/>
      <c r="F13" s="230">
        <v>0</v>
      </c>
      <c r="G13" s="231"/>
      <c r="H13" s="232"/>
      <c r="I13" s="233"/>
      <c r="L13" s="325">
        <f t="shared" si="0"/>
        <v>0</v>
      </c>
      <c r="M13" s="127">
        <f t="shared" si="1"/>
        <v>0</v>
      </c>
      <c r="N13" s="326" t="str">
        <f t="shared" si="2"/>
        <v>SOUS-TRAITANCE</v>
      </c>
      <c r="O13" s="327"/>
      <c r="P13" s="128"/>
      <c r="Q13" s="129"/>
      <c r="R13" s="129"/>
      <c r="S13" s="129"/>
      <c r="T13" s="129"/>
      <c r="W13" s="130">
        <f>IF('3-Sous-traitance'!$N13&lt;&gt;$A13,1,0)</f>
        <v>0</v>
      </c>
      <c r="X13" s="131">
        <f t="shared" si="3"/>
        <v>0</v>
      </c>
    </row>
    <row r="14" spans="1:41" ht="20.25" customHeight="1" x14ac:dyDescent="0.25">
      <c r="A14" s="227" t="s">
        <v>79</v>
      </c>
      <c r="B14" s="228"/>
      <c r="C14" s="228"/>
      <c r="D14" s="214" t="s">
        <v>80</v>
      </c>
      <c r="E14" s="214"/>
      <c r="F14" s="230">
        <v>0</v>
      </c>
      <c r="G14" s="231"/>
      <c r="H14" s="232"/>
      <c r="I14" s="233"/>
      <c r="L14" s="325">
        <f t="shared" si="0"/>
        <v>0</v>
      </c>
      <c r="M14" s="127">
        <f t="shared" si="1"/>
        <v>0</v>
      </c>
      <c r="N14" s="326" t="str">
        <f t="shared" si="2"/>
        <v>SOUS-TRAITANCE</v>
      </c>
      <c r="O14" s="327"/>
      <c r="P14" s="128"/>
      <c r="Q14" s="129"/>
      <c r="R14" s="129"/>
      <c r="S14" s="129"/>
      <c r="T14" s="129"/>
      <c r="W14" s="130">
        <f>IF('3-Sous-traitance'!$N14&lt;&gt;$A14,1,0)</f>
        <v>0</v>
      </c>
      <c r="X14" s="131">
        <f t="shared" si="3"/>
        <v>0</v>
      </c>
    </row>
    <row r="15" spans="1:41" ht="20.25" customHeight="1" x14ac:dyDescent="0.25">
      <c r="A15" s="227" t="s">
        <v>79</v>
      </c>
      <c r="B15" s="228"/>
      <c r="C15" s="228"/>
      <c r="D15" s="214" t="s">
        <v>80</v>
      </c>
      <c r="E15" s="214"/>
      <c r="F15" s="230">
        <v>0</v>
      </c>
      <c r="G15" s="231"/>
      <c r="H15" s="232"/>
      <c r="I15" s="233"/>
      <c r="L15" s="325">
        <f t="shared" si="0"/>
        <v>0</v>
      </c>
      <c r="M15" s="127">
        <f t="shared" si="1"/>
        <v>0</v>
      </c>
      <c r="N15" s="326" t="str">
        <f t="shared" si="2"/>
        <v>SOUS-TRAITANCE</v>
      </c>
      <c r="O15" s="327"/>
      <c r="P15" s="128"/>
      <c r="Q15" s="129"/>
      <c r="R15" s="129"/>
      <c r="S15" s="129"/>
      <c r="T15" s="129"/>
      <c r="W15" s="130">
        <f>IF('3-Sous-traitance'!$N15&lt;&gt;$A15,1,0)</f>
        <v>0</v>
      </c>
      <c r="X15" s="131">
        <f t="shared" si="3"/>
        <v>0</v>
      </c>
    </row>
    <row r="16" spans="1:41" ht="51.4" customHeight="1" x14ac:dyDescent="0.25">
      <c r="A16" s="81"/>
      <c r="B16" s="234"/>
      <c r="C16" s="234"/>
      <c r="D16" s="81"/>
      <c r="E16" s="224"/>
      <c r="F16" s="235">
        <f>SUM(F5:F15)</f>
        <v>0</v>
      </c>
      <c r="G16" s="236"/>
      <c r="H16" s="225"/>
      <c r="I16" s="81"/>
      <c r="L16" s="133">
        <f>SUM(L5:L15)</f>
        <v>0</v>
      </c>
      <c r="O16" s="116" t="str">
        <f>_xlfn.TEXTJOIN(CHAR(10),TRUE,$O$5:$O$15)</f>
        <v/>
      </c>
    </row>
    <row r="17" spans="2:8" x14ac:dyDescent="0.25">
      <c r="B17" s="116"/>
    </row>
    <row r="18" spans="2:8" x14ac:dyDescent="0.25">
      <c r="B18" s="116"/>
      <c r="C18" s="116"/>
    </row>
    <row r="19" spans="2:8" x14ac:dyDescent="0.25">
      <c r="B19" s="116"/>
      <c r="C19" s="116"/>
    </row>
    <row r="20" spans="2:8" x14ac:dyDescent="0.25">
      <c r="B20" s="116"/>
      <c r="C20" s="116"/>
    </row>
    <row r="21" spans="2:8" x14ac:dyDescent="0.25">
      <c r="B21" s="116"/>
      <c r="C21" s="116"/>
    </row>
    <row r="22" spans="2:8" x14ac:dyDescent="0.25">
      <c r="B22" s="116"/>
      <c r="C22" s="116"/>
    </row>
    <row r="23" spans="2:8" x14ac:dyDescent="0.25">
      <c r="B23" s="116"/>
      <c r="C23" s="116"/>
    </row>
    <row r="24" spans="2:8" x14ac:dyDescent="0.25">
      <c r="B24" s="116"/>
      <c r="C24" s="116"/>
    </row>
    <row r="25" spans="2:8" x14ac:dyDescent="0.25">
      <c r="B25" s="116"/>
      <c r="C25" s="116"/>
    </row>
    <row r="26" spans="2:8" x14ac:dyDescent="0.25">
      <c r="B26" s="116"/>
      <c r="C26" s="116"/>
    </row>
    <row r="27" spans="2:8" x14ac:dyDescent="0.25">
      <c r="B27" s="116"/>
      <c r="C27" s="116"/>
    </row>
    <row r="28" spans="2:8" x14ac:dyDescent="0.25">
      <c r="B28" s="116"/>
      <c r="C28" s="116"/>
    </row>
    <row r="29" spans="2:8" x14ac:dyDescent="0.25">
      <c r="B29" s="116"/>
      <c r="C29" s="116"/>
    </row>
    <row r="30" spans="2:8" s="136" customFormat="1" x14ac:dyDescent="0.25">
      <c r="E30" s="125"/>
      <c r="F30" s="125"/>
      <c r="G30" s="137"/>
      <c r="H30" s="138"/>
    </row>
    <row r="31" spans="2:8" s="136" customFormat="1" x14ac:dyDescent="0.25">
      <c r="E31" s="125"/>
      <c r="F31" s="125"/>
      <c r="G31" s="137"/>
      <c r="H31" s="138"/>
    </row>
    <row r="32" spans="2:8" s="136" customFormat="1" x14ac:dyDescent="0.25">
      <c r="E32" s="125"/>
      <c r="F32" s="125"/>
      <c r="G32" s="137"/>
      <c r="H32" s="138"/>
    </row>
    <row r="33" spans="2:8 16380:16380" s="136" customFormat="1" x14ac:dyDescent="0.25">
      <c r="E33" s="125"/>
      <c r="F33" s="125"/>
      <c r="G33" s="137"/>
      <c r="H33" s="138"/>
    </row>
    <row r="34" spans="2:8 16380:16380" s="136" customFormat="1" x14ac:dyDescent="0.25">
      <c r="E34" s="125"/>
      <c r="F34" s="125"/>
      <c r="G34" s="137"/>
      <c r="H34" s="138"/>
    </row>
    <row r="35" spans="2:8 16380:16380" s="136" customFormat="1" x14ac:dyDescent="0.25">
      <c r="C35" s="139"/>
      <c r="E35" s="125"/>
      <c r="F35" s="125"/>
      <c r="G35" s="137"/>
      <c r="H35" s="138"/>
    </row>
    <row r="36" spans="2:8 16380:16380" s="136" customFormat="1" x14ac:dyDescent="0.25">
      <c r="C36" s="139"/>
      <c r="E36" s="125"/>
      <c r="F36" s="125"/>
      <c r="G36" s="137"/>
      <c r="H36" s="138"/>
    </row>
    <row r="37" spans="2:8 16380:16380" s="136" customFormat="1" x14ac:dyDescent="0.25">
      <c r="C37" s="139"/>
      <c r="E37" s="125"/>
      <c r="F37" s="125"/>
      <c r="G37" s="137"/>
      <c r="H37" s="138"/>
      <c r="XEZ37" s="140"/>
    </row>
    <row r="38" spans="2:8 16380:16380" s="136" customFormat="1" x14ac:dyDescent="0.25">
      <c r="B38" s="139"/>
      <c r="C38" s="139"/>
      <c r="E38" s="125"/>
      <c r="F38" s="125"/>
      <c r="G38" s="137"/>
      <c r="H38" s="138"/>
    </row>
    <row r="39" spans="2:8 16380:16380" s="136" customFormat="1" x14ac:dyDescent="0.25">
      <c r="B39" s="139"/>
      <c r="C39" s="139"/>
      <c r="E39" s="125"/>
      <c r="F39" s="125"/>
      <c r="G39" s="137"/>
      <c r="H39" s="138"/>
    </row>
  </sheetData>
  <sheetProtection formatCells="0" formatColumns="0" formatRows="0"/>
  <sortState xmlns:xlrd2="http://schemas.microsoft.com/office/spreadsheetml/2017/richdata2" ref="B19:B31">
    <sortCondition ref="B19"/>
  </sortState>
  <customSheetViews>
    <customSheetView guid="{C3F58662-020B-4E56-B390-38D4A953D070}" scale="70" showGridLines="0" fitToPage="1" printArea="1" topLeftCell="A112">
      <selection activeCell="I31" sqref="I31"/>
      <rowBreaks count="1" manualBreakCount="1">
        <brk id="86" max="16383" man="1"/>
      </rowBreaks>
      <pageMargins left="0" right="0" top="0" bottom="0" header="0" footer="0"/>
      <pageSetup paperSize="9" scale="31" fitToHeight="2" orientation="landscape" horizontalDpi="0" verticalDpi="0" r:id="rId1"/>
      <headerFooter>
        <oddHeader>&amp;F</oddHeader>
        <oddFooter>&amp;C&amp;A&amp;R&amp;P/&amp;N</oddFooter>
      </headerFooter>
    </customSheetView>
  </customSheetViews>
  <mergeCells count="3">
    <mergeCell ref="A1:B1"/>
    <mergeCell ref="G4:I4"/>
    <mergeCell ref="L3:O3"/>
  </mergeCells>
  <conditionalFormatting sqref="M5:M15">
    <cfRule type="cellIs" dxfId="9" priority="3" operator="notEqual">
      <formula>0</formula>
    </cfRule>
  </conditionalFormatting>
  <conditionalFormatting sqref="N5:N15">
    <cfRule type="cellIs" dxfId="8" priority="54" operator="notEqual">
      <formula>$A5</formula>
    </cfRule>
  </conditionalFormatting>
  <conditionalFormatting sqref="D5:D15">
    <cfRule type="expression" dxfId="7" priority="655">
      <formula>IF(AND(#REF!="Oui",D5="TVAC"),TRUE)</formula>
    </cfRule>
  </conditionalFormatting>
  <dataValidations xWindow="433" yWindow="586" count="3">
    <dataValidation type="list" allowBlank="1" showInputMessage="1" showErrorMessage="1" sqref="D5:D15" xr:uid="{FBEDBDC4-10A7-42CA-9F28-9FD88285B945}">
      <formula1>LISTE_TVA</formula1>
    </dataValidation>
    <dataValidation type="list" showInputMessage="1" showErrorMessage="1" sqref="N5:N15 A5:A15" xr:uid="{DDDBD5C6-CDEC-40FC-B442-307820F9111D}">
      <formula1>LISTE_RUBRIQUE_FONCT_NV</formula1>
    </dataValidation>
    <dataValidation allowBlank="1" showInputMessage="1" showErrorMessage="1" prompt="Si le projet entre dans le champs d'application de la TVA, indiquer dans la colonne &quot;Total déclaré&quot;, les montant HTVA, dans le cas contraire indiquer le montant de la facture TVAC et le cas échéant, joindre le justificatif  de payement de la TVA. _x000a_ _x000a_" sqref="D4" xr:uid="{80AC4844-A085-4766-9A7C-1E432068EF4B}"/>
  </dataValidations>
  <pageMargins left="0.23622047244094491" right="0.27559055118110237" top="0.47244094488188981" bottom="0.39370078740157483" header="0.27559055118110237" footer="0.19685039370078741"/>
  <pageSetup paperSize="9" scale="10" fitToHeight="2" orientation="landscape" r:id="rId2"/>
  <headerFooter>
    <oddHeader>&amp;F</oddHeader>
    <oddFooter>&amp;C&amp;A&amp;R&amp;P/&amp;N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xWindow="433" yWindow="586" count="3">
        <x14:dataValidation type="date" allowBlank="1" showInputMessage="1" showErrorMessage="1" xr:uid="{5946439A-6E4C-4D81-BA9B-355ABB9DA294}">
          <x14:formula1>
            <xm:f>'1-Identification'!F15</xm:f>
          </x14:formula1>
          <x14:formula2>
            <xm:f>'1-Identification'!F16</xm:f>
          </x14:formula2>
          <xm:sqref>E5:E9</xm:sqref>
        </x14:dataValidation>
        <x14:dataValidation type="date" allowBlank="1" showInputMessage="1" showErrorMessage="1" xr:uid="{40A14F34-FC0B-4666-B284-E2EA244E0FB3}">
          <x14:formula1>
            <xm:f>'1-Identification'!F22</xm:f>
          </x14:formula1>
          <x14:formula2>
            <xm:f>'1-Identification'!F23</xm:f>
          </x14:formula2>
          <xm:sqref>E11:E15</xm:sqref>
        </x14:dataValidation>
        <x14:dataValidation type="date" allowBlank="1" showInputMessage="1" showErrorMessage="1" xr:uid="{FFC66A02-8B4C-4A0F-9F80-5AB7C26F0E35}">
          <x14:formula1>
            <xm:f>'1-Identification'!F20</xm:f>
          </x14:formula1>
          <x14:formula2>
            <xm:f>'1-Identification'!F22</xm:f>
          </x14:formula2>
          <xm:sqref>E10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DC">
    <tabColor rgb="FFFFFF00"/>
    <pageSetUpPr fitToPage="1"/>
  </sheetPr>
  <dimension ref="A1:P43"/>
  <sheetViews>
    <sheetView showGridLines="0" zoomScale="90" zoomScaleNormal="90" zoomScaleSheetLayoutView="80" workbookViewId="0">
      <selection activeCell="AC24" sqref="AC24"/>
    </sheetView>
  </sheetViews>
  <sheetFormatPr baseColWidth="10" defaultColWidth="10.7109375" defaultRowHeight="15.75" x14ac:dyDescent="0.25"/>
  <cols>
    <col min="1" max="1" width="39" style="328" customWidth="1"/>
    <col min="2" max="2" width="33.7109375" style="328" customWidth="1"/>
    <col min="3" max="3" width="21.28515625" style="328" customWidth="1"/>
    <col min="4" max="4" width="18.28515625" style="328" customWidth="1"/>
    <col min="5" max="5" width="24.28515625" style="328" customWidth="1"/>
    <col min="6" max="6" width="4.42578125" style="328" hidden="1" customWidth="1"/>
    <col min="7" max="12" width="2.7109375" style="328" hidden="1" customWidth="1"/>
    <col min="13" max="13" width="1.28515625" style="328" hidden="1" customWidth="1"/>
    <col min="14" max="14" width="1.5703125" style="328" hidden="1" customWidth="1"/>
    <col min="15" max="23" width="0" style="328" hidden="1" customWidth="1"/>
    <col min="24" max="16384" width="10.7109375" style="328"/>
  </cols>
  <sheetData>
    <row r="1" spans="1:16" s="329" customFormat="1" x14ac:dyDescent="0.25">
      <c r="A1" s="328"/>
      <c r="B1" s="328"/>
      <c r="C1" s="328"/>
      <c r="D1" s="328"/>
      <c r="E1" s="328"/>
      <c r="F1" s="328"/>
      <c r="G1" s="328"/>
      <c r="H1" s="328"/>
      <c r="I1" s="328"/>
      <c r="N1" s="330"/>
      <c r="P1" s="330"/>
    </row>
    <row r="2" spans="1:16" x14ac:dyDescent="0.25">
      <c r="N2" s="330"/>
      <c r="P2" s="330"/>
    </row>
    <row r="3" spans="1:16" ht="30.75" customHeight="1" x14ac:dyDescent="0.25">
      <c r="N3" s="331"/>
      <c r="P3" s="331"/>
    </row>
    <row r="4" spans="1:16" x14ac:dyDescent="0.25">
      <c r="N4" s="331"/>
      <c r="P4" s="331"/>
    </row>
    <row r="5" spans="1:16" ht="32.25" hidden="1" customHeight="1" x14ac:dyDescent="0.25"/>
    <row r="6" spans="1:16" ht="21" x14ac:dyDescent="0.25">
      <c r="B6" s="418" t="s">
        <v>81</v>
      </c>
      <c r="C6" s="418"/>
      <c r="E6" s="332"/>
    </row>
    <row r="7" spans="1:16" x14ac:dyDescent="0.25">
      <c r="E7" s="332"/>
    </row>
    <row r="8" spans="1:16" ht="15.75" customHeight="1" x14ac:dyDescent="0.25">
      <c r="A8" s="324" t="str">
        <f>IDENTIF_NOM_REQUERANT</f>
        <v>Sélectionner Commune/Supra</v>
      </c>
      <c r="C8" s="425" t="s">
        <v>82</v>
      </c>
      <c r="D8" s="425"/>
      <c r="E8" s="425"/>
    </row>
    <row r="9" spans="1:16" x14ac:dyDescent="0.25">
      <c r="A9" s="146" t="e">
        <f>IDENTIF_ADRESSE</f>
        <v>#N/A</v>
      </c>
      <c r="E9" s="332" t="s">
        <v>83</v>
      </c>
    </row>
    <row r="10" spans="1:16" x14ac:dyDescent="0.25">
      <c r="A10" s="146" t="e">
        <f>CONCATENATE(IDENTIF_ADRESSE_CP, " ",IDENTIF_ADRESSE_LOC)</f>
        <v>#N/A</v>
      </c>
      <c r="E10" s="332" t="s">
        <v>84</v>
      </c>
    </row>
    <row r="11" spans="1:16" x14ac:dyDescent="0.25">
      <c r="D11" s="333"/>
      <c r="E11" s="333"/>
    </row>
    <row r="12" spans="1:16" ht="24.75" customHeight="1" x14ac:dyDescent="0.25">
      <c r="A12" s="334" t="s">
        <v>85</v>
      </c>
      <c r="B12" s="146"/>
      <c r="C12" s="146"/>
      <c r="I12" s="335"/>
      <c r="J12" s="335"/>
      <c r="K12" s="335"/>
      <c r="L12" s="335"/>
      <c r="M12" s="335"/>
      <c r="N12" s="335"/>
    </row>
    <row r="13" spans="1:16" ht="21.4" customHeight="1" x14ac:dyDescent="0.25">
      <c r="A13" s="332" t="s">
        <v>86</v>
      </c>
      <c r="B13" s="336" t="s">
        <v>87</v>
      </c>
    </row>
    <row r="14" spans="1:16" ht="25.9" customHeight="1" x14ac:dyDescent="0.25">
      <c r="A14" s="332" t="s">
        <v>88</v>
      </c>
      <c r="B14" s="422" t="e">
        <f>IDENTIF_NOM_PROJET</f>
        <v>#N/A</v>
      </c>
      <c r="C14" s="423"/>
      <c r="D14" s="423"/>
      <c r="E14" s="424"/>
    </row>
    <row r="15" spans="1:16" ht="10.5" customHeight="1" x14ac:dyDescent="0.25">
      <c r="A15" s="337"/>
      <c r="B15" s="337"/>
      <c r="C15" s="337"/>
    </row>
    <row r="16" spans="1:16" ht="29.25" customHeight="1" x14ac:dyDescent="0.25">
      <c r="A16" s="334" t="s">
        <v>89</v>
      </c>
      <c r="B16" s="338">
        <f>IDENTIF_DEB_DC</f>
        <v>0</v>
      </c>
      <c r="C16" s="339" t="s">
        <v>90</v>
      </c>
      <c r="D16" s="340">
        <f>IDENTIF_FIN_DC</f>
        <v>0</v>
      </c>
    </row>
    <row r="17" spans="1:5" ht="24.75" customHeight="1" x14ac:dyDescent="0.25">
      <c r="A17" s="334" t="s">
        <v>91</v>
      </c>
      <c r="B17" s="341" t="e">
        <f>IDENTIF_VISA_CONV</f>
        <v>#N/A</v>
      </c>
    </row>
    <row r="18" spans="1:5" ht="24.75" customHeight="1" x14ac:dyDescent="0.25">
      <c r="A18" s="334" t="s">
        <v>1329</v>
      </c>
      <c r="B18" s="341" t="e">
        <f>'1-Identification'!B24</f>
        <v>#N/A</v>
      </c>
    </row>
    <row r="19" spans="1:5" ht="30.75" customHeight="1" x14ac:dyDescent="0.25">
      <c r="A19" s="334" t="s">
        <v>92</v>
      </c>
      <c r="B19" s="341" t="e">
        <f>IDENTIF_LEGALE</f>
        <v>#N/A</v>
      </c>
      <c r="C19" s="341"/>
    </row>
    <row r="20" spans="1:5" ht="26.25" customHeight="1" x14ac:dyDescent="0.25">
      <c r="A20" s="342" t="s">
        <v>93</v>
      </c>
      <c r="B20" s="419"/>
      <c r="C20" s="420"/>
      <c r="D20" s="420"/>
      <c r="E20" s="421"/>
    </row>
    <row r="21" spans="1:5" ht="26.25" customHeight="1" x14ac:dyDescent="0.25">
      <c r="A21" s="342" t="s">
        <v>94</v>
      </c>
      <c r="B21" s="419"/>
      <c r="C21" s="421"/>
      <c r="D21" s="343" t="s">
        <v>95</v>
      </c>
      <c r="E21" s="344"/>
    </row>
    <row r="22" spans="1:5" ht="32.25" customHeight="1" x14ac:dyDescent="0.25">
      <c r="A22" s="342" t="s">
        <v>96</v>
      </c>
      <c r="B22" s="419" t="str">
        <f>'1-Identification'!B4</f>
        <v>Sélectionner Commune/Supra</v>
      </c>
      <c r="C22" s="420"/>
      <c r="D22" s="420"/>
      <c r="E22" s="421"/>
    </row>
    <row r="23" spans="1:5" ht="30.75" customHeight="1" x14ac:dyDescent="0.25">
      <c r="A23" s="428" t="s">
        <v>97</v>
      </c>
      <c r="B23" s="428"/>
      <c r="D23" s="426">
        <f>'5-Synthèse'!F14</f>
        <v>0</v>
      </c>
      <c r="E23" s="427"/>
    </row>
    <row r="24" spans="1:5" ht="22.5" customHeight="1" x14ac:dyDescent="0.25">
      <c r="A24" s="342" t="s">
        <v>98</v>
      </c>
      <c r="B24" s="422" t="e">
        <f>IDENTIF_NOM_PROJET</f>
        <v>#N/A</v>
      </c>
      <c r="C24" s="423"/>
      <c r="D24" s="423"/>
      <c r="E24" s="424"/>
    </row>
    <row r="25" spans="1:5" ht="18.75" customHeight="1" x14ac:dyDescent="0.25"/>
    <row r="26" spans="1:5" ht="25.5" customHeight="1" x14ac:dyDescent="0.25">
      <c r="B26" s="345" t="s">
        <v>99</v>
      </c>
    </row>
    <row r="27" spans="1:5" ht="30.75" customHeight="1" x14ac:dyDescent="0.25">
      <c r="A27" s="346" t="s">
        <v>100</v>
      </c>
      <c r="B27" s="415" t="e">
        <f>IDENTIF_COMPTE_N°IBAN</f>
        <v>#N/A</v>
      </c>
      <c r="C27" s="416"/>
      <c r="D27" s="416"/>
      <c r="E27" s="417"/>
    </row>
    <row r="28" spans="1:5" ht="30.75" customHeight="1" x14ac:dyDescent="0.25">
      <c r="A28" s="346" t="s">
        <v>101</v>
      </c>
      <c r="B28" s="415">
        <f>IDENTIF_COMPTE_BIC</f>
        <v>0</v>
      </c>
      <c r="C28" s="416"/>
      <c r="D28" s="416"/>
      <c r="E28" s="417"/>
    </row>
    <row r="29" spans="1:5" ht="30.75" customHeight="1" x14ac:dyDescent="0.25">
      <c r="A29" s="346" t="s">
        <v>31</v>
      </c>
      <c r="B29" s="415">
        <f>IDENTIF_COMPTE_COM</f>
        <v>0</v>
      </c>
      <c r="C29" s="416"/>
      <c r="D29" s="416"/>
      <c r="E29" s="417"/>
    </row>
    <row r="30" spans="1:5" ht="30.75" customHeight="1" x14ac:dyDescent="0.25">
      <c r="A30" s="346" t="s">
        <v>33</v>
      </c>
      <c r="B30" s="419" t="s">
        <v>102</v>
      </c>
      <c r="C30" s="420"/>
      <c r="D30" s="420"/>
      <c r="E30" s="421"/>
    </row>
    <row r="31" spans="1:5" ht="30.75" customHeight="1" x14ac:dyDescent="0.25">
      <c r="A31" s="346" t="s">
        <v>103</v>
      </c>
      <c r="B31" s="415" t="e">
        <f>IDENTIF_BCE</f>
        <v>#N/A</v>
      </c>
      <c r="C31" s="416"/>
      <c r="D31" s="416"/>
      <c r="E31" s="417"/>
    </row>
    <row r="32" spans="1:5" ht="22.5" customHeight="1" x14ac:dyDescent="0.25"/>
    <row r="33" spans="1:5" x14ac:dyDescent="0.25">
      <c r="B33" s="345" t="s">
        <v>104</v>
      </c>
    </row>
    <row r="34" spans="1:5" ht="49.5" customHeight="1" x14ac:dyDescent="0.25">
      <c r="B34" s="211"/>
      <c r="C34" s="212"/>
      <c r="D34" s="212"/>
      <c r="E34" s="213"/>
    </row>
    <row r="35" spans="1:5" ht="33.75" customHeight="1" x14ac:dyDescent="0.25"/>
    <row r="36" spans="1:5" ht="26.25" customHeight="1" x14ac:dyDescent="0.25">
      <c r="A36" s="346" t="s">
        <v>105</v>
      </c>
      <c r="B36" s="147"/>
      <c r="C36" s="346" t="s">
        <v>106</v>
      </c>
      <c r="D36" s="147"/>
      <c r="E36" s="146"/>
    </row>
    <row r="38" spans="1:5" x14ac:dyDescent="0.25">
      <c r="D38" s="339" t="s">
        <v>107</v>
      </c>
      <c r="E38" s="339"/>
    </row>
    <row r="39" spans="1:5" x14ac:dyDescent="0.25">
      <c r="D39" s="339"/>
      <c r="E39" s="339"/>
    </row>
    <row r="40" spans="1:5" x14ac:dyDescent="0.25">
      <c r="D40" s="339"/>
      <c r="E40" s="339"/>
    </row>
    <row r="41" spans="1:5" x14ac:dyDescent="0.25">
      <c r="A41" s="328" t="s">
        <v>1312</v>
      </c>
      <c r="D41" s="339"/>
      <c r="E41" s="339"/>
    </row>
    <row r="42" spans="1:5" x14ac:dyDescent="0.25">
      <c r="A42" s="337" t="s">
        <v>108</v>
      </c>
      <c r="D42" s="339"/>
      <c r="E42" s="339"/>
    </row>
    <row r="43" spans="1:5" x14ac:dyDescent="0.25">
      <c r="A43" s="328" t="s">
        <v>109</v>
      </c>
    </row>
  </sheetData>
  <sheetProtection sheet="1" formatCells="0" formatColumns="0" formatRows="0" selectLockedCells="1"/>
  <customSheetViews>
    <customSheetView guid="{C3F58662-020B-4E56-B390-38D4A953D070}" scale="70" fitToPage="1">
      <selection activeCell="I31" sqref="I31"/>
      <pageMargins left="0" right="0" top="0" bottom="0" header="0" footer="0"/>
      <printOptions horizontalCentered="1" verticalCentered="1"/>
      <pageSetup paperSize="9" scale="71" orientation="portrait" blackAndWhite="1" r:id="rId1"/>
    </customSheetView>
  </customSheetViews>
  <mergeCells count="14">
    <mergeCell ref="B31:E31"/>
    <mergeCell ref="B29:E29"/>
    <mergeCell ref="B6:C6"/>
    <mergeCell ref="B30:E30"/>
    <mergeCell ref="B20:E20"/>
    <mergeCell ref="B21:C21"/>
    <mergeCell ref="B22:E22"/>
    <mergeCell ref="B27:E27"/>
    <mergeCell ref="B28:E28"/>
    <mergeCell ref="B24:E24"/>
    <mergeCell ref="C8:E8"/>
    <mergeCell ref="D23:E23"/>
    <mergeCell ref="A23:B23"/>
    <mergeCell ref="B14:E14"/>
  </mergeCells>
  <printOptions horizontalCentered="1" verticalCentered="1"/>
  <pageMargins left="0.7" right="0.7" top="0.75" bottom="0.75" header="0.3" footer="0.3"/>
  <pageSetup paperSize="9" scale="64" fitToHeight="0" orientation="portrait" blackAndWhite="1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_DC_CUM">
    <tabColor rgb="FF33CCFF"/>
    <pageSetUpPr fitToPage="1"/>
  </sheetPr>
  <dimension ref="B1:K41"/>
  <sheetViews>
    <sheetView showGridLines="0" zoomScale="120" zoomScaleNormal="120" zoomScalePageLayoutView="75" workbookViewId="0">
      <selection activeCell="E33" sqref="E33"/>
    </sheetView>
  </sheetViews>
  <sheetFormatPr baseColWidth="10" defaultColWidth="6.85546875" defaultRowHeight="15" x14ac:dyDescent="0.25"/>
  <cols>
    <col min="1" max="1" width="6.85546875" style="117"/>
    <col min="2" max="2" width="4.28515625" style="117" customWidth="1"/>
    <col min="3" max="3" width="6.85546875" style="117"/>
    <col min="4" max="4" width="35.85546875" style="117" customWidth="1"/>
    <col min="5" max="5" width="20.42578125" style="117" customWidth="1"/>
    <col min="6" max="6" width="20.42578125" style="207" customWidth="1"/>
    <col min="7" max="7" width="20.42578125" style="117" hidden="1" customWidth="1"/>
    <col min="8" max="8" width="6.85546875" style="153"/>
    <col min="9" max="16384" width="6.85546875" style="117"/>
  </cols>
  <sheetData>
    <row r="1" spans="4:10" s="153" customFormat="1" ht="13.5" customHeight="1" x14ac:dyDescent="0.25">
      <c r="D1" s="148" t="s">
        <v>110</v>
      </c>
      <c r="E1" s="149" t="e">
        <f>DATE_DEB_CONV</f>
        <v>#N/A</v>
      </c>
      <c r="F1" s="151">
        <f>IF(DC_N°=LISTE_FINALE,IDENTIF_DEB_DC,"")</f>
        <v>0</v>
      </c>
      <c r="G1" s="150"/>
      <c r="H1" s="152"/>
      <c r="I1" s="152"/>
    </row>
    <row r="2" spans="4:10" s="153" customFormat="1" ht="9" customHeight="1" x14ac:dyDescent="0.25">
      <c r="D2" s="154"/>
      <c r="E2" s="155" t="s">
        <v>111</v>
      </c>
      <c r="F2" s="156" t="s">
        <v>111</v>
      </c>
      <c r="G2" s="150"/>
      <c r="H2" s="152"/>
      <c r="I2" s="152"/>
    </row>
    <row r="3" spans="4:10" s="153" customFormat="1" ht="13.5" customHeight="1" x14ac:dyDescent="0.25">
      <c r="D3" s="157"/>
      <c r="E3" s="149" t="e">
        <f>DATE_FIN_CONV</f>
        <v>#N/A</v>
      </c>
      <c r="F3" s="158">
        <f>IF(DC_N°=LISTE_FINALE,IDENTIF_FIN_DC,"")</f>
        <v>0</v>
      </c>
      <c r="G3" s="150"/>
      <c r="H3" s="152"/>
      <c r="I3" s="152"/>
    </row>
    <row r="4" spans="4:10" s="160" customFormat="1" ht="9.75" hidden="1" customHeight="1" x14ac:dyDescent="0.25">
      <c r="D4" s="159"/>
      <c r="E4" s="159"/>
      <c r="F4" s="159"/>
      <c r="G4" s="159"/>
      <c r="H4" s="152"/>
      <c r="I4" s="152"/>
    </row>
    <row r="5" spans="4:10" s="163" customFormat="1" ht="21.75" customHeight="1" x14ac:dyDescent="0.2">
      <c r="D5" s="161" t="s">
        <v>112</v>
      </c>
      <c r="E5" s="162" t="s">
        <v>113</v>
      </c>
      <c r="F5" s="162" t="s">
        <v>1313</v>
      </c>
      <c r="G5" s="162"/>
      <c r="H5" s="152"/>
      <c r="I5" s="152"/>
    </row>
    <row r="6" spans="4:10" ht="12.75" x14ac:dyDescent="0.2">
      <c r="D6" s="164" t="s">
        <v>114</v>
      </c>
      <c r="E6" s="165"/>
      <c r="F6" s="166" t="s">
        <v>115</v>
      </c>
      <c r="G6" s="167" t="s">
        <v>116</v>
      </c>
      <c r="H6" s="152"/>
      <c r="I6" s="152"/>
    </row>
    <row r="7" spans="4:10" s="171" customFormat="1" ht="15.75" customHeight="1" x14ac:dyDescent="0.3">
      <c r="D7" s="168" t="s">
        <v>117</v>
      </c>
      <c r="E7" s="429"/>
      <c r="F7" s="169"/>
      <c r="G7" s="170"/>
      <c r="H7" s="152"/>
      <c r="I7" s="152"/>
    </row>
    <row r="8" spans="4:10" s="174" customFormat="1" x14ac:dyDescent="0.25">
      <c r="D8" s="172"/>
      <c r="E8" s="430"/>
      <c r="F8" s="173">
        <f>IF(DC_N°=LISTE_FINALE,MONTANT_TOT_PERSO_DECL,0)</f>
        <v>0</v>
      </c>
      <c r="G8" s="173">
        <f>IF(DC_N°=LISTE_FINALE,MONTANT_TOT_PERSO_ACC,0)</f>
        <v>0</v>
      </c>
      <c r="H8" s="152"/>
      <c r="I8" s="152"/>
    </row>
    <row r="9" spans="4:10" s="171" customFormat="1" ht="15.75" customHeight="1" x14ac:dyDescent="0.3">
      <c r="D9" s="175" t="s">
        <v>118</v>
      </c>
      <c r="E9" s="430"/>
      <c r="F9" s="176"/>
      <c r="G9" s="177"/>
      <c r="H9" s="152"/>
      <c r="I9" s="152"/>
    </row>
    <row r="10" spans="4:10" s="174" customFormat="1" ht="18" customHeight="1" x14ac:dyDescent="0.25">
      <c r="D10" s="178"/>
      <c r="E10" s="431"/>
      <c r="F10" s="173">
        <f>IF(DC_N°=LISTE_FINALE,MONTANT_TOT_SSTRAIT_DECL,0)</f>
        <v>0</v>
      </c>
      <c r="G10" s="173">
        <f>IF(DC_N°=LISTE_FINALE,MONTANT_TOT_SSTRAIT_ACC,0)</f>
        <v>0</v>
      </c>
      <c r="H10" s="152"/>
      <c r="I10" s="152"/>
    </row>
    <row r="11" spans="4:10" s="153" customFormat="1" ht="18.75" customHeight="1" x14ac:dyDescent="0.25">
      <c r="D11" s="179" t="s">
        <v>119</v>
      </c>
      <c r="E11" s="246" t="e">
        <f>IF(IDENTIF_MONTANT_SUBSIDE="","",IDENTIF_MONTANT_SUBSIDE/0.75)</f>
        <v>#N/A</v>
      </c>
      <c r="F11" s="245">
        <f>F8+F10</f>
        <v>0</v>
      </c>
      <c r="G11" s="180">
        <f t="shared" ref="G11" si="0">G8+G10</f>
        <v>0</v>
      </c>
      <c r="H11" s="152"/>
      <c r="I11" s="152"/>
    </row>
    <row r="12" spans="4:10" s="171" customFormat="1" ht="10.15" customHeight="1" x14ac:dyDescent="0.3">
      <c r="D12" s="152"/>
      <c r="E12" s="152"/>
      <c r="F12" s="181"/>
      <c r="G12" s="181"/>
      <c r="H12" s="152"/>
      <c r="I12" s="152"/>
    </row>
    <row r="13" spans="4:10" s="174" customFormat="1" ht="18" customHeight="1" x14ac:dyDescent="0.25">
      <c r="D13" s="182" t="s">
        <v>120</v>
      </c>
      <c r="E13" s="183">
        <f t="shared" ref="E13:G13" si="1">IDENTIF_TAUX_DE_FINANCEMENT</f>
        <v>0.75</v>
      </c>
      <c r="F13" s="183">
        <f t="shared" si="1"/>
        <v>0.75</v>
      </c>
      <c r="G13" s="183">
        <f t="shared" si="1"/>
        <v>0.75</v>
      </c>
      <c r="H13" s="152"/>
      <c r="I13" s="152"/>
      <c r="J13" s="184"/>
    </row>
    <row r="14" spans="4:10" s="188" customFormat="1" ht="26.25" customHeight="1" x14ac:dyDescent="0.2">
      <c r="D14" s="185" t="s">
        <v>121</v>
      </c>
      <c r="E14" s="186" t="e">
        <f>IDENTIF_MONTANT_SUBSIDE</f>
        <v>#N/A</v>
      </c>
      <c r="F14" s="186">
        <f>(ROUND(F11*F13,2))</f>
        <v>0</v>
      </c>
      <c r="G14" s="187">
        <f>ROUND(G11*G13,2)</f>
        <v>0</v>
      </c>
      <c r="H14" s="152"/>
      <c r="I14" s="152"/>
    </row>
    <row r="15" spans="4:10" s="160" customFormat="1" ht="8.25" customHeight="1" x14ac:dyDescent="0.25">
      <c r="D15" s="189"/>
      <c r="E15" s="190"/>
      <c r="F15" s="190"/>
      <c r="G15" s="191"/>
      <c r="H15" s="152"/>
      <c r="I15" s="152"/>
    </row>
    <row r="16" spans="4:10" ht="18.75" customHeight="1" x14ac:dyDescent="0.2">
      <c r="D16" s="193" t="s">
        <v>122</v>
      </c>
      <c r="E16" s="237"/>
      <c r="F16" s="194"/>
      <c r="G16" s="195">
        <f>G14-F14</f>
        <v>0</v>
      </c>
      <c r="H16" s="152"/>
      <c r="I16" s="152"/>
    </row>
    <row r="17" spans="2:11" ht="9.75" customHeight="1" x14ac:dyDescent="0.2">
      <c r="D17" s="197"/>
      <c r="E17" s="192"/>
      <c r="F17" s="190"/>
      <c r="G17" s="191"/>
      <c r="H17" s="152"/>
      <c r="I17" s="152"/>
    </row>
    <row r="18" spans="2:11" ht="16.5" hidden="1" customHeight="1" x14ac:dyDescent="0.2">
      <c r="D18" s="198" t="s">
        <v>123</v>
      </c>
      <c r="E18" s="196"/>
      <c r="F18" s="200"/>
      <c r="G18" s="199">
        <v>0</v>
      </c>
      <c r="H18" s="152"/>
      <c r="I18" s="152"/>
      <c r="K18" s="201"/>
    </row>
    <row r="19" spans="2:11" s="153" customFormat="1" ht="7.5" customHeight="1" x14ac:dyDescent="0.25">
      <c r="D19" s="152"/>
      <c r="E19" s="192"/>
      <c r="F19" s="192"/>
      <c r="G19" s="192"/>
      <c r="H19" s="152"/>
      <c r="I19" s="152"/>
    </row>
    <row r="20" spans="2:11" s="204" customFormat="1" ht="15" customHeight="1" x14ac:dyDescent="0.2">
      <c r="D20" s="202" t="s">
        <v>124</v>
      </c>
      <c r="E20" s="203" t="e">
        <f>'1-Identification'!B21</f>
        <v>#N/A</v>
      </c>
      <c r="F20" s="190"/>
      <c r="G20" s="190"/>
      <c r="H20" s="152"/>
      <c r="I20" s="152"/>
    </row>
    <row r="21" spans="2:11" ht="15.75" hidden="1" customHeight="1" x14ac:dyDescent="0.2">
      <c r="D21" s="247" t="s">
        <v>1328</v>
      </c>
      <c r="E21" s="200"/>
      <c r="F21" s="200"/>
      <c r="G21" s="195">
        <f>G14-G18</f>
        <v>0</v>
      </c>
      <c r="H21" s="152"/>
      <c r="I21" s="152"/>
    </row>
    <row r="22" spans="2:11" ht="45" hidden="1" customHeight="1" thickBot="1" x14ac:dyDescent="0.25">
      <c r="C22" s="248" t="s">
        <v>1333</v>
      </c>
      <c r="F22" s="117"/>
      <c r="H22" s="117"/>
    </row>
    <row r="23" spans="2:11" ht="24" hidden="1" customHeight="1" x14ac:dyDescent="0.2">
      <c r="B23" s="476" t="s">
        <v>1337</v>
      </c>
      <c r="C23" s="479" t="s">
        <v>1334</v>
      </c>
      <c r="D23" s="480"/>
      <c r="E23" s="481"/>
      <c r="F23" s="347"/>
      <c r="H23" s="152"/>
      <c r="I23" s="152"/>
    </row>
    <row r="24" spans="2:11" ht="26.25" hidden="1" customHeight="1" x14ac:dyDescent="0.2">
      <c r="B24" s="477"/>
      <c r="C24" s="482" t="s">
        <v>1335</v>
      </c>
      <c r="D24" s="483"/>
      <c r="E24" s="484"/>
      <c r="F24" s="348"/>
      <c r="H24" s="152"/>
      <c r="I24" s="152"/>
    </row>
    <row r="25" spans="2:11" ht="25.5" hidden="1" customHeight="1" thickBot="1" x14ac:dyDescent="0.25">
      <c r="B25" s="478"/>
      <c r="C25" s="485" t="s">
        <v>1338</v>
      </c>
      <c r="D25" s="486"/>
      <c r="E25" s="487"/>
      <c r="F25" s="349" t="e">
        <f>SYNTH_FR-F23</f>
        <v>#N/A</v>
      </c>
      <c r="H25" s="152"/>
      <c r="I25" s="152"/>
    </row>
    <row r="26" spans="2:11" ht="20.25" hidden="1" customHeight="1" x14ac:dyDescent="0.2">
      <c r="B26" s="473" t="s">
        <v>1336</v>
      </c>
      <c r="C26" s="470" t="s">
        <v>1339</v>
      </c>
      <c r="D26" s="471"/>
      <c r="E26" s="472"/>
      <c r="F26" s="350">
        <f>SYNTH_FR_JUSTIF_2+SYNT_FR_OLD+SYNTH_Montant_liquidé_OLD</f>
        <v>0</v>
      </c>
      <c r="H26" s="152"/>
      <c r="I26" s="152"/>
    </row>
    <row r="27" spans="2:11" ht="20.25" hidden="1" customHeight="1" x14ac:dyDescent="0.2">
      <c r="B27" s="474"/>
      <c r="C27" s="467" t="s">
        <v>1340</v>
      </c>
      <c r="D27" s="468"/>
      <c r="E27" s="469"/>
      <c r="F27" s="351" t="e">
        <f>F25-SYNTH_FR_JUSTIF_2</f>
        <v>#N/A</v>
      </c>
      <c r="H27" s="152"/>
      <c r="I27" s="152"/>
    </row>
    <row r="28" spans="2:11" ht="20.25" hidden="1" customHeight="1" x14ac:dyDescent="0.2">
      <c r="B28" s="474"/>
      <c r="C28" s="467" t="s">
        <v>1327</v>
      </c>
      <c r="D28" s="468"/>
      <c r="E28" s="469"/>
      <c r="F28" s="351" t="e">
        <f>SYNTH_FR+$F$24+SYNTH_MONTANT_LIQUIDE_2</f>
        <v>#N/A</v>
      </c>
      <c r="H28" s="152"/>
      <c r="I28" s="152"/>
    </row>
    <row r="29" spans="2:11" ht="20.25" hidden="1" customHeight="1" thickBot="1" x14ac:dyDescent="0.3">
      <c r="B29" s="475"/>
      <c r="C29" s="464" t="s">
        <v>1326</v>
      </c>
      <c r="D29" s="465"/>
      <c r="E29" s="466"/>
      <c r="F29" s="349" t="e">
        <f>SYNTH_SUBSIDE-F28</f>
        <v>#N/A</v>
      </c>
    </row>
    <row r="30" spans="2:11" ht="21" hidden="1" x14ac:dyDescent="0.35">
      <c r="D30" s="205"/>
      <c r="E30" s="205"/>
      <c r="F30" s="117"/>
    </row>
    <row r="31" spans="2:11" ht="21" x14ac:dyDescent="0.35">
      <c r="D31" s="205"/>
      <c r="E31" s="205"/>
      <c r="F31" s="206"/>
      <c r="G31" s="205"/>
    </row>
    <row r="32" spans="2:11" ht="21" x14ac:dyDescent="0.35">
      <c r="D32" s="205"/>
      <c r="E32" s="205"/>
      <c r="F32" s="206"/>
      <c r="G32" s="205"/>
    </row>
    <row r="33" spans="4:7" ht="21" x14ac:dyDescent="0.35">
      <c r="D33" s="205"/>
      <c r="E33" s="205"/>
      <c r="F33" s="206"/>
      <c r="G33" s="205"/>
    </row>
    <row r="34" spans="4:7" ht="21" x14ac:dyDescent="0.35">
      <c r="D34" s="205"/>
      <c r="E34" s="205"/>
      <c r="F34" s="206"/>
      <c r="G34" s="205"/>
    </row>
    <row r="35" spans="4:7" ht="21" x14ac:dyDescent="0.35">
      <c r="D35" s="205"/>
      <c r="E35" s="205"/>
      <c r="F35" s="206"/>
      <c r="G35" s="205"/>
    </row>
    <row r="36" spans="4:7" ht="21" x14ac:dyDescent="0.35">
      <c r="D36" s="205"/>
      <c r="E36" s="205"/>
      <c r="F36" s="206"/>
      <c r="G36" s="205"/>
    </row>
    <row r="37" spans="4:7" ht="21" x14ac:dyDescent="0.35">
      <c r="D37" s="205"/>
      <c r="E37" s="205"/>
      <c r="F37" s="206"/>
      <c r="G37" s="205"/>
    </row>
    <row r="38" spans="4:7" ht="21" x14ac:dyDescent="0.35">
      <c r="D38" s="205"/>
      <c r="E38" s="205"/>
      <c r="F38" s="206"/>
      <c r="G38" s="205"/>
    </row>
    <row r="39" spans="4:7" ht="21" x14ac:dyDescent="0.35">
      <c r="D39" s="205"/>
      <c r="E39" s="205"/>
      <c r="F39" s="206"/>
      <c r="G39" s="205"/>
    </row>
    <row r="40" spans="4:7" ht="21" x14ac:dyDescent="0.35">
      <c r="D40" s="205"/>
      <c r="E40" s="205"/>
      <c r="F40" s="206"/>
      <c r="G40" s="205"/>
    </row>
    <row r="41" spans="4:7" ht="21" x14ac:dyDescent="0.35">
      <c r="D41" s="205"/>
      <c r="E41" s="205"/>
      <c r="F41" s="206"/>
      <c r="G41" s="205"/>
    </row>
  </sheetData>
  <sheetProtection algorithmName="SHA-512" hashValue="rggBDCOzN3K2mgMNqU2h5oCyRv+X1r3yw6Ea9dFfRHtT7R0i9a7zmIDKEo1Xa7WZ+gIV6FGEk0URAw+lqTuWJA==" saltValue="ig54AyFxtH3bVB5bPbxZfw==" spinCount="100000" sheet="1" formatCells="0" formatColumns="0" formatRows="0"/>
  <customSheetViews>
    <customSheetView guid="{C3F58662-020B-4E56-B390-38D4A953D070}" scale="90" showPageBreaks="1" showGridLines="0" printArea="1" view="pageBreakPreview">
      <selection activeCell="AE46" sqref="AE46"/>
      <colBreaks count="2" manualBreakCount="2">
        <brk id="9" min="3" max="59" man="1"/>
        <brk id="17" min="3" max="59" man="1"/>
      </colBreaks>
      <pageMargins left="0" right="0" top="0" bottom="0" header="0" footer="0"/>
      <pageSetup paperSize="9" scale="61" fitToWidth="3" orientation="portrait" horizontalDpi="0" verticalDpi="0" r:id="rId1"/>
      <headerFooter>
        <oddHeader>&amp;F</oddHeader>
        <oddFooter>&amp;C&amp;A&amp;R&amp;P/&amp;N</oddFooter>
      </headerFooter>
    </customSheetView>
  </customSheetViews>
  <mergeCells count="10">
    <mergeCell ref="E7:E10"/>
    <mergeCell ref="B23:B25"/>
    <mergeCell ref="B26:B29"/>
    <mergeCell ref="C23:E23"/>
    <mergeCell ref="C24:E24"/>
    <mergeCell ref="C25:E25"/>
    <mergeCell ref="C26:E26"/>
    <mergeCell ref="C27:E27"/>
    <mergeCell ref="C28:E28"/>
    <mergeCell ref="C29:E29"/>
  </mergeCells>
  <conditionalFormatting sqref="F8:G8 F10:G10">
    <cfRule type="cellIs" dxfId="6" priority="313" operator="equal">
      <formula>0</formula>
    </cfRule>
  </conditionalFormatting>
  <conditionalFormatting sqref="G16">
    <cfRule type="cellIs" dxfId="5" priority="9" operator="lessThan">
      <formula>0</formula>
    </cfRule>
  </conditionalFormatting>
  <conditionalFormatting sqref="G12 G8 G10">
    <cfRule type="cellIs" dxfId="4" priority="8" operator="greaterThan">
      <formula>0</formula>
    </cfRule>
  </conditionalFormatting>
  <conditionalFormatting sqref="E14">
    <cfRule type="cellIs" dxfId="3" priority="5" operator="notEqual">
      <formula>TAB4_TOTAL_RW</formula>
    </cfRule>
  </conditionalFormatting>
  <conditionalFormatting sqref="G18">
    <cfRule type="expression" dxfId="2" priority="656">
      <formula>G18&lt;&gt;SUM(#REF!)</formula>
    </cfRule>
  </conditionalFormatting>
  <conditionalFormatting sqref="G14">
    <cfRule type="cellIs" dxfId="1" priority="2" operator="greaterThan">
      <formula>$E$14</formula>
    </cfRule>
  </conditionalFormatting>
  <conditionalFormatting sqref="F27:F28">
    <cfRule type="cellIs" dxfId="0" priority="1" operator="lessThan">
      <formula>0</formula>
    </cfRule>
  </conditionalFormatting>
  <dataValidations xWindow="758" yWindow="679" count="2">
    <dataValidation allowBlank="1" showInputMessage="1" showErrorMessage="1" prompt="Encodez dans la cellule C23 le montant justifié par les/les  DC remise(s) précemement (à compléter uniqument si vous avez introduit des DC intermédiaires)." sqref="F23" xr:uid="{6FDCA354-A71C-4189-BF45-E45BC42AF28C}"/>
    <dataValidation allowBlank="1" showInputMessage="1" showErrorMessage="1" prompt="Encodez dans la cellule C24 le montant liquidé par les/les  DC remise(s) précemement (à compléter uniqument si vous avez introduit des DC intermédiaires)." sqref="F24" xr:uid="{2CB54BC9-97D5-4BDA-BBFE-66577D7E5B13}"/>
  </dataValidations>
  <pageMargins left="0.19685039370078741" right="0.19685039370078741" top="0.39370078740157483" bottom="0.39370078740157483" header="0" footer="0"/>
  <pageSetup paperSize="9" scale="69" orientation="landscape" horizontalDpi="300" verticalDpi="300" r:id="rId2"/>
  <headerFooter>
    <oddHeader>&amp;F</oddHeader>
    <oddFooter>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C3">
    <tabColor rgb="FF33CCFF"/>
  </sheetPr>
  <dimension ref="B1:AZ61"/>
  <sheetViews>
    <sheetView showGridLines="0" topLeftCell="B1" zoomScaleNormal="100" zoomScaleSheetLayoutView="100" workbookViewId="0">
      <selection activeCell="G37" sqref="G37"/>
    </sheetView>
  </sheetViews>
  <sheetFormatPr baseColWidth="10" defaultColWidth="10.7109375" defaultRowHeight="15.75" x14ac:dyDescent="0.25"/>
  <cols>
    <col min="1" max="1" width="16.7109375" style="7" customWidth="1"/>
    <col min="2" max="2" width="17.28515625" style="7" customWidth="1"/>
    <col min="3" max="3" width="11.42578125" style="7" customWidth="1"/>
    <col min="4" max="4" width="11.7109375" style="7" customWidth="1"/>
    <col min="5" max="5" width="7.28515625" style="7" customWidth="1"/>
    <col min="6" max="6" width="12.28515625" style="7" customWidth="1"/>
    <col min="7" max="7" width="10.7109375" style="7" customWidth="1"/>
    <col min="8" max="8" width="11.7109375" style="7" customWidth="1"/>
    <col min="9" max="9" width="11.28515625" style="7" customWidth="1"/>
    <col min="10" max="10" width="8.28515625" style="7" customWidth="1"/>
    <col min="11" max="12" width="11.42578125" style="7"/>
    <col min="13" max="13" width="1.7109375" style="7"/>
    <col min="14" max="14" width="2.7109375" style="7" customWidth="1"/>
    <col min="15" max="25" width="1.7109375" style="7"/>
    <col min="26" max="26" width="1.7109375" style="51"/>
    <col min="27" max="28" width="1.7109375" style="51" customWidth="1"/>
    <col min="29" max="52" width="10.7109375" style="51"/>
    <col min="53" max="16384" width="10.7109375" style="7"/>
  </cols>
  <sheetData>
    <row r="1" spans="2:14" x14ac:dyDescent="0.25">
      <c r="B1" s="17"/>
      <c r="C1" s="17"/>
      <c r="D1" s="17"/>
      <c r="E1" s="17"/>
      <c r="F1" s="17"/>
      <c r="G1" s="17"/>
      <c r="H1" s="17"/>
      <c r="I1" s="18"/>
      <c r="J1" s="18" t="s">
        <v>125</v>
      </c>
    </row>
    <row r="2" spans="2:14" ht="10.5" customHeight="1" x14ac:dyDescent="0.25">
      <c r="B2" s="17"/>
      <c r="C2" s="17"/>
      <c r="D2" s="17"/>
      <c r="E2" s="17"/>
      <c r="F2" s="17"/>
      <c r="G2" s="17"/>
      <c r="H2" s="17"/>
      <c r="I2" s="18"/>
      <c r="J2" s="18" t="s">
        <v>126</v>
      </c>
    </row>
    <row r="3" spans="2:14" ht="6" customHeight="1" thickBot="1" x14ac:dyDescent="0.3">
      <c r="B3" s="17"/>
      <c r="C3" s="17"/>
      <c r="D3" s="17"/>
      <c r="E3" s="17"/>
      <c r="F3" s="17"/>
      <c r="G3" s="17"/>
      <c r="H3" s="17"/>
      <c r="I3" s="17"/>
      <c r="J3" s="19"/>
      <c r="M3" s="8"/>
      <c r="N3" s="8"/>
    </row>
    <row r="4" spans="2:14" ht="27" customHeight="1" thickTop="1" thickBot="1" x14ac:dyDescent="0.3">
      <c r="B4" s="439" t="s">
        <v>127</v>
      </c>
      <c r="C4" s="440"/>
      <c r="D4" s="440"/>
      <c r="E4" s="440"/>
      <c r="F4" s="440"/>
      <c r="G4" s="440"/>
      <c r="H4" s="440"/>
      <c r="I4" s="440"/>
      <c r="J4" s="441"/>
      <c r="K4" s="3"/>
      <c r="L4" s="3"/>
      <c r="M4" s="3"/>
    </row>
    <row r="5" spans="2:14" ht="6" hidden="1" customHeight="1" thickTop="1" x14ac:dyDescent="0.25">
      <c r="B5" s="20"/>
      <c r="C5" s="20"/>
      <c r="D5" s="20"/>
      <c r="E5" s="20"/>
      <c r="F5" s="20"/>
      <c r="G5" s="20"/>
      <c r="H5" s="20"/>
      <c r="I5" s="20"/>
      <c r="J5" s="19"/>
      <c r="K5" s="3"/>
      <c r="L5" s="3"/>
      <c r="M5" s="3"/>
    </row>
    <row r="6" spans="2:14" ht="17.25" customHeight="1" thickTop="1" x14ac:dyDescent="0.25">
      <c r="B6" s="16" t="s">
        <v>128</v>
      </c>
      <c r="C6" s="21"/>
      <c r="D6" s="21"/>
      <c r="E6" s="21"/>
      <c r="F6" s="21"/>
      <c r="G6" s="21"/>
      <c r="H6" s="21"/>
      <c r="I6" s="21"/>
      <c r="J6" s="19"/>
      <c r="K6" s="4"/>
      <c r="L6" s="4"/>
      <c r="M6" s="4"/>
    </row>
    <row r="7" spans="2:14" ht="15" customHeight="1" x14ac:dyDescent="0.25">
      <c r="B7" s="22" t="s">
        <v>129</v>
      </c>
      <c r="C7" s="443" t="str">
        <f>IF('1-Identification'!B4="","",'1-Identification'!B4)</f>
        <v>Sélectionner Commune/Supra</v>
      </c>
      <c r="D7" s="444"/>
      <c r="E7" s="17"/>
      <c r="F7" s="23" t="s">
        <v>130</v>
      </c>
      <c r="G7" s="23" t="s">
        <v>131</v>
      </c>
      <c r="H7" s="17"/>
      <c r="I7" s="24" t="s">
        <v>132</v>
      </c>
      <c r="J7" s="17"/>
    </row>
    <row r="8" spans="2:14" ht="15" customHeight="1" x14ac:dyDescent="0.25">
      <c r="B8" s="22" t="s">
        <v>133</v>
      </c>
      <c r="C8" s="443" t="e">
        <f>IF('1-Identification'!B14="","",'1-Identification'!B14)</f>
        <v>#N/A</v>
      </c>
      <c r="D8" s="444"/>
      <c r="E8" s="17"/>
      <c r="F8" s="17"/>
      <c r="G8" s="17"/>
      <c r="H8" s="24"/>
      <c r="I8" s="24"/>
      <c r="J8" s="17"/>
    </row>
    <row r="9" spans="2:14" ht="15" customHeight="1" x14ac:dyDescent="0.25">
      <c r="B9" s="25" t="s">
        <v>134</v>
      </c>
      <c r="C9" s="443" t="e">
        <f>IF('1-Identification'!B5="","",'1-Identification'!B5)</f>
        <v>#N/A</v>
      </c>
      <c r="D9" s="444"/>
      <c r="E9" s="17"/>
      <c r="F9" s="17"/>
      <c r="G9" s="17"/>
      <c r="H9" s="26"/>
      <c r="I9" s="24"/>
      <c r="J9" s="17"/>
    </row>
    <row r="10" spans="2:14" ht="15" customHeight="1" x14ac:dyDescent="0.25">
      <c r="B10" s="25" t="str">
        <f>'4-Déclaration de créance'!A27</f>
        <v>IBAN :</v>
      </c>
      <c r="C10" s="443" t="e">
        <f>IF('4-Déclaration de créance'!B27="","",'4-Déclaration de créance'!B27)</f>
        <v>#N/A</v>
      </c>
      <c r="D10" s="444"/>
      <c r="E10" s="17"/>
      <c r="F10" s="22" t="s">
        <v>135</v>
      </c>
      <c r="G10" s="46" t="str">
        <f>IF('1-Identification'!F15="","",'1-Identification'!F15)</f>
        <v/>
      </c>
      <c r="H10" s="27" t="s">
        <v>111</v>
      </c>
      <c r="I10" s="47" t="str">
        <f>IF('1-Identification'!F16="","",'1-Identification'!F16)</f>
        <v/>
      </c>
      <c r="J10" s="17"/>
    </row>
    <row r="11" spans="2:14" ht="15" customHeight="1" x14ac:dyDescent="0.25">
      <c r="B11" s="25" t="str">
        <f>'4-Déclaration de créance'!A28</f>
        <v>BIC :</v>
      </c>
      <c r="C11" s="443">
        <f>IF('4-Déclaration de créance'!B28="","",'4-Déclaration de créance'!B28)</f>
        <v>0</v>
      </c>
      <c r="D11" s="444"/>
      <c r="E11" s="17"/>
      <c r="F11" s="28"/>
      <c r="G11" s="17"/>
      <c r="H11" s="17"/>
      <c r="I11" s="29"/>
      <c r="J11" s="17"/>
    </row>
    <row r="12" spans="2:14" ht="15" customHeight="1" x14ac:dyDescent="0.25">
      <c r="B12" s="25" t="s">
        <v>136</v>
      </c>
      <c r="C12" s="448">
        <f>IF('4-Déclaration de créance'!B29="","",'4-Déclaration de créance'!B29)</f>
        <v>0</v>
      </c>
      <c r="D12" s="449"/>
      <c r="E12" s="17"/>
      <c r="F12" s="451" t="s">
        <v>137</v>
      </c>
      <c r="G12" s="451"/>
      <c r="H12" s="451"/>
      <c r="I12" s="104">
        <f>DC_TOT_DECL</f>
        <v>0</v>
      </c>
    </row>
    <row r="13" spans="2:14" ht="15" customHeight="1" x14ac:dyDescent="0.25">
      <c r="B13" s="25" t="str">
        <f>'4-Déclaration de créance'!A30</f>
        <v>ouvert au nom de :</v>
      </c>
      <c r="C13" s="446" t="str">
        <f>IF('4-Déclaration de créance'!B30="","",'4-Déclaration de créance'!B30)</f>
        <v xml:space="preserve">  </v>
      </c>
      <c r="D13" s="446"/>
      <c r="E13" s="446"/>
      <c r="F13" s="17"/>
      <c r="G13" s="24"/>
      <c r="H13" s="24"/>
      <c r="I13" s="24"/>
      <c r="J13" s="17"/>
    </row>
    <row r="14" spans="2:14" ht="6" customHeight="1" x14ac:dyDescent="0.25">
      <c r="B14" s="29"/>
      <c r="C14" s="29"/>
      <c r="D14" s="17"/>
      <c r="E14" s="29"/>
      <c r="F14" s="17"/>
      <c r="G14" s="29"/>
      <c r="H14" s="17"/>
      <c r="I14" s="17"/>
      <c r="J14" s="17"/>
    </row>
    <row r="15" spans="2:14" ht="18.75" customHeight="1" x14ac:dyDescent="0.25">
      <c r="B15" s="29"/>
      <c r="C15" s="30" t="s">
        <v>138</v>
      </c>
      <c r="D15" s="30" t="s">
        <v>139</v>
      </c>
      <c r="F15" s="30"/>
      <c r="G15" s="30"/>
      <c r="H15" s="30"/>
      <c r="I15" s="30"/>
    </row>
    <row r="16" spans="2:14" ht="13.5" customHeight="1" x14ac:dyDescent="0.25">
      <c r="B16" s="22" t="s">
        <v>140</v>
      </c>
      <c r="C16" s="72" t="e">
        <f>'1-Identification'!B20</f>
        <v>#N/A</v>
      </c>
      <c r="D16" s="45" t="e">
        <f>IF(IDENTIF_VISA_CONV="","",IDENTIF_VISA_CONV)</f>
        <v>#N/A</v>
      </c>
    </row>
    <row r="17" spans="2:52" ht="15" customHeight="1" x14ac:dyDescent="0.25">
      <c r="B17" s="31"/>
      <c r="C17" s="31"/>
      <c r="D17" s="31"/>
      <c r="E17" s="31"/>
      <c r="F17" s="17"/>
      <c r="G17" s="31"/>
      <c r="H17" s="31"/>
      <c r="I17" s="31"/>
      <c r="J17" s="17"/>
    </row>
    <row r="18" spans="2:52" s="9" customFormat="1" ht="23.25" customHeight="1" x14ac:dyDescent="0.25">
      <c r="B18" s="22" t="s">
        <v>141</v>
      </c>
      <c r="C18" s="106"/>
      <c r="D18" s="107" t="s">
        <v>1300</v>
      </c>
      <c r="E18" s="32"/>
      <c r="F18" s="22" t="s">
        <v>143</v>
      </c>
      <c r="G18" s="48"/>
      <c r="H18" s="27" t="s">
        <v>144</v>
      </c>
      <c r="I18" s="442"/>
      <c r="J18" s="44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2:52" s="9" customFormat="1" ht="23.25" customHeight="1" x14ac:dyDescent="0.25">
      <c r="B19" s="33" t="s">
        <v>145</v>
      </c>
      <c r="C19" s="432" t="s">
        <v>146</v>
      </c>
      <c r="D19" s="432"/>
      <c r="E19" s="32"/>
      <c r="F19" s="32"/>
      <c r="G19" s="32"/>
      <c r="H19" s="32"/>
      <c r="I19" s="28"/>
      <c r="J19" s="3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2:52" ht="9" customHeight="1" x14ac:dyDescent="0.25">
      <c r="B20" s="17"/>
      <c r="C20" s="17"/>
      <c r="D20" s="17"/>
      <c r="E20" s="17"/>
      <c r="F20" s="17"/>
      <c r="G20" s="17"/>
      <c r="H20" s="17"/>
      <c r="I20" s="17"/>
      <c r="J20" s="17"/>
    </row>
    <row r="21" spans="2:52" ht="19.5" customHeight="1" x14ac:dyDescent="0.25">
      <c r="B21" s="34" t="s">
        <v>147</v>
      </c>
      <c r="C21" s="35"/>
      <c r="D21" s="32"/>
      <c r="E21" s="32"/>
      <c r="F21" s="32"/>
      <c r="G21" s="32"/>
      <c r="H21" s="32"/>
      <c r="I21" s="32"/>
      <c r="J21" s="17"/>
    </row>
    <row r="22" spans="2:52" ht="13.5" customHeight="1" x14ac:dyDescent="0.25">
      <c r="B22" s="447" t="s">
        <v>148</v>
      </c>
      <c r="C22" s="447"/>
      <c r="D22" s="447"/>
      <c r="E22" s="447"/>
      <c r="F22" s="447"/>
      <c r="G22" s="447"/>
      <c r="H22" s="447"/>
      <c r="I22" s="447"/>
      <c r="J22" s="447"/>
    </row>
    <row r="23" spans="2:52" ht="15" customHeight="1" x14ac:dyDescent="0.25">
      <c r="B23" s="32"/>
      <c r="C23" s="32"/>
      <c r="D23" s="36" t="s">
        <v>149</v>
      </c>
      <c r="E23" s="17"/>
      <c r="F23" s="17"/>
      <c r="G23" s="17"/>
      <c r="H23" s="450"/>
      <c r="I23" s="450"/>
      <c r="J23" s="17"/>
    </row>
    <row r="24" spans="2:52" ht="22.5" customHeight="1" x14ac:dyDescent="0.25">
      <c r="B24" s="445" t="s">
        <v>150</v>
      </c>
      <c r="C24" s="445"/>
      <c r="D24" s="63"/>
      <c r="E24" s="17"/>
      <c r="F24" s="17"/>
      <c r="G24" s="17"/>
      <c r="H24" s="17"/>
      <c r="I24" s="17"/>
      <c r="J24" s="17"/>
    </row>
    <row r="25" spans="2:52" ht="35.25" customHeight="1" x14ac:dyDescent="0.25">
      <c r="B25" s="445" t="s">
        <v>151</v>
      </c>
      <c r="C25" s="445"/>
      <c r="D25" s="63"/>
      <c r="E25" s="37"/>
      <c r="F25" s="17"/>
      <c r="G25" s="17"/>
      <c r="H25" s="17"/>
      <c r="I25" s="17"/>
      <c r="J25" s="17"/>
    </row>
    <row r="26" spans="2:52" ht="27.75" customHeight="1" x14ac:dyDescent="0.25">
      <c r="B26" s="445" t="s">
        <v>152</v>
      </c>
      <c r="C26" s="445"/>
      <c r="D26" s="63"/>
      <c r="E26" s="17"/>
      <c r="F26" s="17"/>
      <c r="G26" s="17"/>
      <c r="H26" s="17"/>
      <c r="I26" s="17"/>
      <c r="J26" s="17"/>
    </row>
    <row r="27" spans="2:52" ht="3.75" customHeight="1" x14ac:dyDescent="0.25">
      <c r="B27" s="17"/>
      <c r="C27" s="17"/>
      <c r="D27" s="17"/>
      <c r="E27" s="17"/>
      <c r="F27" s="17"/>
      <c r="G27" s="17"/>
      <c r="H27" s="17"/>
      <c r="I27" s="32"/>
      <c r="J27" s="17"/>
    </row>
    <row r="28" spans="2:52" ht="3.75" customHeight="1" x14ac:dyDescent="0.25">
      <c r="B28" s="17"/>
      <c r="C28" s="17"/>
      <c r="D28" s="17"/>
      <c r="E28" s="17"/>
      <c r="F28" s="17"/>
      <c r="G28" s="17"/>
      <c r="H28" s="17"/>
      <c r="I28" s="32"/>
      <c r="J28" s="17"/>
    </row>
    <row r="29" spans="2:52" ht="4.5" customHeight="1" x14ac:dyDescent="0.25">
      <c r="B29" s="17"/>
      <c r="C29" s="17"/>
      <c r="D29" s="17"/>
      <c r="E29" s="17"/>
      <c r="F29" s="17"/>
      <c r="G29" s="17"/>
      <c r="H29" s="17"/>
      <c r="I29" s="32"/>
      <c r="J29" s="17"/>
    </row>
    <row r="30" spans="2:52" x14ac:dyDescent="0.25">
      <c r="B30" s="34" t="s">
        <v>153</v>
      </c>
      <c r="C30" s="32"/>
      <c r="D30" s="32"/>
      <c r="E30" s="32"/>
      <c r="F30" s="32"/>
      <c r="G30" s="32"/>
      <c r="H30" s="32"/>
      <c r="I30" s="32"/>
      <c r="J30" s="17"/>
    </row>
    <row r="31" spans="2:52" ht="58.5" customHeight="1" x14ac:dyDescent="0.25">
      <c r="B31" s="437" t="s">
        <v>154</v>
      </c>
      <c r="C31" s="437"/>
      <c r="D31" s="437"/>
      <c r="E31" s="38" t="s">
        <v>155</v>
      </c>
      <c r="F31" s="438" t="s">
        <v>156</v>
      </c>
      <c r="G31" s="438"/>
      <c r="H31" s="438"/>
      <c r="I31" s="438"/>
      <c r="J31" s="438"/>
    </row>
    <row r="32" spans="2:52" ht="5.25" customHeight="1" x14ac:dyDescent="0.25">
      <c r="B32" s="17"/>
      <c r="C32" s="17"/>
      <c r="D32" s="17"/>
      <c r="E32" s="17"/>
      <c r="F32" s="17"/>
      <c r="G32" s="17"/>
      <c r="H32" s="17"/>
      <c r="I32" s="17"/>
      <c r="J32" s="17"/>
    </row>
    <row r="33" spans="2:52" x14ac:dyDescent="0.25">
      <c r="B33" s="33" t="s">
        <v>157</v>
      </c>
      <c r="C33" s="442"/>
      <c r="D33" s="442"/>
      <c r="E33" s="442"/>
      <c r="F33" s="442"/>
      <c r="G33" s="442"/>
      <c r="H33" s="442"/>
      <c r="I33" s="442"/>
      <c r="J33" s="442"/>
    </row>
    <row r="34" spans="2:52" customFormat="1" ht="8.25" customHeight="1" x14ac:dyDescent="0.25">
      <c r="B34" s="17"/>
      <c r="C34" s="17"/>
      <c r="D34" s="17"/>
      <c r="E34" s="17"/>
      <c r="F34" s="17"/>
      <c r="G34" s="17"/>
      <c r="H34" s="17"/>
      <c r="I34" s="17"/>
      <c r="J34" s="17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2:52" customFormat="1" ht="15" x14ac:dyDescent="0.25">
      <c r="B35" s="39" t="s">
        <v>158</v>
      </c>
      <c r="C35" s="17"/>
      <c r="D35" s="17"/>
      <c r="E35" s="17"/>
      <c r="F35" s="39" t="s">
        <v>159</v>
      </c>
      <c r="G35" s="17"/>
      <c r="H35" s="17"/>
      <c r="I35" s="17"/>
      <c r="J35" s="17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2:52" ht="24" customHeight="1" x14ac:dyDescent="0.25">
      <c r="B36" s="40"/>
      <c r="C36" s="38" t="s">
        <v>160</v>
      </c>
      <c r="D36" s="433" t="s">
        <v>161</v>
      </c>
      <c r="E36" s="433"/>
      <c r="F36" s="17"/>
      <c r="G36" s="17"/>
      <c r="H36" s="17"/>
      <c r="I36" s="17"/>
      <c r="J36" s="17"/>
    </row>
    <row r="37" spans="2:52" ht="18.75" customHeight="1" x14ac:dyDescent="0.25">
      <c r="B37" s="41" t="s">
        <v>140</v>
      </c>
      <c r="C37" s="44" t="e">
        <f>IF('1-Identification'!$B23="","",'1-Identification'!$B$23)</f>
        <v>#N/A</v>
      </c>
      <c r="D37" s="82">
        <f>SYNTH_MONTANT_LIQUIDE_2</f>
        <v>0</v>
      </c>
      <c r="E37" s="17"/>
      <c r="F37" s="42" t="s">
        <v>162</v>
      </c>
      <c r="G37" s="71" t="e">
        <f>SYNTH_SOLDE_SUBV</f>
        <v>#N/A</v>
      </c>
      <c r="H37" s="49"/>
      <c r="I37" s="50"/>
      <c r="J37" s="17"/>
    </row>
    <row r="38" spans="2:52" ht="17.25" customHeight="1" x14ac:dyDescent="0.25">
      <c r="B38" s="17"/>
      <c r="C38" s="17"/>
      <c r="D38" s="62"/>
      <c r="E38" s="17"/>
      <c r="F38" s="433" t="s">
        <v>163</v>
      </c>
      <c r="G38" s="433"/>
      <c r="H38" s="433"/>
      <c r="I38" s="433"/>
      <c r="J38" s="433"/>
    </row>
    <row r="39" spans="2:52" ht="26.25" customHeight="1" x14ac:dyDescent="0.25">
      <c r="B39" s="436" t="s">
        <v>164</v>
      </c>
      <c r="C39" s="436"/>
      <c r="D39" s="70">
        <f>SYNTH_FR_JUSTIF_2</f>
        <v>0</v>
      </c>
      <c r="E39" s="17"/>
      <c r="F39" s="433"/>
      <c r="G39" s="433"/>
      <c r="H39" s="433"/>
      <c r="I39" s="433"/>
      <c r="J39" s="433"/>
    </row>
    <row r="40" spans="2:52" ht="2.25" customHeight="1" x14ac:dyDescent="0.25">
      <c r="B40" s="17"/>
      <c r="C40" s="32"/>
      <c r="D40" s="43"/>
      <c r="E40" s="17"/>
      <c r="F40" s="433"/>
      <c r="G40" s="433"/>
      <c r="H40" s="433"/>
      <c r="I40" s="433"/>
      <c r="J40" s="433"/>
    </row>
    <row r="41" spans="2:52" ht="2.25" customHeight="1" x14ac:dyDescent="0.25">
      <c r="B41" s="17"/>
      <c r="C41" s="17"/>
      <c r="D41" s="17"/>
      <c r="E41" s="17"/>
      <c r="F41" s="17"/>
      <c r="G41" s="17"/>
      <c r="H41" s="17"/>
      <c r="I41" s="17"/>
      <c r="J41" s="17"/>
    </row>
    <row r="42" spans="2:52" x14ac:dyDescent="0.25">
      <c r="B42" s="39" t="s">
        <v>165</v>
      </c>
      <c r="C42" s="32"/>
      <c r="D42" s="32"/>
      <c r="E42" s="32"/>
      <c r="F42" s="17"/>
      <c r="G42" s="17"/>
      <c r="H42" s="17"/>
      <c r="I42" s="17"/>
      <c r="J42" s="17"/>
    </row>
    <row r="43" spans="2:52" ht="18.75" customHeight="1" x14ac:dyDescent="0.25">
      <c r="B43" s="32" t="s">
        <v>166</v>
      </c>
      <c r="C43" s="17"/>
      <c r="D43" s="17"/>
      <c r="E43" s="17"/>
      <c r="F43" s="17"/>
      <c r="G43" s="17"/>
      <c r="H43" s="17"/>
      <c r="I43" s="17"/>
      <c r="J43" s="17"/>
    </row>
    <row r="44" spans="2:52" ht="24.75" customHeight="1" x14ac:dyDescent="0.25">
      <c r="B44" s="33" t="s">
        <v>167</v>
      </c>
      <c r="C44" s="435" t="str">
        <f>D18</f>
        <v xml:space="preserve">Gestionnaire  </v>
      </c>
      <c r="D44" s="435"/>
      <c r="E44" s="32"/>
      <c r="F44" s="37"/>
      <c r="G44" s="37" t="s">
        <v>168</v>
      </c>
      <c r="H44" s="17"/>
      <c r="I44" s="32"/>
      <c r="J44" s="17"/>
    </row>
    <row r="45" spans="2:52" ht="39" customHeight="1" x14ac:dyDescent="0.25">
      <c r="B45" s="33" t="s">
        <v>169</v>
      </c>
      <c r="C45" s="434"/>
      <c r="D45" s="434"/>
      <c r="E45" s="32"/>
      <c r="F45" s="32"/>
      <c r="G45" s="32"/>
      <c r="H45" s="32"/>
      <c r="I45" s="32"/>
      <c r="J45" s="17"/>
    </row>
    <row r="60" spans="2:52" s="10" customFormat="1" x14ac:dyDescent="0.25">
      <c r="B60" s="1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</row>
    <row r="61" spans="2:52" s="10" customFormat="1" x14ac:dyDescent="0.25">
      <c r="B61" s="1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</row>
  </sheetData>
  <sheetProtection sheet="1" formatColumns="0" formatRows="0"/>
  <customSheetViews>
    <customSheetView guid="{C3F58662-020B-4E56-B390-38D4A953D070}" fitToPage="1">
      <selection activeCell="I31" sqref="I31"/>
      <pageMargins left="0" right="0" top="0" bottom="0" header="0" footer="0"/>
      <printOptions horizontalCentered="1"/>
      <pageSetup paperSize="9" scale="69" orientation="portrait" horizontalDpi="0" verticalDpi="0" r:id="rId1"/>
      <headerFooter>
        <oddHeader>&amp;F</oddHeader>
        <oddFooter>&amp;C&amp;A &amp;P/&amp;N</oddFooter>
      </headerFooter>
    </customSheetView>
  </customSheetViews>
  <mergeCells count="24">
    <mergeCell ref="B4:J4"/>
    <mergeCell ref="C33:J33"/>
    <mergeCell ref="C10:D10"/>
    <mergeCell ref="B24:C24"/>
    <mergeCell ref="C13:E13"/>
    <mergeCell ref="C7:D7"/>
    <mergeCell ref="C8:D8"/>
    <mergeCell ref="B26:C26"/>
    <mergeCell ref="B25:C25"/>
    <mergeCell ref="B22:J22"/>
    <mergeCell ref="C11:D11"/>
    <mergeCell ref="C12:D12"/>
    <mergeCell ref="C9:D9"/>
    <mergeCell ref="H23:I23"/>
    <mergeCell ref="F12:H12"/>
    <mergeCell ref="I18:J18"/>
    <mergeCell ref="C19:D19"/>
    <mergeCell ref="F38:J40"/>
    <mergeCell ref="C45:D45"/>
    <mergeCell ref="C44:D44"/>
    <mergeCell ref="B39:C39"/>
    <mergeCell ref="B31:D31"/>
    <mergeCell ref="F31:J31"/>
    <mergeCell ref="D36:E36"/>
  </mergeCells>
  <dataValidations count="2">
    <dataValidation type="list" showInputMessage="1" showErrorMessage="1" sqref="C19" xr:uid="{00000000-0002-0000-0800-000000000000}">
      <formula1>LISTE_AG_COMPTA</formula1>
    </dataValidation>
    <dataValidation type="list" allowBlank="1" showInputMessage="1" showErrorMessage="1" sqref="C44:D44" xr:uid="{FF975B19-B222-4461-9F7F-90EED3418CCB}">
      <formula1>LISTE_AG_TECH</formula1>
    </dataValidation>
  </dataValidations>
  <printOptions horizontalCentered="1" verticalCentered="1"/>
  <pageMargins left="0" right="0" top="0" bottom="0" header="0" footer="0"/>
  <pageSetup paperSize="9" scale="96" orientation="portrait" blackAndWhite="1" horizontalDpi="1200" verticalDpi="1200" r:id="rId2"/>
  <headerFooter scaleWithDoc="0">
    <oddHeader>&amp;C&amp;8&amp;A - &amp;F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19050</xdr:rowOff>
                  </from>
                  <to>
                    <xdr:col>7</xdr:col>
                    <xdr:colOff>361950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19050</xdr:rowOff>
                  </from>
                  <to>
                    <xdr:col>9</xdr:col>
                    <xdr:colOff>304800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142875</xdr:rowOff>
                  </from>
                  <to>
                    <xdr:col>1</xdr:col>
                    <xdr:colOff>304800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1</xdr:col>
                    <xdr:colOff>323850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266700</xdr:rowOff>
                  </from>
                  <to>
                    <xdr:col>1</xdr:col>
                    <xdr:colOff>323850</xdr:colOff>
                    <xdr:row>30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5</xdr:col>
                    <xdr:colOff>104775</xdr:colOff>
                    <xdr:row>30</xdr:row>
                    <xdr:rowOff>133350</xdr:rowOff>
                  </from>
                  <to>
                    <xdr:col>5</xdr:col>
                    <xdr:colOff>104775</xdr:colOff>
                    <xdr:row>30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1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28575</xdr:rowOff>
                  </from>
                  <to>
                    <xdr:col>1</xdr:col>
                    <xdr:colOff>323850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Check Box 18">
              <controlPr defaultSize="0" autoFill="0" autoLine="0" autoPict="0">
                <anchor moveWithCells="1">
                  <from>
                    <xdr:col>5</xdr:col>
                    <xdr:colOff>76200</xdr:colOff>
                    <xdr:row>30</xdr:row>
                    <xdr:rowOff>190500</xdr:rowOff>
                  </from>
                  <to>
                    <xdr:col>5</xdr:col>
                    <xdr:colOff>381000</xdr:colOff>
                    <xdr:row>30</xdr:row>
                    <xdr:rowOff>495300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7ED722-A58B-4487-A8DA-097835184E56}">
          <x14:formula1>
            <xm:f>LISTE!$E:$E</xm:f>
          </x14:formula1>
          <xm:sqref>D18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_ORDO">
    <tabColor rgb="FF33CCFF"/>
  </sheetPr>
  <dimension ref="B1:P37"/>
  <sheetViews>
    <sheetView showGridLines="0" zoomScale="90" zoomScaleNormal="90" zoomScaleSheetLayoutView="90" workbookViewId="0">
      <selection activeCell="C7" sqref="C7"/>
    </sheetView>
  </sheetViews>
  <sheetFormatPr baseColWidth="10" defaultColWidth="10.7109375" defaultRowHeight="15" x14ac:dyDescent="0.25"/>
  <cols>
    <col min="1" max="1" width="0.42578125" customWidth="1"/>
    <col min="2" max="2" width="25.7109375" customWidth="1"/>
    <col min="3" max="18" width="14.28515625" customWidth="1"/>
  </cols>
  <sheetData>
    <row r="1" spans="2:16" ht="23.25" customHeight="1" x14ac:dyDescent="0.25">
      <c r="B1" s="452" t="s">
        <v>170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P1" s="2" t="s">
        <v>65</v>
      </c>
    </row>
    <row r="2" spans="2:16" ht="23.25" customHeight="1" thickBot="1" x14ac:dyDescent="0.3">
      <c r="B2" s="54"/>
      <c r="C2" s="55" t="s">
        <v>171</v>
      </c>
    </row>
    <row r="3" spans="2:16" ht="15" customHeight="1" x14ac:dyDescent="0.25">
      <c r="B3" s="56" t="s">
        <v>172</v>
      </c>
      <c r="C3" s="57" t="e">
        <f>IDENTIF_VISA_CONV</f>
        <v>#N/A</v>
      </c>
      <c r="P3" s="1" t="s">
        <v>173</v>
      </c>
    </row>
    <row r="4" spans="2:16" ht="15" customHeight="1" thickBot="1" x14ac:dyDescent="0.3">
      <c r="B4" s="58" t="s">
        <v>174</v>
      </c>
      <c r="C4" s="59" t="str">
        <f>'1-Identification'!B4</f>
        <v>Sélectionner Commune/Supra</v>
      </c>
      <c r="P4" s="1"/>
    </row>
    <row r="5" spans="2:16" ht="15" customHeight="1" thickBot="1" x14ac:dyDescent="0.3">
      <c r="B5" s="60" t="s">
        <v>175</v>
      </c>
      <c r="C5" s="75" t="e">
        <f>'1-Identification'!B20</f>
        <v>#N/A</v>
      </c>
      <c r="P5" s="1"/>
    </row>
    <row r="6" spans="2:16" ht="15" customHeight="1" x14ac:dyDescent="0.25">
      <c r="B6" s="56" t="s">
        <v>176</v>
      </c>
      <c r="C6" s="76" t="e">
        <f>'5-Synthèse'!E20</f>
        <v>#N/A</v>
      </c>
      <c r="P6" s="1"/>
    </row>
    <row r="7" spans="2:16" ht="15" customHeight="1" x14ac:dyDescent="0.25">
      <c r="B7" s="61" t="s">
        <v>177</v>
      </c>
      <c r="C7" s="77" t="e">
        <f>'5-Synthèse'!#REF!</f>
        <v>#REF!</v>
      </c>
      <c r="P7" s="1"/>
    </row>
    <row r="8" spans="2:16" ht="15" customHeight="1" x14ac:dyDescent="0.25">
      <c r="B8" s="61" t="s">
        <v>178</v>
      </c>
      <c r="C8" s="77">
        <f>'5-Synthèse'!G18</f>
        <v>0</v>
      </c>
      <c r="P8" s="1"/>
    </row>
    <row r="11" spans="2:16" ht="9" customHeight="1" x14ac:dyDescent="0.25"/>
    <row r="12" spans="2:16" x14ac:dyDescent="0.25">
      <c r="B12" s="5"/>
      <c r="C12" s="5"/>
      <c r="D12" s="5"/>
      <c r="E12" s="5"/>
      <c r="F12" s="5"/>
      <c r="G12" s="5"/>
    </row>
    <row r="13" spans="2:16" x14ac:dyDescent="0.25">
      <c r="B13" s="5"/>
      <c r="C13" s="5"/>
      <c r="D13" s="5"/>
      <c r="E13" s="5"/>
      <c r="F13" s="5"/>
      <c r="G13" s="5"/>
    </row>
    <row r="14" spans="2:16" x14ac:dyDescent="0.25">
      <c r="B14" s="5"/>
      <c r="C14" s="5"/>
      <c r="D14" s="5"/>
    </row>
    <row r="15" spans="2:16" x14ac:dyDescent="0.25">
      <c r="B15" s="5"/>
      <c r="C15" s="5"/>
      <c r="D15" s="5"/>
    </row>
    <row r="16" spans="2:16" x14ac:dyDescent="0.25">
      <c r="B16" s="5"/>
      <c r="C16" s="5"/>
      <c r="D16" s="5"/>
    </row>
    <row r="17" spans="2:9" x14ac:dyDescent="0.25">
      <c r="B17" s="5"/>
      <c r="C17" s="5"/>
      <c r="D17" s="5"/>
      <c r="E17" s="5"/>
    </row>
    <row r="18" spans="2:9" x14ac:dyDescent="0.25">
      <c r="B18" s="5"/>
      <c r="C18" s="5"/>
      <c r="D18" s="5"/>
      <c r="E18" s="5"/>
    </row>
    <row r="19" spans="2:9" x14ac:dyDescent="0.25">
      <c r="B19" s="5"/>
      <c r="C19" s="5"/>
      <c r="D19" s="5"/>
      <c r="E19" s="5"/>
    </row>
    <row r="20" spans="2:9" x14ac:dyDescent="0.25">
      <c r="B20" s="5"/>
      <c r="C20" s="5"/>
      <c r="D20" s="5"/>
      <c r="E20" s="5"/>
    </row>
    <row r="21" spans="2:9" x14ac:dyDescent="0.25">
      <c r="B21" s="5"/>
      <c r="C21" s="5"/>
      <c r="D21" s="5"/>
      <c r="E21" s="5"/>
    </row>
    <row r="22" spans="2:9" x14ac:dyDescent="0.25">
      <c r="B22" s="5"/>
      <c r="C22" s="5"/>
      <c r="D22" s="5"/>
      <c r="E22" s="5"/>
    </row>
    <row r="23" spans="2:9" x14ac:dyDescent="0.25">
      <c r="B23" s="5"/>
      <c r="C23" s="5"/>
      <c r="D23" s="5"/>
      <c r="E23" s="5"/>
    </row>
    <row r="24" spans="2:9" x14ac:dyDescent="0.25">
      <c r="B24" s="5"/>
      <c r="C24" s="5"/>
      <c r="D24" s="5"/>
      <c r="E24" s="5"/>
    </row>
    <row r="25" spans="2:9" x14ac:dyDescent="0.25">
      <c r="B25" s="5"/>
      <c r="C25" s="5"/>
      <c r="D25" s="5"/>
      <c r="E25" s="5"/>
    </row>
    <row r="26" spans="2:9" x14ac:dyDescent="0.25">
      <c r="B26" s="5"/>
      <c r="C26" s="5"/>
      <c r="D26" s="5"/>
      <c r="E26" s="5"/>
    </row>
    <row r="27" spans="2:9" x14ac:dyDescent="0.25">
      <c r="B27" s="5"/>
      <c r="C27" s="5"/>
      <c r="D27" s="5"/>
      <c r="E27" s="5"/>
    </row>
    <row r="28" spans="2:9" x14ac:dyDescent="0.25">
      <c r="B28" s="5"/>
      <c r="C28" s="5"/>
      <c r="D28" s="5"/>
      <c r="E28" s="5"/>
    </row>
    <row r="29" spans="2:9" x14ac:dyDescent="0.25">
      <c r="B29" s="5"/>
      <c r="C29" s="5"/>
      <c r="D29" s="5"/>
      <c r="E29" s="5"/>
      <c r="I29" s="12"/>
    </row>
    <row r="30" spans="2:9" x14ac:dyDescent="0.25">
      <c r="B30" s="13">
        <v>40179</v>
      </c>
      <c r="C30" s="13">
        <v>40544</v>
      </c>
      <c r="D30" s="13">
        <v>42005</v>
      </c>
      <c r="E30" s="13">
        <v>42370</v>
      </c>
      <c r="F30" s="13">
        <v>42736</v>
      </c>
      <c r="G30" s="12"/>
      <c r="H30" s="12"/>
      <c r="I30" s="12"/>
    </row>
    <row r="31" spans="2:9" x14ac:dyDescent="0.25">
      <c r="B31" s="13">
        <v>40543</v>
      </c>
      <c r="C31" s="13">
        <v>40908</v>
      </c>
      <c r="D31" s="13">
        <v>42369</v>
      </c>
      <c r="E31" s="13">
        <v>42735</v>
      </c>
      <c r="F31" s="13">
        <v>43100</v>
      </c>
      <c r="G31" s="12"/>
      <c r="H31" s="12"/>
    </row>
    <row r="32" spans="2:9" x14ac:dyDescent="0.25">
      <c r="B32" s="5"/>
      <c r="C32" s="5"/>
      <c r="D32" s="5"/>
      <c r="E32" s="5"/>
    </row>
    <row r="33" spans="2:5" x14ac:dyDescent="0.25">
      <c r="B33" s="5"/>
      <c r="C33" s="5"/>
      <c r="D33" s="5"/>
      <c r="E33" s="5"/>
    </row>
    <row r="34" spans="2:5" x14ac:dyDescent="0.25">
      <c r="E34" s="5"/>
    </row>
    <row r="35" spans="2:5" x14ac:dyDescent="0.25">
      <c r="E35" s="5"/>
    </row>
    <row r="36" spans="2:5" x14ac:dyDescent="0.25">
      <c r="E36" s="5"/>
    </row>
    <row r="37" spans="2:5" x14ac:dyDescent="0.25">
      <c r="E37" s="5"/>
    </row>
  </sheetData>
  <sheetProtection sheet="1" formatColumns="0" formatRows="0"/>
  <customSheetViews>
    <customSheetView guid="{C3F58662-020B-4E56-B390-38D4A953D070}" scale="90" showGridLines="0">
      <selection activeCell="I31" sqref="I31"/>
      <pageMargins left="0" right="0" top="0" bottom="0" header="0" footer="0"/>
      <pageSetup paperSize="9" scale="85" orientation="landscape" horizontalDpi="0" verticalDpi="0" r:id="rId1"/>
    </customSheetView>
  </customSheetViews>
  <mergeCells count="1">
    <mergeCell ref="B1:L1"/>
  </mergeCells>
  <pageMargins left="0.19685039370078741" right="0.19685039370078741" top="0.74803149606299213" bottom="0.74803149606299213" header="0.31496062992125984" footer="0.31496062992125984"/>
  <pageSetup paperSize="9" scale="65" orientation="landscape" r:id="rId2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C5">
    <tabColor rgb="FF33CCFF"/>
  </sheetPr>
  <dimension ref="B1:J25"/>
  <sheetViews>
    <sheetView showGridLines="0" zoomScale="90" zoomScaleNormal="90" zoomScaleSheetLayoutView="100" workbookViewId="0">
      <selection activeCell="G18" sqref="G18"/>
    </sheetView>
  </sheetViews>
  <sheetFormatPr baseColWidth="10" defaultColWidth="11.42578125" defaultRowHeight="15" x14ac:dyDescent="0.25"/>
  <cols>
    <col min="1" max="1" width="1.5703125" customWidth="1"/>
    <col min="2" max="2" width="12" customWidth="1"/>
    <col min="7" max="7" width="13.28515625" customWidth="1"/>
  </cols>
  <sheetData>
    <row r="1" spans="2:10" ht="15.75" x14ac:dyDescent="0.25">
      <c r="B1" s="7"/>
      <c r="C1" s="17"/>
      <c r="D1" s="17"/>
      <c r="E1" s="17"/>
      <c r="F1" s="17"/>
      <c r="G1" s="17"/>
      <c r="H1" s="17"/>
      <c r="I1" s="17"/>
      <c r="J1" s="18" t="s">
        <v>125</v>
      </c>
    </row>
    <row r="2" spans="2:10" ht="15.75" x14ac:dyDescent="0.25">
      <c r="B2" s="7"/>
      <c r="C2" s="17"/>
      <c r="D2" s="17"/>
      <c r="E2" s="17"/>
      <c r="F2" s="17"/>
      <c r="G2" s="17"/>
      <c r="H2" s="17"/>
      <c r="I2" s="17"/>
      <c r="J2" s="18" t="s">
        <v>126</v>
      </c>
    </row>
    <row r="3" spans="2:10" ht="16.5" thickBot="1" x14ac:dyDescent="0.3">
      <c r="B3" s="7"/>
      <c r="C3" s="17"/>
      <c r="D3" s="17"/>
      <c r="E3" s="17"/>
      <c r="F3" s="17"/>
      <c r="G3" s="17"/>
      <c r="H3" s="17"/>
      <c r="I3" s="17"/>
      <c r="J3" s="17"/>
    </row>
    <row r="4" spans="2:10" ht="17.25" thickTop="1" thickBot="1" x14ac:dyDescent="0.3">
      <c r="B4" s="457" t="s">
        <v>179</v>
      </c>
      <c r="C4" s="458"/>
      <c r="D4" s="458"/>
      <c r="E4" s="458"/>
      <c r="F4" s="458"/>
      <c r="G4" s="458"/>
      <c r="H4" s="458"/>
      <c r="I4" s="458"/>
      <c r="J4" s="459"/>
    </row>
    <row r="5" spans="2:10" ht="16.5" thickTop="1" x14ac:dyDescent="0.25">
      <c r="B5" s="7"/>
      <c r="C5" s="20"/>
      <c r="D5" s="20"/>
      <c r="E5" s="20"/>
      <c r="F5" s="20"/>
      <c r="G5" s="20"/>
      <c r="H5" s="20"/>
      <c r="I5" s="20"/>
      <c r="J5" s="20"/>
    </row>
    <row r="6" spans="2:10" ht="15.75" x14ac:dyDescent="0.25">
      <c r="B6" s="7"/>
      <c r="C6" s="16"/>
      <c r="D6" s="21"/>
      <c r="E6" s="21"/>
      <c r="F6" s="21"/>
      <c r="G6" s="21"/>
      <c r="H6" s="21"/>
      <c r="I6" s="21"/>
      <c r="J6" s="21"/>
    </row>
    <row r="7" spans="2:10" ht="24" x14ac:dyDescent="0.25">
      <c r="B7" t="s">
        <v>129</v>
      </c>
      <c r="C7" s="6"/>
      <c r="D7" s="74" t="str">
        <f>IF('1-Identification'!B4="","",'1-Identification'!B4)</f>
        <v>Sélectionner Commune/Supra</v>
      </c>
      <c r="E7" s="73"/>
      <c r="F7" s="17"/>
      <c r="G7" s="23"/>
      <c r="H7" s="23"/>
      <c r="I7" s="17"/>
      <c r="J7" s="24"/>
    </row>
    <row r="8" spans="2:10" x14ac:dyDescent="0.25">
      <c r="B8" s="460" t="s">
        <v>133</v>
      </c>
      <c r="C8" s="461"/>
      <c r="D8" s="74" t="e">
        <f>IF('1-Identification'!B14="","",'1-Identification'!B14)</f>
        <v>#N/A</v>
      </c>
      <c r="E8" s="73"/>
      <c r="F8" s="17"/>
      <c r="G8" s="17"/>
      <c r="H8" s="17"/>
      <c r="I8" s="24"/>
      <c r="J8" s="24"/>
    </row>
    <row r="10" spans="2:10" x14ac:dyDescent="0.25">
      <c r="B10" s="29"/>
      <c r="C10" s="30" t="s">
        <v>138</v>
      </c>
      <c r="D10" s="66" t="s">
        <v>139</v>
      </c>
      <c r="F10" s="30"/>
      <c r="G10" s="30"/>
      <c r="H10" s="30"/>
      <c r="I10" s="30"/>
    </row>
    <row r="11" spans="2:10" ht="18.75" customHeight="1" x14ac:dyDescent="0.25">
      <c r="B11" s="69" t="s">
        <v>140</v>
      </c>
      <c r="C11" s="72" t="e">
        <f>'1-Identification'!B20</f>
        <v>#N/A</v>
      </c>
      <c r="D11" s="65" t="e">
        <f>IDENTIF_VISA_CONV</f>
        <v>#N/A</v>
      </c>
      <c r="F11" s="17"/>
      <c r="G11" s="17"/>
      <c r="H11" s="17"/>
      <c r="I11" s="17"/>
      <c r="J11" s="17"/>
    </row>
    <row r="13" spans="2:10" ht="30.75" customHeight="1" x14ac:dyDescent="0.25">
      <c r="B13" s="454" t="s">
        <v>1314</v>
      </c>
      <c r="C13" s="454"/>
      <c r="D13" s="454"/>
      <c r="E13" s="454"/>
      <c r="F13" s="454"/>
      <c r="G13" s="454"/>
      <c r="H13" s="454"/>
      <c r="I13" s="454"/>
      <c r="J13" s="454"/>
    </row>
    <row r="14" spans="2:10" x14ac:dyDescent="0.25">
      <c r="B14" s="68" t="s">
        <v>1315</v>
      </c>
      <c r="D14" s="78"/>
      <c r="E14" s="79"/>
      <c r="F14" t="s">
        <v>180</v>
      </c>
    </row>
    <row r="17" spans="2:9" x14ac:dyDescent="0.25">
      <c r="F17" s="68" t="s">
        <v>181</v>
      </c>
      <c r="G17" s="80">
        <f>'5-Synthèse'!F26</f>
        <v>0</v>
      </c>
      <c r="H17" s="67"/>
    </row>
    <row r="18" spans="2:9" x14ac:dyDescent="0.25">
      <c r="F18" s="68" t="s">
        <v>182</v>
      </c>
      <c r="G18" s="80" t="e">
        <f>SYNTH_SOLDE_SUBV</f>
        <v>#N/A</v>
      </c>
      <c r="H18" s="67"/>
      <c r="I18" t="s">
        <v>183</v>
      </c>
    </row>
    <row r="19" spans="2:9" x14ac:dyDescent="0.25">
      <c r="F19" s="68" t="s">
        <v>182</v>
      </c>
      <c r="G19" s="80" t="e">
        <f>SYNTH_FR_NON_JUSTIF</f>
        <v>#N/A</v>
      </c>
      <c r="H19" s="67"/>
      <c r="I19" t="s">
        <v>184</v>
      </c>
    </row>
    <row r="22" spans="2:9" x14ac:dyDescent="0.25">
      <c r="B22" s="64" t="s">
        <v>167</v>
      </c>
      <c r="D22" s="462" t="str">
        <f>IF('C3'!C44="","",'C3'!C44)</f>
        <v xml:space="preserve">Gestionnaire  </v>
      </c>
      <c r="E22" s="463"/>
    </row>
    <row r="23" spans="2:9" ht="39" customHeight="1" x14ac:dyDescent="0.25">
      <c r="B23" s="64" t="s">
        <v>185</v>
      </c>
      <c r="D23" s="455"/>
      <c r="E23" s="456"/>
    </row>
    <row r="24" spans="2:9" ht="24" customHeight="1" x14ac:dyDescent="0.25"/>
    <row r="25" spans="2:9" x14ac:dyDescent="0.25">
      <c r="B25" s="64" t="s">
        <v>186</v>
      </c>
      <c r="D25" s="455"/>
      <c r="E25" s="456"/>
    </row>
  </sheetData>
  <sheetProtection sheet="1" objects="1" scenarios="1"/>
  <mergeCells count="6">
    <mergeCell ref="B13:J13"/>
    <mergeCell ref="D23:E23"/>
    <mergeCell ref="D25:E25"/>
    <mergeCell ref="B4:J4"/>
    <mergeCell ref="B8:C8"/>
    <mergeCell ref="D22:E22"/>
  </mergeCell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1">
              <controlPr defaultSize="0" print="0" autoFill="0" autoPict="0" macro="[0]!exportpdf_C5">
                <anchor moveWithCells="1" sizeWithCells="1">
                  <from>
                    <xdr:col>1</xdr:col>
                    <xdr:colOff>209550</xdr:colOff>
                    <xdr:row>26</xdr:row>
                    <xdr:rowOff>133350</xdr:rowOff>
                  </from>
                  <to>
                    <xdr:col>5</xdr:col>
                    <xdr:colOff>19050</xdr:colOff>
                    <xdr:row>29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A65A2DD5DF44A80A654981849549B" ma:contentTypeVersion="17" ma:contentTypeDescription="Crée un document." ma:contentTypeScope="" ma:versionID="560182cd5c4c74457221d2043dc80856">
  <xsd:schema xmlns:xsd="http://www.w3.org/2001/XMLSchema" xmlns:xs="http://www.w3.org/2001/XMLSchema" xmlns:p="http://schemas.microsoft.com/office/2006/metadata/properties" xmlns:ns2="c1a3df3e-33cb-4260-8132-609fc1ecef07" xmlns:ns3="db7435c9-3aa2-4ddd-a3fd-7413ce4a853b" targetNamespace="http://schemas.microsoft.com/office/2006/metadata/properties" ma:root="true" ma:fieldsID="0cc4c351ab9f70a2fe0e7a633c31d958" ns2:_="" ns3:_="">
    <xsd:import namespace="c1a3df3e-33cb-4260-8132-609fc1ecef07"/>
    <xsd:import namespace="db7435c9-3aa2-4ddd-a3fd-7413ce4a8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3df3e-33cb-4260-8132-609fc1ece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435c9-3aa2-4ddd-a3fd-7413ce4a853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8778c9c-666d-4ff1-a670-db9690eff8b8}" ma:internalName="TaxCatchAll" ma:showField="CatchAllData" ma:web="db7435c9-3aa2-4ddd-a3fd-7413ce4a85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a3df3e-33cb-4260-8132-609fc1ecef07">
      <Terms xmlns="http://schemas.microsoft.com/office/infopath/2007/PartnerControls"/>
    </lcf76f155ced4ddcb4097134ff3c332f>
    <TaxCatchAll xmlns="db7435c9-3aa2-4ddd-a3fd-7413ce4a85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965403-24DA-48EE-B75B-2318431A8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3df3e-33cb-4260-8132-609fc1ecef07"/>
    <ds:schemaRef ds:uri="db7435c9-3aa2-4ddd-a3fd-7413ce4a8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BE80B-17BF-4683-9231-F9B3439CA542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b7435c9-3aa2-4ddd-a3fd-7413ce4a853b"/>
    <ds:schemaRef ds:uri="c1a3df3e-33cb-4260-8132-609fc1ecef07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A07C846-057A-4351-A773-4C8E87771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85</vt:i4>
      </vt:variant>
    </vt:vector>
  </HeadingPairs>
  <TitlesOfParts>
    <vt:vector size="97" baseType="lpstr">
      <vt:lpstr>INFOS</vt:lpstr>
      <vt:lpstr>1-Identification</vt:lpstr>
      <vt:lpstr>2-Frais de personnel</vt:lpstr>
      <vt:lpstr>3-Sous-traitance</vt:lpstr>
      <vt:lpstr>4-Déclaration de créance</vt:lpstr>
      <vt:lpstr>5-Synthèse</vt:lpstr>
      <vt:lpstr>C3</vt:lpstr>
      <vt:lpstr>Plan ord.</vt:lpstr>
      <vt:lpstr>C5</vt:lpstr>
      <vt:lpstr>PUBLI</vt:lpstr>
      <vt:lpstr>infos bénéficiaires</vt:lpstr>
      <vt:lpstr>LISTE</vt:lpstr>
      <vt:lpstr>'infos bénéficiaires'!BENEFICIAIRE</vt:lpstr>
      <vt:lpstr>DATE_DEB_CONV</vt:lpstr>
      <vt:lpstr>DATE_FIN_CONV</vt:lpstr>
      <vt:lpstr>DC_N°</vt:lpstr>
      <vt:lpstr>DC_TOT_DECL</vt:lpstr>
      <vt:lpstr>ETP</vt:lpstr>
      <vt:lpstr>GT</vt:lpstr>
      <vt:lpstr>IDENTIF_ADRESSE</vt:lpstr>
      <vt:lpstr>IDENTIF_ADRESSE_CP</vt:lpstr>
      <vt:lpstr>IDENTIF_ADRESSE_LOC</vt:lpstr>
      <vt:lpstr>IDENTIF_AGT_CIV</vt:lpstr>
      <vt:lpstr>IDENTIF_AGT_EMAIL</vt:lpstr>
      <vt:lpstr>IDENTIF_AGT_NOM</vt:lpstr>
      <vt:lpstr>IDENTIF_AGT_SERVICE</vt:lpstr>
      <vt:lpstr>IDENTIF_AGT_TEL</vt:lpstr>
      <vt:lpstr>IDENTIF_BCE</vt:lpstr>
      <vt:lpstr>IDENTIF_BUDG_AB_CONV</vt:lpstr>
      <vt:lpstr>IDENTIF_BUDG_PROGRAMME_CONV</vt:lpstr>
      <vt:lpstr>IDENTIF_COMPTE_BIC</vt:lpstr>
      <vt:lpstr>IDENTIF_COMPTE_COM</vt:lpstr>
      <vt:lpstr>IDENTIF_COMPTE_N°IBAN</vt:lpstr>
      <vt:lpstr>IDENTIF_COMPTE_OUVERT_NOM_DE</vt:lpstr>
      <vt:lpstr>IDENTIF_DEB_DC</vt:lpstr>
      <vt:lpstr>IDENTIF_FIN_DC</vt:lpstr>
      <vt:lpstr>IDENTIF_LEGALE</vt:lpstr>
      <vt:lpstr>IDENTIF_MONTANT_SUBSIDE</vt:lpstr>
      <vt:lpstr>IDENTIF_NOM_PROJET</vt:lpstr>
      <vt:lpstr>IDENTIF_NOM_REQUERANT</vt:lpstr>
      <vt:lpstr>IDENTIF_TAUX_DE_FINANCEMENT</vt:lpstr>
      <vt:lpstr>IDENTIF_VISA_CONV</vt:lpstr>
      <vt:lpstr>LISTE_AG_TECH</vt:lpstr>
      <vt:lpstr>LISTE_CIV</vt:lpstr>
      <vt:lpstr>LISTE_EMAIL_GT</vt:lpstr>
      <vt:lpstr>LISTE_EMAIL_GT_1</vt:lpstr>
      <vt:lpstr>LISTE_EMAIL_GT_2</vt:lpstr>
      <vt:lpstr>LISTE_FINALE</vt:lpstr>
      <vt:lpstr>Liste_GT_1</vt:lpstr>
      <vt:lpstr>LISTE_GT_2</vt:lpstr>
      <vt:lpstr>LISTE_MOIS</vt:lpstr>
      <vt:lpstr>LISTE_NON</vt:lpstr>
      <vt:lpstr>LISTE_OUI</vt:lpstr>
      <vt:lpstr>LISTE_OUI_NON</vt:lpstr>
      <vt:lpstr>LISTE_PERSO</vt:lpstr>
      <vt:lpstr>LISTE_RI_RF</vt:lpstr>
      <vt:lpstr>LISTE_RUBRIQUE_FONCT_NV</vt:lpstr>
      <vt:lpstr>LISTE_TVA</vt:lpstr>
      <vt:lpstr>LISTE_V_S</vt:lpstr>
      <vt:lpstr>MONTANT_DC_C3_FONDS_ROULEMENT_JUSTIFIE</vt:lpstr>
      <vt:lpstr>MONTANT_DC_C3_SOLDE_DESENGAGE</vt:lpstr>
      <vt:lpstr>MONTANT_DC_C3_TOT_LIQUIDE</vt:lpstr>
      <vt:lpstr>MONTANT_TOT_PERSO_ACC</vt:lpstr>
      <vt:lpstr>MONTANT_TOT_PERSO_DECL</vt:lpstr>
      <vt:lpstr>MONTANT_TOT_SSTRAIT_ACC</vt:lpstr>
      <vt:lpstr>MONTANT_TOT_SSTRAIT_DECL</vt:lpstr>
      <vt:lpstr>PL_ORDO_DC1</vt:lpstr>
      <vt:lpstr>PL_ORDO_DC2</vt:lpstr>
      <vt:lpstr>SYNT_A_REMBOURSER</vt:lpstr>
      <vt:lpstr>SYNT_BUDGET_100</vt:lpstr>
      <vt:lpstr>SYNT_FR_OLD</vt:lpstr>
      <vt:lpstr>SYNT_MONTANT_TOT_LIQUIDE</vt:lpstr>
      <vt:lpstr>SYNTH_ACC_2_100</vt:lpstr>
      <vt:lpstr>SYNTH_DECL_2_100</vt:lpstr>
      <vt:lpstr>SYNTH_DIFF_2</vt:lpstr>
      <vt:lpstr>SYNTH_FR</vt:lpstr>
      <vt:lpstr>SYNTH_FR_JUSTIF_2</vt:lpstr>
      <vt:lpstr>SYNTH_FR_NON_JUSTIF</vt:lpstr>
      <vt:lpstr>SYNTH_MONTANT_LIQUIDE_2</vt:lpstr>
      <vt:lpstr>SYNTH_Montant_liquidé_OLD</vt:lpstr>
      <vt:lpstr>SYNTH_PERSO_ACC_2</vt:lpstr>
      <vt:lpstr>SYNTH_PERSO_DECL_2</vt:lpstr>
      <vt:lpstr>SYNTH_SOLDE_SUBV</vt:lpstr>
      <vt:lpstr>SYNTH_SST_ACC_2</vt:lpstr>
      <vt:lpstr>SYNTH_SST_DECL_2</vt:lpstr>
      <vt:lpstr>SYNTH_SUBSIDE</vt:lpstr>
      <vt:lpstr>SYNTH_TOT_DC_ACC_2</vt:lpstr>
      <vt:lpstr>SYNTH_TOT_DC_DECL_2</vt:lpstr>
      <vt:lpstr>TVA</vt:lpstr>
      <vt:lpstr>VOS_REF</vt:lpstr>
      <vt:lpstr>'1-Identification'!Zone_d_impression</vt:lpstr>
      <vt:lpstr>'2-Frais de personnel'!Zone_d_impression</vt:lpstr>
      <vt:lpstr>'4-Déclaration de créance'!Zone_d_impression</vt:lpstr>
      <vt:lpstr>'5-Synthèse'!Zone_d_impression</vt:lpstr>
      <vt:lpstr>'C3'!Zone_d_impression</vt:lpstr>
      <vt:lpstr>'C5'!Zone_d_impression</vt:lpstr>
      <vt:lpstr>'Plan ord.'!Zone_d_impression</vt:lpstr>
    </vt:vector>
  </TitlesOfParts>
  <Manager/>
  <Company>Service Public Wallon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135432</dc:creator>
  <cp:keywords/>
  <dc:description/>
  <cp:lastModifiedBy>S. Piccirilli</cp:lastModifiedBy>
  <cp:revision/>
  <dcterms:created xsi:type="dcterms:W3CDTF">2013-02-14T10:32:48Z</dcterms:created>
  <dcterms:modified xsi:type="dcterms:W3CDTF">2023-11-28T09:59:47Z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0x010100559A65A2DD5DF44A80A654981849549B</vt:lpwstr>
  </property>
  <property fmtid="{D5CDD505-2E9C-101B-9397-08002B2CF9AE}" pid="3" name="MediaServiceImageTags">
    <vt:lpwstr/>
  </property>
  <property fmtid="{D5CDD505-2E9C-101B-9397-08002B2CF9AE}" pid="4" name="MSIP_Label_8903f633-4a78-4eed-bb49-365e45b1f3e8_Enabled">
    <vt:lpwstr>true</vt:lpwstr>
  </property>
  <property fmtid="{D5CDD505-2E9C-101B-9397-08002B2CF9AE}" pid="5" name="MSIP_Label_8903f633-4a78-4eed-bb49-365e45b1f3e8_SetDate">
    <vt:lpwstr>2023-08-31T13:14:12Z</vt:lpwstr>
  </property>
  <property fmtid="{D5CDD505-2E9C-101B-9397-08002B2CF9AE}" pid="6" name="MSIP_Label_8903f633-4a78-4eed-bb49-365e45b1f3e8_Method">
    <vt:lpwstr>Privileged</vt:lpwstr>
  </property>
  <property fmtid="{D5CDD505-2E9C-101B-9397-08002B2CF9AE}" pid="7" name="MSIP_Label_8903f633-4a78-4eed-bb49-365e45b1f3e8_Name">
    <vt:lpwstr>8903f633-4a78-4eed-bb49-365e45b1f3e8</vt:lpwstr>
  </property>
  <property fmtid="{D5CDD505-2E9C-101B-9397-08002B2CF9AE}" pid="8" name="MSIP_Label_8903f633-4a78-4eed-bb49-365e45b1f3e8_SiteId">
    <vt:lpwstr>1f816a84-7aa6-4a56-b22a-7b3452fa8681</vt:lpwstr>
  </property>
  <property fmtid="{D5CDD505-2E9C-101B-9397-08002B2CF9AE}" pid="9" name="MSIP_Label_8903f633-4a78-4eed-bb49-365e45b1f3e8_ActionId">
    <vt:lpwstr>629f8c54-5f80-4c38-80b0-02010e387a71</vt:lpwstr>
  </property>
  <property fmtid="{D5CDD505-2E9C-101B-9397-08002B2CF9AE}" pid="10" name="MSIP_Label_8903f633-4a78-4eed-bb49-365e45b1f3e8_ContentBits">
    <vt:lpwstr>0</vt:lpwstr>
  </property>
</Properties>
</file>