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5.xml" ContentType="application/vnd.openxmlformats-officedocument.drawing+xml"/>
  <Override PartName="/xl/ctrlProps/ctrlProp12.xml" ContentType="application/vnd.ms-excel.controlpropertie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alloniegov.sharepoint.com/sites/POLLEC-EquipedeCoordination/Documents partages/- Suivis des appels/Suivi-SUBV_P-20-21-22/1_Créa_Form_GPL/P21/"/>
    </mc:Choice>
  </mc:AlternateContent>
  <xr:revisionPtr revIDLastSave="170" documentId="8_{23D44BA7-B959-4116-8839-D292BD0EC727}" xr6:coauthVersionLast="47" xr6:coauthVersionMax="47" xr10:uidLastSave="{2746D881-B65D-4A24-8A15-FCC936CCE1B9}"/>
  <bookViews>
    <workbookView xWindow="-120" yWindow="-120" windowWidth="29040" windowHeight="15720" tabRatio="935" activeTab="1" xr2:uid="{00000000-000D-0000-FFFF-FFFF00000000}"/>
  </bookViews>
  <sheets>
    <sheet name="INFOS" sheetId="16" r:id="rId1"/>
    <sheet name="Identification" sheetId="1" r:id="rId2"/>
    <sheet name="Frais de personnel" sheetId="4" r:id="rId3"/>
    <sheet name="Sous-traitance" sheetId="5" r:id="rId4"/>
    <sheet name="Déclaration de créance" sheetId="8" r:id="rId5"/>
    <sheet name="Synthèse" sheetId="10" r:id="rId6"/>
    <sheet name="C3" sheetId="13" state="hidden" r:id="rId7"/>
    <sheet name="Plan ord." sheetId="12" state="hidden" r:id="rId8"/>
    <sheet name="C5" sheetId="30" state="hidden" r:id="rId9"/>
    <sheet name="PUBLI" sheetId="33" state="hidden" r:id="rId10"/>
    <sheet name="5-Synthèse_SPW" sheetId="39" state="hidden" r:id="rId11"/>
    <sheet name="infos bénéficiaires" sheetId="35" state="hidden" r:id="rId12"/>
    <sheet name="LISTE" sheetId="38" state="hidden" r:id="rId13"/>
  </sheets>
  <definedNames>
    <definedName name="_xlnm._FilterDatabase" localSheetId="2" hidden="1">'Frais de personnel'!$A$11:$BF$59</definedName>
    <definedName name="_xlnm._FilterDatabase" localSheetId="11" hidden="1">'infos bénéficiaires'!$B$1:$T$61</definedName>
    <definedName name="_xlnm._FilterDatabase" localSheetId="3" hidden="1">'Sous-traitance'!#REF!</definedName>
    <definedName name="BENEFICIAIRE" localSheetId="11">'infos bénéficiaires'!$B:$B</definedName>
    <definedName name="DATE_DEB_CONV">Identification!$B$16</definedName>
    <definedName name="DATE_FIN_CONV">Identification!$B$17</definedName>
    <definedName name="DC_N°">Identification!$F$15</definedName>
    <definedName name="DC_TOT_DECL">'Déclaration de créance'!$D$23</definedName>
    <definedName name="ETP">'Frais de personnel'!$A$2</definedName>
    <definedName name="F_FONCT">Synthèse!$F$12</definedName>
    <definedName name="GT">'C3'!$D$18</definedName>
    <definedName name="IDENTIF_ADRESSE_LOC">Identification!$F$8</definedName>
    <definedName name="IDENTIF_AGT_CIV">Identification!$F$21</definedName>
    <definedName name="IDENTIF_AGT_EMAIL">Identification!$F$24</definedName>
    <definedName name="IDENTIF_AGT_NOM">Identification!$F$22</definedName>
    <definedName name="IDENTIF_AGT_SERVICE">Identification!$F$25</definedName>
    <definedName name="IDENTIF_AGT_TEL">Identification!$F$23</definedName>
    <definedName name="IDENTIF_BCE">Identification!$B$5</definedName>
    <definedName name="IDENTIF_BUDG_AB_CONV">Identification!$E$28</definedName>
    <definedName name="IDENTIF_BUDG_PROGRAMME_CONV">Identification!$F$28</definedName>
    <definedName name="IDENTIF_COMPTE_BIC">Identification!$B$7</definedName>
    <definedName name="IDENTIF_COMPTE_COM">Identification!$B$8</definedName>
    <definedName name="IDENTIF_COMPTE_N°IBAN">Identification!$B$6</definedName>
    <definedName name="IDENTIF_COMPTE_OUVERT_NOM_DE">Identification!$B$9</definedName>
    <definedName name="IDENTIF_DEB_DC">Identification!$F$16</definedName>
    <definedName name="IDENTIF_FIN_DC">Identification!$F$17</definedName>
    <definedName name="IDENTIF_LEGALE">Identification!$B$23</definedName>
    <definedName name="IDENTIF_MONTANT_SUBSIDE">Identification!$B$21</definedName>
    <definedName name="IDENTIF_NOM_REQUERANT">Identification!$B$4</definedName>
    <definedName name="IDENTIF_REF_PROJET">Identification!$B$15</definedName>
    <definedName name="IDENTIF_TAUX_DE_FINANCEMENT">Identification!$B$18</definedName>
    <definedName name="IDENTIF_TH_PROJET">Identification!$B$14</definedName>
    <definedName name="IDENTIF_VISA_CONV">Identification!$B$24</definedName>
    <definedName name="l_ri_rf" localSheetId="10">Tableau2[N°DC]</definedName>
    <definedName name="l_ri_rf">Tableau2[N°DC]</definedName>
    <definedName name="l_thematiques" localSheetId="10">t_thematiques[Thématique]</definedName>
    <definedName name="l_thematiques">t_thematiques[Thématique]</definedName>
    <definedName name="LISTE_AG_TECH" localSheetId="12">t_gestionnaires[[Gestionnaire  ]]</definedName>
    <definedName name="LISTE_CIV" localSheetId="12">t_civilite[Civilité]</definedName>
    <definedName name="LISTE_EMAIL_GT" localSheetId="12">t_email_gestionnaires[Email-Gestionnaire]</definedName>
    <definedName name="LISTE_MOIS" localSheetId="12">t_mois[Mois]</definedName>
    <definedName name="LISTE_N_DC">LISTE!$K$2:$K$4</definedName>
    <definedName name="LISTE_OUI_NON" localSheetId="12">t_o_n[O_N]</definedName>
    <definedName name="LISTE_PERSO">'Frais de personnel'!$A$2:$A$6</definedName>
    <definedName name="LISTE_RUBRIQUE_FONCT_NV" localSheetId="12">t_rubriques_Invest[Rubrique_INV]</definedName>
    <definedName name="LISTE_TVA" localSheetId="12">t_tva_htva[TVAC_HTVA]</definedName>
    <definedName name="LISTE_V_S" localSheetId="12">t_montant_subside[Montant_subside]</definedName>
    <definedName name="MONTANT_DC_C3_FONDS_ROULEMENT_JUSTIFIE">'C3'!$D$39</definedName>
    <definedName name="MONTANT_DC_C3_SOLDE_DESENGAGE">'C3'!$G$37</definedName>
    <definedName name="MONTANT_DC_C3_TOT_LIQUIDE">'C3'!$D$37</definedName>
    <definedName name="MONTANT_TOT_PERSO_ACC">'Frais de personnel'!$S$60</definedName>
    <definedName name="MONTANT_TOT_PERSO_DECL">'Frais de personnel'!$K$60</definedName>
    <definedName name="MONTANT_TOT_SSTRAIT_ACC">'Sous-traitance'!$L$46</definedName>
    <definedName name="MONTANT_TOT_SSTRAIT_DECL">'Sous-traitance'!$F$46</definedName>
    <definedName name="Rubrique_INV">t_rubriques_Invest[Rubrique_INV]</definedName>
    <definedName name="Rubrique_MOB">Tableau8[Rubrique_MOB]</definedName>
    <definedName name="SYNT_A_REMBOURSER">'C5'!$G$19</definedName>
    <definedName name="SYNT_BUDGET_100" localSheetId="10">'5-Synthèse_SPW'!$E$11</definedName>
    <definedName name="SYNT_BUDGET_100">Synthèse!$E$13</definedName>
    <definedName name="SYNT_FR_OLD" localSheetId="10">'5-Synthèse_SPW'!$F$23</definedName>
    <definedName name="SYNT_MONTANT_TOT_LIQUIDE" localSheetId="10">'5-Synthèse_SPW'!$F$28</definedName>
    <definedName name="SYNTH_ACC_2_100" localSheetId="10">'5-Synthèse_SPW'!$G$11</definedName>
    <definedName name="SYNTH_DECL_2_100" localSheetId="10">'5-Synthèse_SPW'!$F$11</definedName>
    <definedName name="SYNTH_DECL_2_100">Synthèse!$F$13</definedName>
    <definedName name="SYNTH_DIFF_2" localSheetId="10">'5-Synthèse_SPW'!$G$16</definedName>
    <definedName name="SYNTH_FR" localSheetId="10">'5-Synthèse_SPW'!$E$20</definedName>
    <definedName name="SYNTH_FR">Synthèse!$E$20</definedName>
    <definedName name="SYNTH_FR_JUSTIF_2" localSheetId="10">'5-Synthèse_SPW'!$G$21</definedName>
    <definedName name="SYNTH_FR_NON_JUSTIF" localSheetId="10">'5-Synthèse_SPW'!$F$27</definedName>
    <definedName name="SYNTH_MONTANT_LIQUIDE_2" localSheetId="10">'5-Synthèse_SPW'!$G$18</definedName>
    <definedName name="SYNTH_Montant_liquidé_OLD" localSheetId="10">'5-Synthèse_SPW'!$F$24</definedName>
    <definedName name="SYNTH_PERSO_ACC_2" localSheetId="10">'5-Synthèse_SPW'!$G$8</definedName>
    <definedName name="SYNTH_PERSO_DECL_2" localSheetId="10">'5-Synthèse_SPW'!$F$8</definedName>
    <definedName name="SYNTH_PERSO_DECL_2">Synthèse!$F$8</definedName>
    <definedName name="SYNTH_SOLDE_SUBV" localSheetId="10">'5-Synthèse_SPW'!$F$29</definedName>
    <definedName name="SYNTH_SST_ACC_2" localSheetId="10">'5-Synthèse_SPW'!$G$10</definedName>
    <definedName name="SYNTH_SST_DECL_2" localSheetId="10">'5-Synthèse_SPW'!$F$10</definedName>
    <definedName name="SYNTH_SST_DECL_2">Synthèse!$F$10</definedName>
    <definedName name="SYNTH_SUBSIDE" localSheetId="10">'5-Synthèse_SPW'!$E$14</definedName>
    <definedName name="SYNTH_SUBSIDE">Synthèse!$E$16</definedName>
    <definedName name="SYNTH_TOT_DC_ACC_2" localSheetId="10">'5-Synthèse_SPW'!$G$14</definedName>
    <definedName name="SYNTH_TOT_DC_DECL_2" localSheetId="10">'5-Synthèse_SPW'!$F$14</definedName>
    <definedName name="SYNTH_TOT_DC_DECL_2">Synthèse!$F$16</definedName>
    <definedName name="TVA">Identification!$B$10</definedName>
    <definedName name="VOS_REF">'Déclaration de créance'!$B$12</definedName>
    <definedName name="Z_C3F58662_020B_4E56_B390_38D4A953D070_.wvu.PrintArea" localSheetId="10" hidden="1">'5-Synthèse_SPW'!$D$1:$I$25</definedName>
    <definedName name="Z_C3F58662_020B_4E56_B390_38D4A953D070_.wvu.PrintArea" localSheetId="6" hidden="1">'C3'!$B$1:$J$45</definedName>
    <definedName name="Z_C3F58662_020B_4E56_B390_38D4A953D070_.wvu.PrintArea" localSheetId="4" hidden="1">'Déclaration de créance'!$A$1:$E$45</definedName>
    <definedName name="Z_C3F58662_020B_4E56_B390_38D4A953D070_.wvu.PrintArea" localSheetId="2" hidden="1">'Frais de personnel'!$A$9:$H$9,'Frais de personnel'!$A$11:$U$59</definedName>
    <definedName name="Z_C3F58662_020B_4E56_B390_38D4A953D070_.wvu.PrintArea" localSheetId="1" hidden="1">Identification!$A$1:$F$30</definedName>
    <definedName name="Z_C3F58662_020B_4E56_B390_38D4A953D070_.wvu.PrintArea" localSheetId="3" hidden="1">'Sous-traitance'!$A$1:$J$45,'Sous-traitance'!#REF!</definedName>
    <definedName name="Z_C3F58662_020B_4E56_B390_38D4A953D070_.wvu.PrintArea" localSheetId="5" hidden="1">Synthèse!$D$1:$H$20</definedName>
    <definedName name="_xlnm.Print_Area" localSheetId="10">'5-Synthèse_SPW'!$D$1:$I$25</definedName>
    <definedName name="_xlnm.Print_Area" localSheetId="6">'C3'!$B$1:$J$45</definedName>
    <definedName name="_xlnm.Print_Area" localSheetId="8">'C5'!$A$1:$J$26</definedName>
    <definedName name="_xlnm.Print_Area" localSheetId="4">'Déclaration de créance'!$A$1:$E$45</definedName>
    <definedName name="_xlnm.Print_Area" localSheetId="2">'Frais de personnel'!$A$9:$H$9</definedName>
    <definedName name="_xlnm.Print_Area" localSheetId="1">Identification!$A$1:$F$30</definedName>
    <definedName name="_xlnm.Print_Area" localSheetId="7">'Plan ord.'!$A$1:$L$11</definedName>
    <definedName name="_xlnm.Print_Area" localSheetId="3">'Sous-traitance'!$A$1:$J$45,'Sous-traitance'!#REF!</definedName>
    <definedName name="_xlnm.Print_Area" localSheetId="5">Synthèse!$D$1:$H$20</definedName>
  </definedNames>
  <calcPr calcId="191028" fullPrecision="0"/>
  <customWorkbookViews>
    <customWorkbookView name="dc1" guid="{C3F58662-020B-4E56-B390-38D4A953D070}" includeHiddenRowCol="0" maximized="1" xWindow="1" yWindow="1" windowWidth="1596" windowHeight="675" tabRatio="674" activeSheetId="10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T13" i="4" s="1"/>
  <c r="K14" i="4"/>
  <c r="T14" i="4" s="1"/>
  <c r="K15" i="4"/>
  <c r="T15" i="4" s="1"/>
  <c r="K16" i="4"/>
  <c r="T16" i="4" s="1"/>
  <c r="K17" i="4"/>
  <c r="K18" i="4"/>
  <c r="T18" i="4" s="1"/>
  <c r="K19" i="4"/>
  <c r="K20" i="4"/>
  <c r="K21" i="4"/>
  <c r="T21" i="4" s="1"/>
  <c r="K22" i="4"/>
  <c r="T22" i="4" s="1"/>
  <c r="K23" i="4"/>
  <c r="T23" i="4" s="1"/>
  <c r="K24" i="4"/>
  <c r="T24" i="4" s="1"/>
  <c r="K25" i="4"/>
  <c r="K26" i="4"/>
  <c r="T26" i="4" s="1"/>
  <c r="K27" i="4"/>
  <c r="K28" i="4"/>
  <c r="K29" i="4"/>
  <c r="T29" i="4" s="1"/>
  <c r="K30" i="4"/>
  <c r="T30" i="4" s="1"/>
  <c r="K31" i="4"/>
  <c r="T31" i="4" s="1"/>
  <c r="K32" i="4"/>
  <c r="T32" i="4" s="1"/>
  <c r="K33" i="4"/>
  <c r="K34" i="4"/>
  <c r="T34" i="4" s="1"/>
  <c r="K35" i="4"/>
  <c r="K36" i="4"/>
  <c r="K37" i="4"/>
  <c r="T37" i="4" s="1"/>
  <c r="K38" i="4"/>
  <c r="T38" i="4" s="1"/>
  <c r="K39" i="4"/>
  <c r="T39" i="4" s="1"/>
  <c r="K40" i="4"/>
  <c r="T40" i="4" s="1"/>
  <c r="K41" i="4"/>
  <c r="K42" i="4"/>
  <c r="T42" i="4" s="1"/>
  <c r="K43" i="4"/>
  <c r="K44" i="4"/>
  <c r="K45" i="4"/>
  <c r="T45" i="4" s="1"/>
  <c r="K46" i="4"/>
  <c r="T46" i="4" s="1"/>
  <c r="K47" i="4"/>
  <c r="T47" i="4" s="1"/>
  <c r="K48" i="4"/>
  <c r="T48" i="4" s="1"/>
  <c r="K49" i="4"/>
  <c r="K50" i="4"/>
  <c r="T50" i="4" s="1"/>
  <c r="K51" i="4"/>
  <c r="K52" i="4"/>
  <c r="K53" i="4"/>
  <c r="T53" i="4" s="1"/>
  <c r="K54" i="4"/>
  <c r="T54" i="4" s="1"/>
  <c r="K55" i="4"/>
  <c r="T55" i="4" s="1"/>
  <c r="K56" i="4"/>
  <c r="T56" i="4" s="1"/>
  <c r="K57" i="4"/>
  <c r="K58" i="4"/>
  <c r="T58" i="4" s="1"/>
  <c r="K59" i="4"/>
  <c r="N41" i="5"/>
  <c r="N42" i="5"/>
  <c r="N43" i="5"/>
  <c r="N44" i="5"/>
  <c r="N4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L4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T17" i="4"/>
  <c r="T19" i="4"/>
  <c r="T20" i="4"/>
  <c r="T25" i="4"/>
  <c r="T27" i="4"/>
  <c r="T28" i="4"/>
  <c r="T33" i="4"/>
  <c r="T35" i="4"/>
  <c r="T36" i="4"/>
  <c r="T41" i="4"/>
  <c r="T43" i="4"/>
  <c r="T44" i="4"/>
  <c r="T49" i="4"/>
  <c r="T51" i="4"/>
  <c r="T52" i="4"/>
  <c r="T57" i="4"/>
  <c r="T59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F46" i="5" l="1"/>
  <c r="F15" i="10"/>
  <c r="G13" i="39" l="1"/>
  <c r="F13" i="39"/>
  <c r="E13" i="39"/>
  <c r="F5" i="39"/>
  <c r="F3" i="39"/>
  <c r="E3" i="39"/>
  <c r="F1" i="39"/>
  <c r="E1" i="39"/>
  <c r="B30" i="8"/>
  <c r="E3" i="35" l="1"/>
  <c r="E4" i="35"/>
  <c r="E6" i="35"/>
  <c r="E5" i="35"/>
  <c r="E7" i="35"/>
  <c r="E9" i="35"/>
  <c r="E8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8" i="35"/>
  <c r="E27" i="35"/>
  <c r="E29" i="35"/>
  <c r="E30" i="35"/>
  <c r="E31" i="35"/>
  <c r="E32" i="35"/>
  <c r="E33" i="35"/>
  <c r="E34" i="35"/>
  <c r="E35" i="35"/>
  <c r="E36" i="35"/>
  <c r="E37" i="35"/>
  <c r="E38" i="35"/>
  <c r="E40" i="35"/>
  <c r="E39" i="35"/>
  <c r="E41" i="35"/>
  <c r="E42" i="35"/>
  <c r="E44" i="35"/>
  <c r="E43" i="35"/>
  <c r="E45" i="35"/>
  <c r="E46" i="35"/>
  <c r="E47" i="35"/>
  <c r="E48" i="35"/>
  <c r="E49" i="35"/>
  <c r="E50" i="35"/>
  <c r="E51" i="35"/>
  <c r="E53" i="35"/>
  <c r="E52" i="35"/>
  <c r="E54" i="35"/>
  <c r="E55" i="35"/>
  <c r="E56" i="35"/>
  <c r="E57" i="35"/>
  <c r="E58" i="35"/>
  <c r="E59" i="35"/>
  <c r="E60" i="35"/>
  <c r="E61" i="35"/>
  <c r="E2" i="35"/>
  <c r="F3" i="10" l="1"/>
  <c r="F1" i="10"/>
  <c r="F5" i="10"/>
  <c r="B24" i="8"/>
  <c r="A32" i="35" l="1"/>
  <c r="A11" i="35"/>
  <c r="A2" i="35"/>
  <c r="A17" i="35"/>
  <c r="A58" i="35"/>
  <c r="A60" i="35"/>
  <c r="A6" i="35"/>
  <c r="A14" i="35"/>
  <c r="A36" i="35"/>
  <c r="A42" i="35"/>
  <c r="A18" i="35"/>
  <c r="A47" i="35"/>
  <c r="A5" i="35"/>
  <c r="A25" i="35"/>
  <c r="A21" i="35"/>
  <c r="A53" i="35"/>
  <c r="A52" i="35"/>
  <c r="A37" i="35"/>
  <c r="A54" i="35"/>
  <c r="A4" i="35"/>
  <c r="A9" i="35"/>
  <c r="A8" i="35"/>
  <c r="A61" i="35"/>
  <c r="A57" i="35"/>
  <c r="A26" i="35"/>
  <c r="A12" i="35"/>
  <c r="A16" i="35"/>
  <c r="A45" i="35"/>
  <c r="A55" i="35"/>
  <c r="A51" i="35"/>
  <c r="A56" i="35"/>
  <c r="A23" i="35"/>
  <c r="A10" i="35"/>
  <c r="A7" i="35"/>
  <c r="A24" i="35"/>
  <c r="A30" i="35"/>
  <c r="A46" i="35"/>
  <c r="A59" i="35"/>
  <c r="A38" i="35"/>
  <c r="A41" i="35"/>
  <c r="A19" i="35"/>
  <c r="A35" i="35"/>
  <c r="A20" i="35"/>
  <c r="A22" i="35"/>
  <c r="A31" i="35"/>
  <c r="A33" i="35"/>
  <c r="A34" i="35"/>
  <c r="A48" i="35"/>
  <c r="A49" i="35"/>
  <c r="A50" i="35"/>
  <c r="A28" i="35"/>
  <c r="A27" i="35"/>
  <c r="A13" i="35"/>
  <c r="A3" i="35"/>
  <c r="A29" i="35"/>
  <c r="A44" i="35"/>
  <c r="A15" i="35"/>
  <c r="A40" i="35"/>
  <c r="A39" i="35"/>
  <c r="A43" i="35"/>
  <c r="F8" i="1" l="1"/>
  <c r="F7" i="1"/>
  <c r="F6" i="1"/>
  <c r="B5" i="1"/>
  <c r="F5" i="1"/>
  <c r="B6" i="1"/>
  <c r="B25" i="1"/>
  <c r="B24" i="1"/>
  <c r="B22" i="1"/>
  <c r="E20" i="39" s="1"/>
  <c r="B15" i="1"/>
  <c r="B14" i="8" s="1"/>
  <c r="B21" i="1"/>
  <c r="D37" i="13"/>
  <c r="A10" i="8" l="1"/>
  <c r="A9" i="8"/>
  <c r="E14" i="39"/>
  <c r="E11" i="39"/>
  <c r="F25" i="39"/>
  <c r="F28" i="39"/>
  <c r="N12" i="4"/>
  <c r="F29" i="39" l="1"/>
  <c r="B18" i="8"/>
  <c r="E13" i="10"/>
  <c r="E20" i="10"/>
  <c r="T42" i="35" l="1"/>
  <c r="T5" i="35"/>
  <c r="T37" i="35"/>
  <c r="T8" i="35"/>
  <c r="T59" i="35"/>
  <c r="T29" i="35"/>
  <c r="T43" i="35" l="1"/>
  <c r="T39" i="35"/>
  <c r="T40" i="35"/>
  <c r="T15" i="35"/>
  <c r="T44" i="35"/>
  <c r="T3" i="35"/>
  <c r="B23" i="1" s="1"/>
  <c r="T13" i="35"/>
  <c r="T27" i="35"/>
  <c r="T28" i="35"/>
  <c r="T50" i="35"/>
  <c r="T49" i="35"/>
  <c r="T48" i="35"/>
  <c r="T34" i="35"/>
  <c r="T33" i="35"/>
  <c r="T31" i="35"/>
  <c r="T22" i="35"/>
  <c r="T20" i="35"/>
  <c r="T35" i="35"/>
  <c r="T19" i="35"/>
  <c r="T41" i="35"/>
  <c r="T38" i="35"/>
  <c r="T46" i="35"/>
  <c r="T30" i="35"/>
  <c r="T24" i="35"/>
  <c r="T7" i="35"/>
  <c r="T10" i="35"/>
  <c r="T23" i="35"/>
  <c r="T56" i="35"/>
  <c r="T51" i="35"/>
  <c r="T55" i="35"/>
  <c r="T45" i="35"/>
  <c r="T16" i="35"/>
  <c r="T12" i="35"/>
  <c r="T26" i="35"/>
  <c r="T57" i="35"/>
  <c r="T61" i="35"/>
  <c r="T9" i="35"/>
  <c r="T4" i="35"/>
  <c r="T54" i="35"/>
  <c r="T52" i="35"/>
  <c r="T53" i="35"/>
  <c r="T21" i="35"/>
  <c r="T25" i="35"/>
  <c r="T47" i="35"/>
  <c r="T18" i="35"/>
  <c r="T36" i="35"/>
  <c r="T14" i="35"/>
  <c r="T6" i="35"/>
  <c r="T60" i="35"/>
  <c r="T58" i="35"/>
  <c r="T17" i="35"/>
  <c r="T2" i="35"/>
  <c r="T11" i="35"/>
  <c r="T32" i="35"/>
  <c r="Q12" i="4" l="1"/>
  <c r="B22" i="8"/>
  <c r="B29" i="8"/>
  <c r="M12" i="4"/>
  <c r="CC2" i="33"/>
  <c r="CH2" i="33"/>
  <c r="CG2" i="33"/>
  <c r="CF2" i="33"/>
  <c r="L5" i="5"/>
  <c r="CB2" i="33" l="1"/>
  <c r="BC2" i="33"/>
  <c r="BB2" i="33"/>
  <c r="B28" i="8"/>
  <c r="D16" i="8"/>
  <c r="B16" i="8"/>
  <c r="CE2" i="33" l="1"/>
  <c r="CD2" i="33"/>
  <c r="O46" i="5"/>
  <c r="AB2" i="33"/>
  <c r="AA2" i="33"/>
  <c r="V2" i="33"/>
  <c r="T2" i="33"/>
  <c r="S2" i="33"/>
  <c r="Q2" i="33"/>
  <c r="P2" i="33"/>
  <c r="O2" i="33"/>
  <c r="N2" i="33"/>
  <c r="L2" i="33"/>
  <c r="K2" i="33"/>
  <c r="J2" i="33"/>
  <c r="I2" i="33"/>
  <c r="H2" i="33"/>
  <c r="C2" i="33"/>
  <c r="AF2" i="33"/>
  <c r="C44" i="13" l="1"/>
  <c r="F10" i="10" l="1"/>
  <c r="BL2" i="33" s="1"/>
  <c r="F10" i="39"/>
  <c r="AI2" i="33"/>
  <c r="BK2" i="33"/>
  <c r="E2" i="33"/>
  <c r="A8" i="8"/>
  <c r="G2" i="33"/>
  <c r="F2" i="33"/>
  <c r="F18" i="1" l="1"/>
  <c r="U2" i="33" s="1"/>
  <c r="W2" i="33"/>
  <c r="X2" i="33" l="1"/>
  <c r="B17" i="8"/>
  <c r="AC2" i="33"/>
  <c r="B31" i="8"/>
  <c r="M2" i="33"/>
  <c r="B19" i="8"/>
  <c r="E16" i="10"/>
  <c r="AN2" i="33"/>
  <c r="C11" i="30"/>
  <c r="C16" i="13"/>
  <c r="C4" i="12"/>
  <c r="G37" i="13" l="1"/>
  <c r="G18" i="30"/>
  <c r="BM2" i="33"/>
  <c r="AV2" i="33"/>
  <c r="C5" i="12"/>
  <c r="B27" i="8" l="1"/>
  <c r="R2" i="33"/>
  <c r="R12" i="4"/>
  <c r="E60" i="4"/>
  <c r="K12" i="4"/>
  <c r="E7" i="4"/>
  <c r="K60" i="4" l="1"/>
  <c r="F8" i="39" s="1"/>
  <c r="F11" i="39" s="1"/>
  <c r="F14" i="39" s="1"/>
  <c r="D11" i="30"/>
  <c r="D22" i="30"/>
  <c r="C8" i="12"/>
  <c r="AL2" i="33" s="1"/>
  <c r="C7" i="12"/>
  <c r="AK2" i="33" s="1"/>
  <c r="C6" i="12"/>
  <c r="D16" i="13"/>
  <c r="C13" i="13"/>
  <c r="M13" i="4"/>
  <c r="N5" i="5"/>
  <c r="W5" i="5" s="1"/>
  <c r="W32" i="5"/>
  <c r="M5" i="5"/>
  <c r="O12" i="4"/>
  <c r="W33" i="5"/>
  <c r="W34" i="5"/>
  <c r="W40" i="5"/>
  <c r="W45" i="5"/>
  <c r="D8" i="30"/>
  <c r="D7" i="30"/>
  <c r="M33" i="5"/>
  <c r="M34" i="5"/>
  <c r="M40" i="5"/>
  <c r="M45" i="5"/>
  <c r="C3" i="12"/>
  <c r="P12" i="4"/>
  <c r="E15" i="10"/>
  <c r="X32" i="5"/>
  <c r="X33" i="5"/>
  <c r="X34" i="5"/>
  <c r="X40" i="5"/>
  <c r="X45" i="5"/>
  <c r="X5" i="5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13" i="4"/>
  <c r="V12" i="4"/>
  <c r="BF13" i="4"/>
  <c r="BF20" i="4"/>
  <c r="BF21" i="4"/>
  <c r="BF22" i="4"/>
  <c r="BF23" i="4"/>
  <c r="BF24" i="4"/>
  <c r="BF25" i="4"/>
  <c r="BF26" i="4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7" i="4"/>
  <c r="BF48" i="4"/>
  <c r="BF49" i="4"/>
  <c r="BF50" i="4"/>
  <c r="BF51" i="4"/>
  <c r="BF52" i="4"/>
  <c r="BF53" i="4"/>
  <c r="BF54" i="4"/>
  <c r="BF55" i="4"/>
  <c r="BF56" i="4"/>
  <c r="BF57" i="4"/>
  <c r="BF58" i="4"/>
  <c r="BF59" i="4"/>
  <c r="BE13" i="4"/>
  <c r="BE22" i="4"/>
  <c r="BE23" i="4"/>
  <c r="BE26" i="4"/>
  <c r="BE27" i="4"/>
  <c r="BE30" i="4"/>
  <c r="BE31" i="4"/>
  <c r="BE34" i="4"/>
  <c r="BE35" i="4"/>
  <c r="BE38" i="4"/>
  <c r="BE39" i="4"/>
  <c r="BE49" i="4"/>
  <c r="BE50" i="4"/>
  <c r="BE53" i="4"/>
  <c r="BE54" i="4"/>
  <c r="BE56" i="4"/>
  <c r="BE57" i="4"/>
  <c r="BF12" i="4"/>
  <c r="BE12" i="4"/>
  <c r="C12" i="13"/>
  <c r="C11" i="13"/>
  <c r="C10" i="13"/>
  <c r="C37" i="13"/>
  <c r="I10" i="13"/>
  <c r="BE60" i="4"/>
  <c r="C9" i="13"/>
  <c r="B10" i="13"/>
  <c r="B11" i="13"/>
  <c r="B13" i="13"/>
  <c r="G10" i="13"/>
  <c r="C8" i="13"/>
  <c r="C7" i="13"/>
  <c r="AG2" i="33" l="1"/>
  <c r="F8" i="10"/>
  <c r="BF2" i="33"/>
  <c r="M32" i="5"/>
  <c r="L46" i="5"/>
  <c r="G10" i="39" s="1"/>
  <c r="S12" i="4"/>
  <c r="T12" i="4" s="1"/>
  <c r="O60" i="4"/>
  <c r="N60" i="4"/>
  <c r="P60" i="4"/>
  <c r="BE20" i="4"/>
  <c r="BE24" i="4"/>
  <c r="BE28" i="4"/>
  <c r="BE32" i="4"/>
  <c r="BE36" i="4"/>
  <c r="BE47" i="4"/>
  <c r="BE51" i="4"/>
  <c r="BE58" i="4"/>
  <c r="BE21" i="4"/>
  <c r="BE25" i="4"/>
  <c r="BE29" i="4"/>
  <c r="BE33" i="4"/>
  <c r="BE37" i="4"/>
  <c r="BE48" i="4"/>
  <c r="BE52" i="4"/>
  <c r="BE55" i="4"/>
  <c r="BE59" i="4"/>
  <c r="F12" i="10" l="1"/>
  <c r="F13" i="10" s="1"/>
  <c r="BJ2" i="33"/>
  <c r="BG2" i="33"/>
  <c r="AJ2" i="33"/>
  <c r="BI2" i="33"/>
  <c r="CA2" i="33"/>
  <c r="S60" i="4"/>
  <c r="G8" i="39" s="1"/>
  <c r="G11" i="39" s="1"/>
  <c r="G14" i="39" s="1"/>
  <c r="AR2" i="33" l="1"/>
  <c r="F16" i="10"/>
  <c r="D23" i="8" s="1"/>
  <c r="G16" i="39"/>
  <c r="G21" i="39"/>
  <c r="AH2" i="33"/>
  <c r="BZ2" i="33"/>
  <c r="BD2" i="33"/>
  <c r="AQ2" i="33"/>
  <c r="BU2" i="33" l="1"/>
  <c r="F26" i="39"/>
  <c r="F27" i="39"/>
  <c r="BE2" i="33"/>
  <c r="BX2" i="33"/>
  <c r="AO2" i="33"/>
  <c r="BY2" i="33"/>
  <c r="G17" i="30" l="1"/>
  <c r="AP2" i="33"/>
  <c r="BT2" i="33"/>
  <c r="D2" i="33"/>
  <c r="T60" i="4"/>
  <c r="G19" i="30" l="1"/>
  <c r="D39" i="13"/>
  <c r="BV2" i="33"/>
  <c r="AS2" i="33"/>
  <c r="BR2" i="33"/>
  <c r="BQ2" i="33"/>
  <c r="I12" i="13"/>
  <c r="BO2" i="33" l="1"/>
  <c r="AW2" i="33"/>
  <c r="BS2" i="33"/>
  <c r="AY2" i="33" l="1"/>
  <c r="AD2" i="33" l="1"/>
  <c r="AX2" i="33"/>
  <c r="AT2" i="33"/>
  <c r="AU2" i="33"/>
  <c r="BP2" i="33"/>
  <c r="AZ2" i="33" l="1"/>
  <c r="BA2" i="33"/>
  <c r="BN2" i="33"/>
  <c r="AM2" i="33" l="1"/>
  <c r="AE2" i="33"/>
  <c r="BH2" i="33"/>
  <c r="BW2" i="33"/>
  <c r="E3" i="10"/>
  <c r="E1" i="10"/>
  <c r="Z2" i="33"/>
  <c r="A2" i="33" l="1"/>
  <c r="B2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tc={E160BAD6-CB8B-4428-9920-9CA783AEF9B8}</author>
  </authors>
  <commentList>
    <comment ref="G37" authorId="0" shapeId="0" xr:uid="{E160BAD6-CB8B-4428-9920-9CA783AEF9B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Montant à modifier si il ne s'agit pas de la DC finale</t>
      </text>
    </comment>
  </commentList>
</comments>
</file>

<file path=xl/sharedStrings.xml><?xml version="1.0" encoding="utf-8"?>
<sst xmlns="http://schemas.openxmlformats.org/spreadsheetml/2006/main" count="1586" uniqueCount="794">
  <si>
    <t>Rapport financier</t>
  </si>
  <si>
    <t>Version</t>
  </si>
  <si>
    <t>Comment compléter ce fichier ?</t>
  </si>
  <si>
    <t xml:space="preserve">1) Renommez le fichier de la façon suivante (en adaptant à votre situation les parties en italique): </t>
  </si>
  <si>
    <t>2) Complétez les feuilles jaunes du fichier dans l'odre croissant</t>
  </si>
  <si>
    <r>
      <t xml:space="preserve">4) Télécharchez les documents suivants sur le </t>
    </r>
    <r>
      <rPr>
        <b/>
        <u/>
        <sz val="11"/>
        <rFont val="Calibri"/>
        <family val="2"/>
      </rPr>
      <t xml:space="preserve"> guichet des pouvoirs locaux (https://guichet.pouvoirslocaux.wallonie.be/)</t>
    </r>
  </si>
  <si>
    <r>
      <t>le rapport financier en format</t>
    </r>
    <r>
      <rPr>
        <sz val="11"/>
        <color rgb="FFFF0000"/>
        <rFont val="Calibri"/>
        <family val="2"/>
      </rPr>
      <t xml:space="preserve"> Excel  </t>
    </r>
  </si>
  <si>
    <t>le rapport d'activité complété et ses annexes</t>
  </si>
  <si>
    <t>INFORMATIONS GÉNÉRALES SUR LE PROJET</t>
  </si>
  <si>
    <t>Déclaration de créance n° :</t>
  </si>
  <si>
    <t>Veuillez sélectionner</t>
  </si>
  <si>
    <t>Période des dépenses du :</t>
  </si>
  <si>
    <t>au :</t>
  </si>
  <si>
    <t xml:space="preserve">Taux de financement </t>
  </si>
  <si>
    <r>
      <t xml:space="preserve">BÉNÉFICIAIRE 
</t>
    </r>
    <r>
      <rPr>
        <b/>
        <i/>
        <u/>
        <sz val="11"/>
        <color theme="0" tint="-0.499984740745262"/>
        <rFont val="Calibri"/>
        <family val="2"/>
      </rPr>
      <t>* merci de vérifier les informations pré-encodées s'affichant une fois le nom du bénéficiaire sélectionné</t>
    </r>
  </si>
  <si>
    <t>COORDONNÉES DU CORRESPONDANT COMPTABLE </t>
  </si>
  <si>
    <t>Nom du bénéficiaire :</t>
  </si>
  <si>
    <t>Sélectionner Commune/Supra</t>
  </si>
  <si>
    <t>Civilité :</t>
  </si>
  <si>
    <t>N° BCE* :</t>
  </si>
  <si>
    <t>Nom  :</t>
  </si>
  <si>
    <t>N° de compte IBAN* :</t>
  </si>
  <si>
    <t>Téléphone :</t>
  </si>
  <si>
    <t>N° de compte BIC :</t>
  </si>
  <si>
    <t>Email :</t>
  </si>
  <si>
    <t>Communication sur le compte :</t>
  </si>
  <si>
    <t>Service :</t>
  </si>
  <si>
    <t>ouvert au nom de :</t>
  </si>
  <si>
    <t>Remarque éventuelle :</t>
  </si>
  <si>
    <r>
      <t xml:space="preserve">ADRESSE
</t>
    </r>
    <r>
      <rPr>
        <b/>
        <i/>
        <u/>
        <sz val="11"/>
        <color theme="1" tint="0.499984740745262"/>
        <rFont val="Calibri"/>
        <family val="2"/>
      </rPr>
      <t>* merci de vérifier les informations pré-encodées s'affichant une fois le nom du bénéficiaire sélectionné</t>
    </r>
  </si>
  <si>
    <t>Montant du subside* :</t>
  </si>
  <si>
    <t>adresse* :</t>
  </si>
  <si>
    <t>Base légale* :</t>
  </si>
  <si>
    <t>CP* :</t>
  </si>
  <si>
    <t>N° Visa* :</t>
  </si>
  <si>
    <t>Localité* :</t>
  </si>
  <si>
    <t>Nom, Prénom</t>
  </si>
  <si>
    <t xml:space="preserve"> Fonction telle que reprise dans votre contrat de travail</t>
  </si>
  <si>
    <t>Date début nouveau  contrat ou de l'avenant</t>
  </si>
  <si>
    <t>Type de contrat (en Équivalent temps plein : 1= 1 temps plein, 0.5 un mi-temps…, ) y compris les missions hors POLLEC))</t>
  </si>
  <si>
    <t>Tableau détaillé des frais de personnel</t>
  </si>
  <si>
    <t>Tableau de vérification des frais de personnel (réservé au SPW)</t>
  </si>
  <si>
    <t>NOM Prénom</t>
  </si>
  <si>
    <t>Mois</t>
  </si>
  <si>
    <t>Année</t>
  </si>
  <si>
    <t>Taux d'occupation  mensuel* (%)</t>
  </si>
  <si>
    <t>Brut Soumis
ONSS**</t>
  </si>
  <si>
    <t>Arrièrés</t>
  </si>
  <si>
    <t>****Avantages extra-légaux</t>
  </si>
  <si>
    <t>*****Indemnités perçues</t>
  </si>
  <si>
    <t xml:space="preserve">TOTAL  DÉCLARÉ </t>
  </si>
  <si>
    <t>COMMENTAIRE</t>
  </si>
  <si>
    <t>Taux d'occupation  mensuel*(%)</t>
  </si>
  <si>
    <t>Brut total* *</t>
  </si>
  <si>
    <t>TOTAL ACCEPTÉ</t>
  </si>
  <si>
    <t>Différence Tot.  accepté et déclaré</t>
  </si>
  <si>
    <t>Raison de la révision</t>
  </si>
  <si>
    <t>critère</t>
  </si>
  <si>
    <t xml:space="preserve">  Prénom NOM*</t>
  </si>
  <si>
    <t>Veuillez sélectionner :</t>
  </si>
  <si>
    <t>Tableau de vérification  des dépenses (réservé au SPW)</t>
  </si>
  <si>
    <t>Sous-rubrique budgétaire</t>
  </si>
  <si>
    <t>Jutification de la dépense</t>
  </si>
  <si>
    <t>N° attribué à la pièce justificative dans la DC</t>
  </si>
  <si>
    <t xml:space="preserve"> TVAC ou HTVA?</t>
  </si>
  <si>
    <t>Facture du 
(Date JJ/MM/AA)</t>
  </si>
  <si>
    <t xml:space="preserve">TOTAL DÉCLARÉ </t>
  </si>
  <si>
    <t>Commentaire bénéficiaire</t>
  </si>
  <si>
    <t>Différence Tot. accepté et déclaré</t>
  </si>
  <si>
    <t>Requalification sous-rubrique</t>
  </si>
  <si>
    <t xml:space="preserve">Raison de la révision </t>
  </si>
  <si>
    <t>critère 2</t>
  </si>
  <si>
    <t xml:space="preserve">Modèle de déclaration de créance </t>
  </si>
  <si>
    <t>Département de l'Energie et du Bâtiment durable 
Direction de la Promotion de l'Energie durable</t>
  </si>
  <si>
    <t>Rue des brigades d'Irlande, 1</t>
  </si>
  <si>
    <t>5100 JAMBES</t>
  </si>
  <si>
    <t>Vos Réf. :</t>
  </si>
  <si>
    <t>Objet :</t>
  </si>
  <si>
    <t xml:space="preserve"> DECLARATION DE CREANCE</t>
  </si>
  <si>
    <t xml:space="preserve">Dossier </t>
  </si>
  <si>
    <t>Pour la période du :</t>
  </si>
  <si>
    <t xml:space="preserve">au </t>
  </si>
  <si>
    <t xml:space="preserve">Visa n° : </t>
  </si>
  <si>
    <t>Référence légale</t>
  </si>
  <si>
    <t>Je soussigné (Prénom, Nom),</t>
  </si>
  <si>
    <t>(Fonction) :</t>
  </si>
  <si>
    <t xml:space="preserve">déclare par la présente qu’il est dû à </t>
  </si>
  <si>
    <t xml:space="preserve">(Nom de l'organisme) </t>
  </si>
  <si>
    <t>par la Région wallonne, le montant de  (€) :</t>
  </si>
  <si>
    <t xml:space="preserve">Cette somme est payable au compte : </t>
  </si>
  <si>
    <t>IBAN :</t>
  </si>
  <si>
    <t>BIC :</t>
  </si>
  <si>
    <t>Numéro d'entreprise (BCE)</t>
  </si>
  <si>
    <t>Certifié sincère et véritable à la somme de (Montant en lettres) :</t>
  </si>
  <si>
    <t xml:space="preserve">Fait à </t>
  </si>
  <si>
    <t xml:space="preserve"> le</t>
  </si>
  <si>
    <t>Signature</t>
  </si>
  <si>
    <t>Annexes :</t>
  </si>
  <si>
    <t>Voir la liste des annexes requises dans le Rapport d'activité</t>
  </si>
  <si>
    <t>Période du</t>
  </si>
  <si>
    <t>au</t>
  </si>
  <si>
    <t xml:space="preserve">TABLEAU RÉCAPITULATIF DC </t>
  </si>
  <si>
    <t>BUDGET subside</t>
  </si>
  <si>
    <t>RUBRIQUES BUDGÉTAIRES</t>
  </si>
  <si>
    <t>MONTANTS DECLARES</t>
  </si>
  <si>
    <t>MONTANTS ACCEPTES</t>
  </si>
  <si>
    <t>1: PERSONNEL</t>
  </si>
  <si>
    <t>2 : SOUS-TRAITANCE</t>
  </si>
  <si>
    <t>TOTAL GENERAL</t>
  </si>
  <si>
    <t>Taux de subventionnement</t>
  </si>
  <si>
    <t>MONTANT SUBVENTIONNE PAR LE SPW</t>
  </si>
  <si>
    <t>Différence total accepté/déclaré :</t>
  </si>
  <si>
    <t>Montant total liquidé par DC :</t>
  </si>
  <si>
    <t>Fonds de roulement liquidé :</t>
  </si>
  <si>
    <t>Note à Muriel Hoogtoel</t>
  </si>
  <si>
    <t>Correspondante budgétaire</t>
  </si>
  <si>
    <t xml:space="preserve"> RAPPORT DE VÉRIFICATION TECHNIQUE (À JOINDRE À LA DÉCLARATION DE CRÉANCE ET TABLEAU D’ANALYSE POUR LES SUBVENTIONS)</t>
  </si>
  <si>
    <t xml:space="preserve">I: INFORMATIONS GÉNÉRALES </t>
  </si>
  <si>
    <t>Nom du requérant :</t>
  </si>
  <si>
    <t xml:space="preserve">Type :        </t>
  </si>
  <si>
    <t xml:space="preserve"> Subvention   </t>
  </si>
  <si>
    <t>Marché</t>
  </si>
  <si>
    <t>Nom du projet :</t>
  </si>
  <si>
    <t>N° BCE :</t>
  </si>
  <si>
    <t>DC  du</t>
  </si>
  <si>
    <t>Communication :</t>
  </si>
  <si>
    <t xml:space="preserve">d’un montant déclaré de :                       </t>
  </si>
  <si>
    <t>Budget</t>
  </si>
  <si>
    <t xml:space="preserve">N° Visa  </t>
  </si>
  <si>
    <t>Convention :</t>
  </si>
  <si>
    <t>Gestionnaire technique :</t>
  </si>
  <si>
    <t>Zélie Mulders</t>
  </si>
  <si>
    <t>Transmis à l’agent traitant le:</t>
  </si>
  <si>
    <t>Échéance:</t>
  </si>
  <si>
    <t>Agent comptable :</t>
  </si>
  <si>
    <t>Isabelle PIERRARD</t>
  </si>
  <si>
    <t>II : ANALYSE TECHNIQUE</t>
  </si>
  <si>
    <t xml:space="preserve">Les documents suivants, prévus par l'arrêté, la convention ou le bon de commande ont été remis et approuvés </t>
  </si>
  <si>
    <t>en date du :</t>
  </si>
  <si>
    <t xml:space="preserve"> Rapport d'activité</t>
  </si>
  <si>
    <t>Pièces jutificatives</t>
  </si>
  <si>
    <t>Livrables prévus dans l'AM</t>
  </si>
  <si>
    <t>III : ANALYSE FINANCIÈRE</t>
  </si>
  <si>
    <t>La facture / déclaration de créance est conforme au bon de commande</t>
  </si>
  <si>
    <t xml:space="preserve">ou </t>
  </si>
  <si>
    <r>
      <t>Le gestionnaire technique a examiné les pièces justificatives et déclare que leur objet et leur montant sont conformes aux indications de l'arrêté ou de la convention</t>
    </r>
    <r>
      <rPr>
        <b/>
        <sz val="9"/>
        <color theme="1"/>
        <rFont val="Calibri"/>
        <family val="2"/>
      </rPr>
      <t xml:space="preserve"> et joint le formulaire C4 (=Synthèse)</t>
    </r>
  </si>
  <si>
    <t>Remarques :</t>
  </si>
  <si>
    <t>IV : LIQUIDATION(S)</t>
  </si>
  <si>
    <t>V : DÉSENGAGEMENT</t>
  </si>
  <si>
    <t xml:space="preserve">N° de visa </t>
  </si>
  <si>
    <t xml:space="preserve">Montant à liquider </t>
  </si>
  <si>
    <t xml:space="preserve">Un solde de </t>
  </si>
  <si>
    <t>sera à désengager si le bénéficiaire ne se manifeste pas dans le mois à dater de la réception  du rapport de vérification comptable.</t>
  </si>
  <si>
    <t>Fonds de roulement justifié :</t>
  </si>
  <si>
    <t>IV : PLAN D'ORDONANCEMENT</t>
  </si>
  <si>
    <t>Le plan d'ordonancement est transmis dans un tableau en annexe</t>
  </si>
  <si>
    <t>Agent traitant :</t>
  </si>
  <si>
    <t>Directeur : Frédéric DOUILLET</t>
  </si>
  <si>
    <t xml:space="preserve">Date + signature : </t>
  </si>
  <si>
    <t>RECAPITULATIF POUR LE PLAN D'ORDONNANCEMENT</t>
  </si>
  <si>
    <t>Visa initial</t>
  </si>
  <si>
    <t>N° visa</t>
  </si>
  <si>
    <t xml:space="preserve">Pascal LEHANCE </t>
  </si>
  <si>
    <t>Nom des bénéficiaires</t>
  </si>
  <si>
    <t xml:space="preserve">Total de la subvention </t>
  </si>
  <si>
    <t>Fonds de roulement</t>
  </si>
  <si>
    <t>DC1</t>
  </si>
  <si>
    <t>DC2</t>
  </si>
  <si>
    <t>Objet : Clôture dossier comptable- C5-désengagement/remboursement</t>
  </si>
  <si>
    <r>
      <t xml:space="preserve"> </t>
    </r>
    <r>
      <rPr>
        <u/>
        <sz val="11"/>
        <color theme="1"/>
        <rFont val="Calibri"/>
        <family val="2"/>
      </rPr>
      <t>et déclare :</t>
    </r>
  </si>
  <si>
    <t>Que des justificatifs on été founis pour un montant total de :</t>
  </si>
  <si>
    <t xml:space="preserve">Qu'un montant de </t>
  </si>
  <si>
    <r>
      <t xml:space="preserve"> doit être </t>
    </r>
    <r>
      <rPr>
        <u/>
        <sz val="11"/>
        <color theme="1"/>
        <rFont val="Calibri"/>
        <family val="2"/>
      </rPr>
      <t>désengagé</t>
    </r>
  </si>
  <si>
    <r>
      <t xml:space="preserve"> doit être </t>
    </r>
    <r>
      <rPr>
        <u/>
        <sz val="11"/>
        <color theme="1"/>
        <rFont val="Calibri"/>
        <family val="2"/>
      </rPr>
      <t>récupéré</t>
    </r>
  </si>
  <si>
    <t xml:space="preserve">Signature : </t>
  </si>
  <si>
    <t>Transmis à la compta  le:</t>
  </si>
  <si>
    <t>DATE_DEB_CONV</t>
  </si>
  <si>
    <t>DATE_FIN_CONV</t>
  </si>
  <si>
    <t>DC_N°</t>
  </si>
  <si>
    <t>DC_TOT_DECL</t>
  </si>
  <si>
    <t>IDENTIF_ADRESSE</t>
  </si>
  <si>
    <t>IDENTIF_ADRESSE_CP</t>
  </si>
  <si>
    <t>IDENTIF_ADRESSE_LOC</t>
  </si>
  <si>
    <t>IDENTIF_AGT_CIV</t>
  </si>
  <si>
    <t>IDENTIF_AGT_EMAIL</t>
  </si>
  <si>
    <t>IDENTIF_AGT_NOM</t>
  </si>
  <si>
    <t>IDENTIF_AGT_SERVICE</t>
  </si>
  <si>
    <t>IDENTIF_AGT_TEL</t>
  </si>
  <si>
    <t>IDENTIF_BCE</t>
  </si>
  <si>
    <t>IDENTIF_BUDG_AB_CONV</t>
  </si>
  <si>
    <t>IDENTIF_BUDG_PROGRAMME_CONV</t>
  </si>
  <si>
    <t>IDENTIF_COMPTE_BIC</t>
  </si>
  <si>
    <t>IDENTIF_COMPTE_COM</t>
  </si>
  <si>
    <t>IDENTIF_COMPTE_N°IBAN</t>
  </si>
  <si>
    <t>IDENTIF_COMPTE_OUVERT_NOM_DE</t>
  </si>
  <si>
    <t>IDENTIF_DEB_DC</t>
  </si>
  <si>
    <t>IDENTIF_Durée_de_la_DC_en_mois</t>
  </si>
  <si>
    <t>IDENTIF_FIN_DC</t>
  </si>
  <si>
    <t>IDENTIF_LEGALE</t>
  </si>
  <si>
    <t>IDENTIF_MONTANT_SUBSIDE</t>
  </si>
  <si>
    <t>IDENTIF_NOM_PROJET</t>
  </si>
  <si>
    <t>IDENTIF_NOM_REQUERANT</t>
  </si>
  <si>
    <t>IDENTIF_TAUX_DE_FINANCEMENT</t>
  </si>
  <si>
    <t>IDENTIF_VISA_CONV</t>
  </si>
  <si>
    <t>MONTANT_DC_C3_FONDS_ROULEMENT_JUSTIFIE</t>
  </si>
  <si>
    <t>MONTANT_DC_C3_SOLDE_DESENGAGE</t>
  </si>
  <si>
    <t>MONTANT_DC_C3_TOT_LIQUIDE</t>
  </si>
  <si>
    <t>MONTANT_TOT_PERSO_DECL</t>
  </si>
  <si>
    <t>MONTANT_TOT_PERSO_ACC</t>
  </si>
  <si>
    <t>MONTANT_TOT_SSTRAIT_DECL</t>
  </si>
  <si>
    <t>MONTANT_TOT_SSTRAIT_ACC</t>
  </si>
  <si>
    <t>PL_ORDO_DC1</t>
  </si>
  <si>
    <t>PL_ORDO_DC2</t>
  </si>
  <si>
    <t>SYNT_A_REMBOURSER</t>
  </si>
  <si>
    <t>SYNT_BUDGET_100</t>
  </si>
  <si>
    <t>SYNTH_ACC_1_100</t>
  </si>
  <si>
    <t>SYNTH_ACC_2_100</t>
  </si>
  <si>
    <t>SYNTH_DECL_1_100</t>
  </si>
  <si>
    <t>SYNTH_DECL_2_100</t>
  </si>
  <si>
    <t>SYNTH_DIFF_1</t>
  </si>
  <si>
    <t>SYNTH_DIFF_2</t>
  </si>
  <si>
    <t>SYNTH_DIFF_TOT</t>
  </si>
  <si>
    <t>SYNTH_FR</t>
  </si>
  <si>
    <t>SYNTH_FR_JUSTIF_1</t>
  </si>
  <si>
    <t>SYNTH_FR_JUSTIF_2</t>
  </si>
  <si>
    <t>SYNTH_FR_SOLDE_1</t>
  </si>
  <si>
    <t>SYNTH_FR_SOLDE_1_2</t>
  </si>
  <si>
    <t>SYNTH_FR_SOLDE_2</t>
  </si>
  <si>
    <t>SYNTH_MONTANT_LIQUIDE_1</t>
  </si>
  <si>
    <t>SYNTH_MONTANT_LIQUIDE_2</t>
  </si>
  <si>
    <t>SYNTH_PERSO_ACC_1</t>
  </si>
  <si>
    <t>SYNTH_PERSO_ACC_2</t>
  </si>
  <si>
    <t>SYNTH_PERSO_DECL_1</t>
  </si>
  <si>
    <t>SYNTH_PERSO_DECL_2</t>
  </si>
  <si>
    <t>SYNTH_SOLDE</t>
  </si>
  <si>
    <t>SYNTH_SST_ACC_1</t>
  </si>
  <si>
    <t>SYNTH_SST_ACC_2</t>
  </si>
  <si>
    <t>SYNTH_SST_DECL_1</t>
  </si>
  <si>
    <t>SYNTH_SST_DECL_2</t>
  </si>
  <si>
    <t>SYNTH_SUBSIDE</t>
  </si>
  <si>
    <t>SYNTH_SUBSIDE_SOLDE</t>
  </si>
  <si>
    <t>SYNTH_TOT_ACC_100</t>
  </si>
  <si>
    <t>SYNTH_TOT_DC_ACC</t>
  </si>
  <si>
    <t>SYNTH_TOT_DC_ACC_1</t>
  </si>
  <si>
    <t>SYNTH_TOT_DC_ACC_2</t>
  </si>
  <si>
    <t>SYNTH_TOT_DC_DECL</t>
  </si>
  <si>
    <t>SYNTH_TOT_DC_DECL_1</t>
  </si>
  <si>
    <t>SYNTH_TOT_DC_DECL_2</t>
  </si>
  <si>
    <t>SYNTH_TOT_DECL_100</t>
  </si>
  <si>
    <t>SYNTH_TOT_LIQUIDE_1_2</t>
  </si>
  <si>
    <t>SYNTH_TOT_PERSO_ACC</t>
  </si>
  <si>
    <t>SYNTH_TOT_PERSO_DECL</t>
  </si>
  <si>
    <t>SYNTH_TOT_SST_ACC</t>
  </si>
  <si>
    <t>SYNTH_TOT_SST_DECL</t>
  </si>
  <si>
    <t>TVA</t>
  </si>
  <si>
    <t>VOS_REF</t>
  </si>
  <si>
    <t>raison révision frais de personnel</t>
  </si>
  <si>
    <t>raison révision SS-traitance</t>
  </si>
  <si>
    <t>GT</t>
  </si>
  <si>
    <t>TEL_GT</t>
  </si>
  <si>
    <t>EMAIL</t>
  </si>
  <si>
    <t>='5-Synthèse'!$L$21</t>
  </si>
  <si>
    <t>='5-Synthèse'!$C$11</t>
  </si>
  <si>
    <t>='5-Synthèse'!$E$11</t>
  </si>
  <si>
    <t>='5-Synthèse'!$G$11</t>
  </si>
  <si>
    <t>='5-Synthèse'!$D$11</t>
  </si>
  <si>
    <t>='5-Synthèse'!$F$11</t>
  </si>
  <si>
    <t>='5-Synthèse'!$E$16</t>
  </si>
  <si>
    <t>='5-Synthèse'!$G$16</t>
  </si>
  <si>
    <t>='5-Synthèse'!$J$16</t>
  </si>
  <si>
    <t>='5-Synthèse'!$C$20</t>
  </si>
  <si>
    <t>='5-Synthèse'!$E$21</t>
  </si>
  <si>
    <t>='5-Synthèse'!$G$21</t>
  </si>
  <si>
    <t>='5-Synthèse'!$E$22</t>
  </si>
  <si>
    <t>='5-Synthèse'!$J$21</t>
  </si>
  <si>
    <t>='5-Synthèse'!$G$22</t>
  </si>
  <si>
    <t>='5-Synthèse'!$E$18</t>
  </si>
  <si>
    <t>='5-Synthèse'!$G$18</t>
  </si>
  <si>
    <t>='5-Synthèse'!$E$8</t>
  </si>
  <si>
    <t>='5-Synthèse'!$G$8</t>
  </si>
  <si>
    <t>='5-Synthèse'!$D$8</t>
  </si>
  <si>
    <t>='5-Synthèse'!$F$8</t>
  </si>
  <si>
    <t>='5-Synthèse'!$L$18</t>
  </si>
  <si>
    <t>='5-Synthèse'!$E$10</t>
  </si>
  <si>
    <t>='5-Synthèse'!$G$10</t>
  </si>
  <si>
    <t>='5-Synthèse'!$D$10</t>
  </si>
  <si>
    <t>='5-Synthèse'!$F$10</t>
  </si>
  <si>
    <t>='5-Synthèse'!$C$14</t>
  </si>
  <si>
    <t>='5-Synthèse'!$L$14</t>
  </si>
  <si>
    <t>='5-Synthèse'!$J$11</t>
  </si>
  <si>
    <t>='5-Synthèse'!$J$14</t>
  </si>
  <si>
    <t>='5-Synthèse'!$E$14</t>
  </si>
  <si>
    <t>='5-Synthèse'!$G$14</t>
  </si>
  <si>
    <t>='5-Synthèse'!$I$14</t>
  </si>
  <si>
    <t>='5-Synthèse'!$D$14</t>
  </si>
  <si>
    <t>='5-Synthèse'!$F$14</t>
  </si>
  <si>
    <t>='5-Synthèse'!$I$11</t>
  </si>
  <si>
    <t>='5-Synthèse'!$J$18</t>
  </si>
  <si>
    <t>='5-Synthèse'!$J$8</t>
  </si>
  <si>
    <t>='5-Synthèse'!$I$8</t>
  </si>
  <si>
    <t>='5-Synthèse'!$J$10</t>
  </si>
  <si>
    <t>='5-Synthèse'!$I$10</t>
  </si>
  <si>
    <t>TAB_P20_RH</t>
  </si>
  <si>
    <t>='infos bénéficiaires'!$A$1:$N$155</t>
  </si>
  <si>
    <t>='1-Identification'!$B$15</t>
  </si>
  <si>
    <t>='4-Déclaration de créance'!$B$12</t>
  </si>
  <si>
    <t>Type de candidature</t>
  </si>
  <si>
    <t xml:space="preserve">Montant du subside </t>
  </si>
  <si>
    <t>N° de compte
Volet 1</t>
  </si>
  <si>
    <t>N°BCE</t>
  </si>
  <si>
    <t>AB V1</t>
  </si>
  <si>
    <t>N° AM V1</t>
  </si>
  <si>
    <t>Visa V1</t>
  </si>
  <si>
    <t>adresse</t>
  </si>
  <si>
    <t>CP</t>
  </si>
  <si>
    <t>Localite</t>
  </si>
  <si>
    <t>AM</t>
  </si>
  <si>
    <t>Date AM V1 et v3</t>
  </si>
  <si>
    <t>Ref AM V1</t>
  </si>
  <si>
    <t>20/20494 </t>
  </si>
  <si>
    <t>Amay</t>
  </si>
  <si>
    <t>20/20496 </t>
  </si>
  <si>
    <t>Andenne</t>
  </si>
  <si>
    <t>20/20492 </t>
  </si>
  <si>
    <t>20/20495 </t>
  </si>
  <si>
    <t>Ath</t>
  </si>
  <si>
    <t>Bertrix</t>
  </si>
  <si>
    <t>Braine-le-Château</t>
  </si>
  <si>
    <t>Braives</t>
  </si>
  <si>
    <t>20/20490 </t>
  </si>
  <si>
    <t>Chapelle-lez-Herlaimont</t>
  </si>
  <si>
    <t>Charleroi</t>
  </si>
  <si>
    <t>Couvin</t>
  </si>
  <si>
    <t>20/20491 </t>
  </si>
  <si>
    <t>Ecaussinnes</t>
  </si>
  <si>
    <t>Eghezée</t>
  </si>
  <si>
    <t>Estaimpuis</t>
  </si>
  <si>
    <t>20/20828</t>
  </si>
  <si>
    <t>Florenville</t>
  </si>
  <si>
    <t>Fontaine-l'Evêque</t>
  </si>
  <si>
    <t>BE22 0682 5095 0747</t>
  </si>
  <si>
    <t>20/21109</t>
  </si>
  <si>
    <t>Rendeux</t>
  </si>
  <si>
    <t>Gembloux</t>
  </si>
  <si>
    <t>Genappe</t>
  </si>
  <si>
    <t>Gesves</t>
  </si>
  <si>
    <t>Grez-Doiceau</t>
  </si>
  <si>
    <t>Hastière</t>
  </si>
  <si>
    <t>Herbeumont</t>
  </si>
  <si>
    <t>IDETA</t>
  </si>
  <si>
    <t>Tournai</t>
  </si>
  <si>
    <t>NIVELLES</t>
  </si>
  <si>
    <t>La Hulpe</t>
  </si>
  <si>
    <t>La Louvière</t>
  </si>
  <si>
    <t>Les Bons Villers</t>
  </si>
  <si>
    <t>Libramont-Chevigny</t>
  </si>
  <si>
    <t>20/20497</t>
  </si>
  <si>
    <t>Malmedy</t>
  </si>
  <si>
    <t>Meix-devant-Virton</t>
  </si>
  <si>
    <t>Musson</t>
  </si>
  <si>
    <t>Neufchâteau</t>
  </si>
  <si>
    <t>Philippeville</t>
  </si>
  <si>
    <t>Profondeville</t>
  </si>
  <si>
    <t>20/20488</t>
  </si>
  <si>
    <t>Rouvroy</t>
  </si>
  <si>
    <t>Sambreville</t>
  </si>
  <si>
    <t>Seraing</t>
  </si>
  <si>
    <t>Soumagne</t>
  </si>
  <si>
    <t>Spa</t>
  </si>
  <si>
    <t>Stavelot</t>
  </si>
  <si>
    <t>Vielsalm</t>
  </si>
  <si>
    <t>Villers-la-Ville</t>
  </si>
  <si>
    <t>Wasseiges</t>
  </si>
  <si>
    <t>Welkenraedt</t>
  </si>
  <si>
    <t>Num_visa</t>
  </si>
  <si>
    <t>Email GT</t>
  </si>
  <si>
    <t>Madame</t>
  </si>
  <si>
    <t>Oui</t>
  </si>
  <si>
    <t>HTVA</t>
  </si>
  <si>
    <t>Janvier</t>
  </si>
  <si>
    <t>zelie.mulders@spw.wallonie.be</t>
  </si>
  <si>
    <t>Monsieur</t>
  </si>
  <si>
    <t>Non</t>
  </si>
  <si>
    <t>Sara Piccirilli</t>
  </si>
  <si>
    <t>TVAC</t>
  </si>
  <si>
    <t>Février</t>
  </si>
  <si>
    <t>sara.piccirilli@spw.wallonie.be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</si>
  <si>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</si>
  <si>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</si>
  <si>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</si>
  <si>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</si>
  <si>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</si>
  <si>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</si>
  <si>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</si>
  <si>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</si>
  <si>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</si>
  <si>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</si>
  <si>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Hannut</t>
  </si>
  <si>
    <t>Soignies</t>
  </si>
  <si>
    <t>Burdinne</t>
  </si>
  <si>
    <t>Seneffe</t>
  </si>
  <si>
    <t>0207376991</t>
  </si>
  <si>
    <t>0207298995</t>
  </si>
  <si>
    <t>0207353831</t>
  </si>
  <si>
    <t>0207283951</t>
  </si>
  <si>
    <t>Arrêté ministériel POLLEC 2021_</t>
  </si>
  <si>
    <t>BE 54 091 0004239 97</t>
  </si>
  <si>
    <t>BE 32 091 0004144 02</t>
  </si>
  <si>
    <t>BE 76 091 0004043 95</t>
  </si>
  <si>
    <t xml:space="preserve"> du 13-12-2021</t>
  </si>
  <si>
    <r>
      <t xml:space="preserve">la déclaration de créance signée </t>
    </r>
    <r>
      <rPr>
        <sz val="11"/>
        <color rgb="FFFF0000"/>
        <rFont val="Calibri"/>
        <family val="2"/>
      </rPr>
      <t>électroniquement</t>
    </r>
    <r>
      <rPr>
        <sz val="11"/>
        <color theme="1"/>
        <rFont val="Calibri"/>
        <family val="2"/>
      </rPr>
      <t xml:space="preserve"> en format PDF </t>
    </r>
  </si>
  <si>
    <t>Appel</t>
  </si>
  <si>
    <t>Montant_subside</t>
  </si>
  <si>
    <t>VISA</t>
  </si>
  <si>
    <t>Civilité</t>
  </si>
  <si>
    <t>O_N</t>
  </si>
  <si>
    <t xml:space="preserve">Gestionnaire  </t>
  </si>
  <si>
    <t>TVAC_HTVA</t>
  </si>
  <si>
    <t>Email-Gestionnaire</t>
  </si>
  <si>
    <t>Date de fin du contrat (si spécifiée)</t>
  </si>
  <si>
    <t xml:space="preserve">***Autres charges </t>
  </si>
  <si>
    <t>***Autres charges</t>
  </si>
  <si>
    <t>Durée de la DC en mois* :</t>
  </si>
  <si>
    <r>
      <t xml:space="preserve">DÉCLARATION DE CRÉANCE 
</t>
    </r>
    <r>
      <rPr>
        <b/>
        <i/>
        <u/>
        <sz val="11"/>
        <color theme="1" tint="0.499984740745262"/>
        <rFont val="Calibri"/>
        <family val="2"/>
      </rPr>
      <t xml:space="preserve">*Attention le coordinateur POLLEC Communal peut être financé au maximum pour 24 mois ( pas forcément continus) </t>
    </r>
  </si>
  <si>
    <r>
      <rPr>
        <b/>
        <sz val="12"/>
        <color rgb="FFFF5050"/>
        <rFont val="Calibri"/>
        <family val="2"/>
        <scheme val="minor"/>
      </rPr>
      <t>Attention</t>
    </r>
    <r>
      <rPr>
        <sz val="12"/>
        <color theme="1"/>
        <rFont val="Calibri"/>
        <family val="2"/>
        <scheme val="minor"/>
      </rPr>
      <t>:  la déclaration de créance doit être complétée de manière dactylographiée et signée électroniquement (</t>
    </r>
    <r>
      <rPr>
        <sz val="12"/>
        <color rgb="FFFF0000"/>
        <rFont val="Calibri"/>
        <family val="2"/>
        <scheme val="minor"/>
      </rPr>
      <t>sinon celle-ci sera refusée</t>
    </r>
    <r>
      <rPr>
        <sz val="12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</si>
  <si>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</rPr>
      <t xml:space="preserve">Le gestionnaire technique </t>
    </r>
    <r>
      <rPr>
        <sz val="11"/>
        <color theme="1"/>
        <rFont val="Calibri"/>
        <family val="2"/>
      </rPr>
      <t>a examiné l'ensenble des pièces justificatives</t>
    </r>
  </si>
  <si>
    <t xml:space="preserve">le  </t>
  </si>
  <si>
    <t>N° d'engagement juridique * :</t>
  </si>
  <si>
    <t>EJ</t>
  </si>
  <si>
    <t>Fonds de roulement liquidé</t>
  </si>
  <si>
    <t xml:space="preserve">BUDGET
</t>
  </si>
  <si>
    <t>Votre organisme est-il assujetti à la TVA dans le cadre de ce subside ?</t>
  </si>
  <si>
    <t>Cécile Batungwanayo</t>
  </si>
  <si>
    <t>Guillaume Campion</t>
  </si>
  <si>
    <t>Solde subvention</t>
  </si>
  <si>
    <t>Montant total liquidé</t>
  </si>
  <si>
    <t xml:space="preserve">Fonds de roulement  justifié </t>
  </si>
  <si>
    <t xml:space="preserve">Numéro d'engagement juridique </t>
  </si>
  <si>
    <r>
      <rPr>
        <b/>
        <u/>
        <sz val="11"/>
        <color theme="1"/>
        <rFont val="Calibri"/>
        <family val="2"/>
      </rPr>
      <t>ATTENTION</t>
    </r>
    <r>
      <rPr>
        <sz val="11"/>
        <color theme="1"/>
        <rFont val="Calibri"/>
        <family val="2"/>
      </rPr>
      <t xml:space="preserve"> : VOUS NE DEVEZ REMPLIR QUE LES CELLULES</t>
    </r>
    <r>
      <rPr>
        <u/>
        <sz val="11"/>
        <color theme="1"/>
        <rFont val="Calibri"/>
        <family val="2"/>
      </rPr>
      <t xml:space="preserve"> </t>
    </r>
    <r>
      <rPr>
        <b/>
        <u/>
        <sz val="11"/>
        <rFont val="Calibri"/>
        <family val="2"/>
      </rPr>
      <t>JAUNES.</t>
    </r>
    <r>
      <rPr>
        <sz val="11"/>
        <color theme="1"/>
        <rFont val="Calibri"/>
        <family val="2"/>
      </rPr>
      <t xml:space="preserve">
LES CELLULES EN GRIS CONTIENNENT DES FORMULES.
LES CELLULES EN BLEU SONT REMPLIES PAR Le SPW.</t>
    </r>
  </si>
  <si>
    <t>Informations supplémentaires si vous souhaitez avoir un état des lieux global de votre subside (non obligatoire)</t>
  </si>
  <si>
    <t xml:space="preserve">Fonds de roulement déjà justifié par ancienne(s) DC </t>
  </si>
  <si>
    <t>Montant  liquidé DC précédente(s)</t>
  </si>
  <si>
    <t>Cette DC</t>
  </si>
  <si>
    <t>Ancienne(s) DC</t>
  </si>
  <si>
    <t>Solde Fonds de roulement (justifié avant cette DC )</t>
  </si>
  <si>
    <t>Montant total validé (après cette DC)</t>
  </si>
  <si>
    <t>Solde Fonds de roulement non justifié après cette DC</t>
  </si>
  <si>
    <t>In BW</t>
  </si>
  <si>
    <t>Pont-à-Celles</t>
  </si>
  <si>
    <t>IPALLE</t>
  </si>
  <si>
    <t>Chastre</t>
  </si>
  <si>
    <t>Pays de l'Ourthe</t>
  </si>
  <si>
    <t>Culturalité en Hesbaye brabançonne</t>
  </si>
  <si>
    <t>Meuse Campagnes</t>
  </si>
  <si>
    <t>POLLEC 2021-Projet</t>
  </si>
  <si>
    <t>0207282268</t>
  </si>
  <si>
    <t>0207284248</t>
  </si>
  <si>
    <t>0207330471</t>
  </si>
  <si>
    <t>0207359967</t>
  </si>
  <si>
    <t>0207384812</t>
  </si>
  <si>
    <t>0207380258</t>
  </si>
  <si>
    <t>0206567042</t>
  </si>
  <si>
    <t>0206626925</t>
  </si>
  <si>
    <t>0216696119</t>
  </si>
  <si>
    <t>0206543781</t>
  </si>
  <si>
    <t>0207309091</t>
  </si>
  <si>
    <t>0207372043</t>
  </si>
  <si>
    <t>0216697505</t>
  </si>
  <si>
    <t>0207347002</t>
  </si>
  <si>
    <t>0206700763</t>
  </si>
  <si>
    <t>0207281476</t>
  </si>
  <si>
    <t>0207375310</t>
  </si>
  <si>
    <t>0206621975</t>
  </si>
  <si>
    <t>0207403915</t>
  </si>
  <si>
    <t>0216696713</t>
  </si>
  <si>
    <t>0207284347</t>
  </si>
  <si>
    <t>0207310774</t>
  </si>
  <si>
    <t>0216691961</t>
  </si>
  <si>
    <t>0206626331</t>
  </si>
  <si>
    <t>0207274350</t>
  </si>
  <si>
    <t>0207347396</t>
  </si>
  <si>
    <t>0206768366</t>
  </si>
  <si>
    <t>0207362343</t>
  </si>
  <si>
    <t>0207315229</t>
  </si>
  <si>
    <t>0207227731</t>
  </si>
  <si>
    <t>0200362210</t>
  </si>
  <si>
    <t>0207283654</t>
  </si>
  <si>
    <t>0207391641</t>
  </si>
  <si>
    <t>0207275538</t>
  </si>
  <si>
    <t>0207391443</t>
  </si>
  <si>
    <t>0207348980</t>
  </si>
  <si>
    <t>0216691169</t>
  </si>
  <si>
    <t>0216881904</t>
  </si>
  <si>
    <t>0871429489</t>
  </si>
  <si>
    <t>0216696515</t>
  </si>
  <si>
    <t>0216697109</t>
  </si>
  <si>
    <t>0206565953</t>
  </si>
  <si>
    <t>0216689189</t>
  </si>
  <si>
    <t>0207258514</t>
  </si>
  <si>
    <t>0241098844</t>
  </si>
  <si>
    <t>0476741538</t>
  </si>
  <si>
    <t>0480184939</t>
  </si>
  <si>
    <t>0667613881</t>
  </si>
  <si>
    <t>Pr 16.083.43.03.53 </t>
  </si>
  <si>
    <t>Pr 16.083.33.01.00 </t>
  </si>
  <si>
    <t xml:space="preserve">PR 16 083.043-31.04.22 </t>
  </si>
  <si>
    <t>Pr16.083.43.04.12 </t>
  </si>
  <si>
    <t>Pr16.083.43.02.40 </t>
  </si>
  <si>
    <t>21/20657</t>
  </si>
  <si>
    <t>21/20656</t>
  </si>
  <si>
    <t>21/20646</t>
  </si>
  <si>
    <t>21/20647</t>
  </si>
  <si>
    <t>investissement général</t>
  </si>
  <si>
    <t>investissement frais d'étude</t>
  </si>
  <si>
    <t>investissement sous-traitance</t>
  </si>
  <si>
    <t>mobilisation conférence</t>
  </si>
  <si>
    <t>mobilisation formation</t>
  </si>
  <si>
    <t>mobilisation matériel</t>
  </si>
  <si>
    <t>mobilisation autre</t>
  </si>
  <si>
    <t>mobilisation sous-traitance</t>
  </si>
  <si>
    <t>Numéro</t>
  </si>
  <si>
    <t>Rue des Combattants</t>
  </si>
  <si>
    <t>59</t>
  </si>
  <si>
    <t>1310</t>
  </si>
  <si>
    <t>1</t>
  </si>
  <si>
    <t>Place de l'Hôtel de Ville</t>
  </si>
  <si>
    <t>16</t>
  </si>
  <si>
    <t>7160</t>
  </si>
  <si>
    <t>Chaussée Freddy Terwagne(AMA)</t>
  </si>
  <si>
    <t>76</t>
  </si>
  <si>
    <t>4540</t>
  </si>
  <si>
    <t>Route de Gembloux</t>
  </si>
  <si>
    <t>43</t>
  </si>
  <si>
    <t>5310</t>
  </si>
  <si>
    <t>12</t>
  </si>
  <si>
    <t>Rue de l'Hôtel-de-Ville</t>
  </si>
  <si>
    <t>5</t>
  </si>
  <si>
    <t>6690</t>
  </si>
  <si>
    <t>Rue du Baron d'Obin(AM)</t>
  </si>
  <si>
    <t>219</t>
  </si>
  <si>
    <t>4219</t>
  </si>
  <si>
    <t>Rue de la Gare</t>
  </si>
  <si>
    <t>38</t>
  </si>
  <si>
    <t>6880</t>
  </si>
  <si>
    <t>Avenue de la Libération</t>
  </si>
  <si>
    <t>2</t>
  </si>
  <si>
    <t>5660</t>
  </si>
  <si>
    <t>Libramont,Place Communale</t>
  </si>
  <si>
    <t>9</t>
  </si>
  <si>
    <t>6800</t>
  </si>
  <si>
    <t>Grand-Place,NEU</t>
  </si>
  <si>
    <t>6840</t>
  </si>
  <si>
    <t>Grand-Place</t>
  </si>
  <si>
    <t>22</t>
  </si>
  <si>
    <t>Rue de Berne(LN)</t>
  </si>
  <si>
    <t>4</t>
  </si>
  <si>
    <t>7730</t>
  </si>
  <si>
    <t>Chaussée de Dinant</t>
  </si>
  <si>
    <t>5170</t>
  </si>
  <si>
    <t>21</t>
  </si>
  <si>
    <t>Rue de Landen</t>
  </si>
  <si>
    <t>23</t>
  </si>
  <si>
    <t>4280</t>
  </si>
  <si>
    <t>Parc d'Epinal</t>
  </si>
  <si>
    <t>5030</t>
  </si>
  <si>
    <t>Place Communale</t>
  </si>
  <si>
    <t>-</t>
  </si>
  <si>
    <t>4100</t>
  </si>
  <si>
    <t>Rue Jules Steinbach</t>
  </si>
  <si>
    <t>4960</t>
  </si>
  <si>
    <t>3</t>
  </si>
  <si>
    <t>Place Verte</t>
  </si>
  <si>
    <t>32</t>
  </si>
  <si>
    <t>7060</t>
  </si>
  <si>
    <t>Rue de Pintamont</t>
  </si>
  <si>
    <t>54</t>
  </si>
  <si>
    <t>7800</t>
  </si>
  <si>
    <t>Rue du Cornuchamp</t>
  </si>
  <si>
    <t>4260</t>
  </si>
  <si>
    <t>Rue de l'Ecole</t>
  </si>
  <si>
    <t>6</t>
  </si>
  <si>
    <t>4840</t>
  </si>
  <si>
    <t>Place Saint Remacle</t>
  </si>
  <si>
    <t>4970</t>
  </si>
  <si>
    <t>Av. Guy-Stinglhamber, H.-Lav.</t>
  </si>
  <si>
    <t>5540</t>
  </si>
  <si>
    <t>Rue du Château(F-E)</t>
  </si>
  <si>
    <t>6140</t>
  </si>
  <si>
    <t>Place Charles II</t>
  </si>
  <si>
    <t>6000</t>
  </si>
  <si>
    <t>Rue des Ecoles(BUR)</t>
  </si>
  <si>
    <t>4210</t>
  </si>
  <si>
    <t>7190</t>
  </si>
  <si>
    <t>Place d'Armes</t>
  </si>
  <si>
    <t>5600</t>
  </si>
  <si>
    <t>Espace 2000</t>
  </si>
  <si>
    <t>1470</t>
  </si>
  <si>
    <t>Avenue de la Coopération</t>
  </si>
  <si>
    <t>4630</t>
  </si>
  <si>
    <t>Rue Lintermans</t>
  </si>
  <si>
    <t>7180</t>
  </si>
  <si>
    <t>Rue de l'Hôtel de Ville</t>
  </si>
  <si>
    <t>44</t>
  </si>
  <si>
    <t>4900</t>
  </si>
  <si>
    <t>Chaussée de Gramptinne</t>
  </si>
  <si>
    <t>112</t>
  </si>
  <si>
    <t>5340</t>
  </si>
  <si>
    <t>Rue de la Libération</t>
  </si>
  <si>
    <t>1440</t>
  </si>
  <si>
    <t>Place Ernest Dubois</t>
  </si>
  <si>
    <t>1390</t>
  </si>
  <si>
    <t xml:space="preserve">Rue de la Religion </t>
  </si>
  <si>
    <t>Place Communale(PAC)</t>
  </si>
  <si>
    <t>6230</t>
  </si>
  <si>
    <t>Place Abbé-Goffinet</t>
  </si>
  <si>
    <t>6750</t>
  </si>
  <si>
    <t>Rue de Marbais</t>
  </si>
  <si>
    <t>37</t>
  </si>
  <si>
    <t>1495</t>
  </si>
  <si>
    <t>Rue de Gérouville</t>
  </si>
  <si>
    <t>6769</t>
  </si>
  <si>
    <t>Rue du Château</t>
  </si>
  <si>
    <t>6820</t>
  </si>
  <si>
    <t>Place de Frasnes(FLG)</t>
  </si>
  <si>
    <t>6210</t>
  </si>
  <si>
    <t>Place Communale(L.L)</t>
  </si>
  <si>
    <t>7100</t>
  </si>
  <si>
    <t>Rue du 8-Septembre,Dampicourt</t>
  </si>
  <si>
    <t>41</t>
  </si>
  <si>
    <t>6767</t>
  </si>
  <si>
    <t>Grand Place(AUV)</t>
  </si>
  <si>
    <t>5060</t>
  </si>
  <si>
    <t>Rue Lauvaux</t>
  </si>
  <si>
    <t>27</t>
  </si>
  <si>
    <t>6887</t>
  </si>
  <si>
    <t>Avenue du Castillon</t>
  </si>
  <si>
    <t>71</t>
  </si>
  <si>
    <t>1450</t>
  </si>
  <si>
    <t>Place du Chapitre</t>
  </si>
  <si>
    <t>7</t>
  </si>
  <si>
    <t>5300</t>
  </si>
  <si>
    <t>Quai Saint Brice</t>
  </si>
  <si>
    <t>Bardonwez</t>
  </si>
  <si>
    <t>Rue du Stampia(Jod.)</t>
  </si>
  <si>
    <t xml:space="preserve">Jodoigne </t>
  </si>
  <si>
    <t>Rue des Marais</t>
  </si>
  <si>
    <t xml:space="preserve">Andenne </t>
  </si>
  <si>
    <t>Chemin de l'Eau Vive(FRY)</t>
  </si>
  <si>
    <t xml:space="preserve">Tournai </t>
  </si>
  <si>
    <t>P21_MOB2</t>
  </si>
  <si>
    <t>P21_MOB1</t>
  </si>
  <si>
    <t>P21_Interco</t>
  </si>
  <si>
    <t>N°DC</t>
  </si>
  <si>
    <t>POLLEC 2022-RH</t>
  </si>
  <si>
    <t>Référence</t>
  </si>
  <si>
    <t>﻿2021-015945</t>
  </si>
  <si>
    <t>﻿2021-016214</t>
  </si>
  <si>
    <t>﻿2021-016263</t>
  </si>
  <si>
    <t>﻿2021-016340</t>
  </si>
  <si>
    <t>﻿2021-016355</t>
  </si>
  <si>
    <t>﻿2021-016362</t>
  </si>
  <si>
    <t>﻿2021-016375</t>
  </si>
  <si>
    <t>﻿2021-016389</t>
  </si>
  <si>
    <t>﻿2021-016419</t>
  </si>
  <si>
    <t>﻿2021-016425</t>
  </si>
  <si>
    <t>﻿2021-016436</t>
  </si>
  <si>
    <t>﻿2021-016442</t>
  </si>
  <si>
    <t>﻿2021-016445</t>
  </si>
  <si>
    <t>﻿2021-016447</t>
  </si>
  <si>
    <t>﻿2021-016453</t>
  </si>
  <si>
    <t>﻿2021-016476</t>
  </si>
  <si>
    <t>﻿2021-016478</t>
  </si>
  <si>
    <t>﻿2021-016487</t>
  </si>
  <si>
    <t>﻿2021-016500</t>
  </si>
  <si>
    <t>﻿2021-016509</t>
  </si>
  <si>
    <t>﻿2021-016512</t>
  </si>
  <si>
    <t>﻿2021-016514</t>
  </si>
  <si>
    <t>﻿2021-016518</t>
  </si>
  <si>
    <t>﻿2021-016520</t>
  </si>
  <si>
    <t>﻿2021-016521</t>
  </si>
  <si>
    <t>﻿2021-016530</t>
  </si>
  <si>
    <t>﻿2021-016542</t>
  </si>
  <si>
    <t>﻿2021-016544</t>
  </si>
  <si>
    <t>﻿2021-016557</t>
  </si>
  <si>
    <t>﻿2021-016571</t>
  </si>
  <si>
    <t>﻿2021-016577</t>
  </si>
  <si>
    <t>﻿2021-016586</t>
  </si>
  <si>
    <t>﻿2021-016587</t>
  </si>
  <si>
    <t>﻿2021-016598</t>
  </si>
  <si>
    <t>﻿2021-016600</t>
  </si>
  <si>
    <t>﻿2021-016606</t>
  </si>
  <si>
    <t>﻿2021-016628</t>
  </si>
  <si>
    <t>﻿2021-016639</t>
  </si>
  <si>
    <t>﻿2021-016644</t>
  </si>
  <si>
    <t>﻿2021-016646</t>
  </si>
  <si>
    <t>﻿2021-016656</t>
  </si>
  <si>
    <t>﻿2021-016663</t>
  </si>
  <si>
    <t>﻿2021-016669</t>
  </si>
  <si>
    <t>﻿2021-016673</t>
  </si>
  <si>
    <t>﻿2021-016687</t>
  </si>
  <si>
    <t>﻿2021-016688</t>
  </si>
  <si>
    <t>﻿2021-016690</t>
  </si>
  <si>
    <t>﻿2021-016697</t>
  </si>
  <si>
    <t>﻿2021-016698</t>
  </si>
  <si>
    <t>﻿2021-016699</t>
  </si>
  <si>
    <t>﻿2021-016701</t>
  </si>
  <si>
    <t>﻿2021-016702</t>
  </si>
  <si>
    <t>﻿2021-016703</t>
  </si>
  <si>
    <t>﻿2021-016706</t>
  </si>
  <si>
    <t>﻿2021-016707</t>
  </si>
  <si>
    <t>2021-3</t>
  </si>
  <si>
    <t>2021-5</t>
  </si>
  <si>
    <t>2021-6</t>
  </si>
  <si>
    <t>2021-7</t>
  </si>
  <si>
    <t>2021-8</t>
  </si>
  <si>
    <t>Thématique</t>
  </si>
  <si>
    <t>5 - Préfinancement audit logement</t>
  </si>
  <si>
    <t>13 - Mobilisation écoles énergie</t>
  </si>
  <si>
    <t>3 - Mobilisation citoyenne énergie</t>
  </si>
  <si>
    <t>6 - Projets participatifs (écoquartiers)</t>
  </si>
  <si>
    <t>4 - Chantiers participatifs auto-isolation</t>
  </si>
  <si>
    <t>7 - Projet énergie renouvelable</t>
  </si>
  <si>
    <t>12 - Mobilisation PME énergie</t>
  </si>
  <si>
    <t xml:space="preserve">Commune-Thématique </t>
  </si>
  <si>
    <t>Thématique du projet</t>
  </si>
  <si>
    <t>Référence projet</t>
  </si>
  <si>
    <t>BE 36 091 0001604 81</t>
  </si>
  <si>
    <t>BE 38 091 0003632 72</t>
  </si>
  <si>
    <t>BE 06 091 0102134 22</t>
  </si>
  <si>
    <t>BE 62 091 0005270 61</t>
  </si>
  <si>
    <t>BE 44 091 0005157 45</t>
  </si>
  <si>
    <t>BE 42 091 0004584 54</t>
  </si>
  <si>
    <t>BE 12 091 0005010 92</t>
  </si>
  <si>
    <t>BE 35 091 0005246 37</t>
  </si>
  <si>
    <t>BE 60 091 0005085 70</t>
  </si>
  <si>
    <t>BE 32 091 0005114 02</t>
  </si>
  <si>
    <t>BE 81 091 0003778 24</t>
  </si>
  <si>
    <t>BE 91 091 0005382 76</t>
  </si>
  <si>
    <t>BE 34 091 0005299 90</t>
  </si>
  <si>
    <t>BE 48 091 0004460 27</t>
  </si>
  <si>
    <t>BE 55 091 0004380 44</t>
  </si>
  <si>
    <t>BE 19 091 0003572 12</t>
  </si>
  <si>
    <t>BE 98 091 0004138 93</t>
  </si>
  <si>
    <t>BE 20 091 0004586 56</t>
  </si>
  <si>
    <t>BE 73 091 0004493 60</t>
  </si>
  <si>
    <t>BE 19 091 0005318 12</t>
  </si>
  <si>
    <t>BE 11 091 0003802 48</t>
  </si>
  <si>
    <t>BE 85 091 0003663 06</t>
  </si>
  <si>
    <t>BE 19 091 0003766 12</t>
  </si>
  <si>
    <t>BE 49 091 0005377 71</t>
  </si>
  <si>
    <t>BE 57 091 0001461 35</t>
  </si>
  <si>
    <t>BE 79 091 0004466 33</t>
  </si>
  <si>
    <t>BE 58 091 0004027 79</t>
  </si>
  <si>
    <t>BE 11 091 0004481 48</t>
  </si>
  <si>
    <t>BE 54 091 0005306 97</t>
  </si>
  <si>
    <t>BE 44 091 0001374 45</t>
  </si>
  <si>
    <t>BE 88 091 0001467 41</t>
  </si>
  <si>
    <t>BE 84 091 0006238 59</t>
  </si>
  <si>
    <t>BE 31 091 0004003 55</t>
  </si>
  <si>
    <t>BE 87 091 0005109 94</t>
  </si>
  <si>
    <t>BE 30 091 0001922 11</t>
  </si>
  <si>
    <t>BE 45 091 0005104 89</t>
  </si>
  <si>
    <t>BE 90 091 0005047 32</t>
  </si>
  <si>
    <t>BE 68 091 0003885 34</t>
  </si>
  <si>
    <t>BE 18 732 0351639 65</t>
  </si>
  <si>
    <t>BE 78 091 0003840 86</t>
  </si>
  <si>
    <t>BE 08 091 0005125 13</t>
  </si>
  <si>
    <t>BE 65 091 0005208 96</t>
  </si>
  <si>
    <t>BE 55 091 0005059 44</t>
  </si>
  <si>
    <t>BE 18 091 0001394 65</t>
  </si>
  <si>
    <t>BE 49 091 0005183 71</t>
  </si>
  <si>
    <t>BE 44 091 0105164 45</t>
  </si>
  <si>
    <t>BE22 0682 5095 0748</t>
  </si>
  <si>
    <t>BE47 7320 4178 0880</t>
  </si>
  <si>
    <t>BE02 0689 3061 9340</t>
  </si>
  <si>
    <t>Date de début du subside :</t>
  </si>
  <si>
    <t xml:space="preserve">intermédiaire </t>
  </si>
  <si>
    <t>finale</t>
  </si>
  <si>
    <t>Les cellules bleues et gris se complètenent automatiquement.</t>
  </si>
  <si>
    <t>Pour rappel, vous trouverez le guide des dépenses éligibles pour le Volet 2 projet ici:</t>
  </si>
  <si>
    <t>Guide des dépenses éligibles Pollec 21 Projet</t>
  </si>
  <si>
    <t>POLLEC 2021</t>
  </si>
  <si>
    <r>
      <t>DC_Finale_POLLEC21_</t>
    </r>
    <r>
      <rPr>
        <i/>
        <sz val="11"/>
        <color theme="1"/>
        <rFont val="Calibri"/>
        <family val="2"/>
      </rPr>
      <t>Nom du bénéficiaire_Nom du projet</t>
    </r>
  </si>
  <si>
    <t xml:space="preserve">SUBSIDE
</t>
  </si>
  <si>
    <t>Date maximale de fin du subside :</t>
  </si>
  <si>
    <r>
      <rPr>
        <b/>
        <sz val="11"/>
        <color theme="0" tint="-0.499984740745262"/>
        <rFont val="Calibri"/>
        <family val="2"/>
      </rPr>
      <t>*</t>
    </r>
    <r>
      <rPr>
        <b/>
        <u/>
        <sz val="11"/>
        <color theme="0" tint="-0.499984740745262"/>
        <rFont val="Calibri"/>
        <family val="2"/>
      </rPr>
      <t xml:space="preserve">Taux d'occupation= rapport ente les prestations  à charge du subside et l'ensemble des prestations. 
</t>
    </r>
    <r>
      <rPr>
        <b/>
        <sz val="11"/>
        <color theme="0" tint="-0.499984740745262"/>
        <rFont val="Calibri"/>
        <family val="2"/>
      </rPr>
      <t>**</t>
    </r>
    <r>
      <rPr>
        <b/>
        <u/>
        <sz val="11"/>
        <color theme="0" tint="-0.499984740745262"/>
        <rFont val="Calibri"/>
        <family val="2"/>
      </rPr>
      <t>Brut total</t>
    </r>
    <r>
      <rPr>
        <sz val="11"/>
        <color theme="0" tint="-0.499984740745262"/>
        <rFont val="Calibri"/>
        <family val="2"/>
      </rPr>
      <t xml:space="preserve"> = brut issu de la fiche de compte individuel ou des fiches de salaire;</t>
    </r>
    <r>
      <rPr>
        <u/>
        <sz val="11"/>
        <color theme="0" tint="-0.499984740745262"/>
        <rFont val="Calibri"/>
        <family val="2"/>
      </rPr>
      <t xml:space="preserve"> ne comprennant pas</t>
    </r>
    <r>
      <rPr>
        <sz val="11"/>
        <color theme="0" tint="-0.499984740745262"/>
        <rFont val="Calibri"/>
        <family val="2"/>
      </rPr>
      <t xml:space="preserve"> le pécule de vacance, la prime de fin d'année, … 
*** </t>
    </r>
    <r>
      <rPr>
        <b/>
        <u/>
        <sz val="11"/>
        <color theme="0" tint="-0.499984740745262"/>
        <rFont val="Calibri"/>
        <family val="2"/>
      </rPr>
      <t>Autres charges=</t>
    </r>
    <r>
      <rPr>
        <sz val="11"/>
        <color theme="0" tint="-0.499984740745262"/>
        <rFont val="Calibri"/>
        <family val="2"/>
      </rPr>
      <t xml:space="preserve"> ONSS, Assurances légales, Pécule de vacances, Prime de fin d'année…
****</t>
    </r>
    <r>
      <rPr>
        <b/>
        <u/>
        <sz val="11"/>
        <color theme="0" tint="-0.499984740745262"/>
        <rFont val="Calibri"/>
        <family val="2"/>
      </rPr>
      <t>Avantages extra-légaux</t>
    </r>
    <r>
      <rPr>
        <sz val="11"/>
        <color theme="0" tint="-0.499984740745262"/>
        <rFont val="Calibri"/>
        <family val="2"/>
      </rPr>
      <t xml:space="preserve"> (attribués à l’ensemble du personnel) : ex. : Chèques repas, assurances-groupe, prime de naissance…
*****</t>
    </r>
    <r>
      <rPr>
        <b/>
        <sz val="11"/>
        <color theme="0" tint="-0.499984740745262"/>
        <rFont val="Calibri"/>
        <family val="2"/>
      </rPr>
      <t xml:space="preserve"> </t>
    </r>
    <r>
      <rPr>
        <b/>
        <u/>
        <sz val="11"/>
        <color theme="0" tint="-0.499984740745262"/>
        <rFont val="Calibri"/>
        <family val="2"/>
      </rPr>
      <t>Indemnités perçues</t>
    </r>
    <r>
      <rPr>
        <b/>
        <sz val="11"/>
        <color theme="0" tint="-0.499984740745262"/>
        <rFont val="Calibri"/>
        <family val="2"/>
      </rPr>
      <t xml:space="preserve"> </t>
    </r>
    <r>
      <rPr>
        <sz val="11"/>
        <color theme="0" tint="-0.499984740745262"/>
        <rFont val="Calibri"/>
        <family val="2"/>
      </rPr>
      <t xml:space="preserve">: ex indemnités APE, autres subsides
</t>
    </r>
  </si>
  <si>
    <t>Dépenses hors frais de personnel</t>
  </si>
  <si>
    <t>Frais  de fonctionnement  (10% du budget)</t>
  </si>
  <si>
    <t>Rubrique_INV</t>
  </si>
  <si>
    <t>Rubrique_MOB</t>
  </si>
  <si>
    <t xml:space="preserve">pour le projet </t>
  </si>
  <si>
    <t>Mobilisation</t>
  </si>
  <si>
    <t xml:space="preserve">Dans la feuille Identification :  veuillez compléter les cellules B4 et B14 pour que l'ensemble des informations en bleu s'affichent. </t>
  </si>
  <si>
    <t>3) Une fois l'ensemble des rubriques complétées, imprimez l'onglet déclaration de créance et faites la signer  de manière électronique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</si>
</sst>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(&quot;€&quot;* #,##0.00_);_(&quot;€&quot;* \(#,##0.00\);_(&quot;€&quot;* &quot;-&quot;??_);_(@_)"/>
    <numFmt numFmtId="166" formatCode="#,##0.00\ &quot;€&quot;"/>
    <numFmt numFmtId="167" formatCode="[$-80C]dd\-mmm\-yy;@"/>
    <numFmt numFmtId="168" formatCode="_-* #,##0.00\ [$€-40C]_-;\-* #,##0.00\ [$€-40C]_-;_-* &quot;-&quot;??\ [$€-40C]_-;_-@_-"/>
    <numFmt numFmtId="169" formatCode="_-* #,##0.00\ [$€-80C]_-;\-* #,##0.00\ [$€-80C]_-;_-* &quot;-&quot;??\ [$€-80C]_-;_-@_-"/>
    <numFmt numFmtId="170" formatCode="d/mm/yy;@"/>
  </numFmts>
  <fonts count="8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 tint="0.499984740745262"/>
      <name val="Calibri"/>
      <family val="2"/>
    </font>
    <font>
      <sz val="10"/>
      <color theme="0"/>
      <name val="Calibri"/>
      <family val="2"/>
    </font>
    <font>
      <sz val="10"/>
      <color theme="0" tint="-0.499984740745262"/>
      <name val="Calibri"/>
      <family val="2"/>
    </font>
    <font>
      <b/>
      <u/>
      <sz val="11"/>
      <name val="Calibri"/>
      <family val="2"/>
    </font>
    <font>
      <sz val="11"/>
      <color rgb="FF050000"/>
      <name val="Calibri"/>
      <family val="2"/>
    </font>
    <font>
      <sz val="11"/>
      <color theme="0"/>
      <name val="Calibri"/>
      <family val="2"/>
    </font>
    <font>
      <b/>
      <sz val="18"/>
      <color indexed="8"/>
      <name val="Calibri"/>
      <family val="2"/>
    </font>
    <font>
      <sz val="14"/>
      <color theme="1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sz val="16"/>
      <color theme="1"/>
      <name val="Calibri"/>
      <family val="2"/>
    </font>
    <font>
      <u/>
      <sz val="10"/>
      <name val="Calibri"/>
      <family val="2"/>
    </font>
    <font>
      <sz val="11"/>
      <color theme="0" tint="-0.499984740745262"/>
      <name val="Calibri"/>
      <family val="2"/>
    </font>
    <font>
      <b/>
      <sz val="18"/>
      <color rgb="FF050000"/>
      <name val="Calibri"/>
      <family val="2"/>
    </font>
    <font>
      <sz val="16"/>
      <color theme="1" tint="0.499984740745262"/>
      <name val="Calibri"/>
      <family val="2"/>
    </font>
    <font>
      <sz val="12"/>
      <color theme="0"/>
      <name val="Calibri"/>
      <family val="2"/>
    </font>
    <font>
      <b/>
      <u/>
      <sz val="14"/>
      <color theme="1"/>
      <name val="Calibri"/>
      <family val="2"/>
    </font>
    <font>
      <b/>
      <u/>
      <sz val="14"/>
      <name val="Calibri"/>
      <family val="2"/>
    </font>
    <font>
      <b/>
      <u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0"/>
      <name val="Calibri"/>
      <family val="2"/>
    </font>
    <font>
      <b/>
      <sz val="9"/>
      <name val="Calibri"/>
      <family val="2"/>
    </font>
    <font>
      <sz val="9"/>
      <color theme="0" tint="-0.499984740745262"/>
      <name val="Calibri"/>
      <family val="2"/>
    </font>
    <font>
      <sz val="9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9"/>
      <color rgb="FFFF0000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u/>
      <sz val="11"/>
      <color theme="0" tint="-0.499984740745262"/>
      <name val="Calibri"/>
      <family val="2"/>
    </font>
    <font>
      <u/>
      <sz val="11"/>
      <color theme="0" tint="-0.499984740745262"/>
      <name val="Calibri"/>
      <family val="2"/>
    </font>
    <font>
      <b/>
      <sz val="10"/>
      <color theme="5" tint="-0.249977111117893"/>
      <name val="Calibri"/>
      <family val="2"/>
    </font>
    <font>
      <sz val="10"/>
      <color theme="5" tint="-0.249977111117893"/>
      <name val="Calibri"/>
      <family val="2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b/>
      <sz val="12"/>
      <color rgb="FFFF5050"/>
      <name val="Calibri"/>
      <family val="2"/>
      <scheme val="minor"/>
    </font>
    <font>
      <sz val="11"/>
      <color theme="1" tint="0.499984740745262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</font>
    <font>
      <b/>
      <i/>
      <u/>
      <sz val="11"/>
      <color theme="1" tint="0.499984740745262"/>
      <name val="Calibri"/>
      <family val="2"/>
    </font>
    <font>
      <sz val="11"/>
      <color theme="1" tint="0.34998626667073579"/>
      <name val="Calibri"/>
      <family val="2"/>
    </font>
    <font>
      <sz val="11"/>
      <color rgb="FF000000"/>
      <name val="Calibri"/>
      <family val="2"/>
    </font>
    <font>
      <sz val="12"/>
      <color rgb="FFFF0000"/>
      <name val="Calibri"/>
      <family val="2"/>
      <scheme val="minor"/>
    </font>
    <font>
      <i/>
      <sz val="10"/>
      <color theme="1"/>
      <name val="Calibri"/>
      <family val="2"/>
    </font>
    <font>
      <sz val="11"/>
      <color theme="4" tint="-0.249977111117893"/>
      <name val="Calibri"/>
      <family val="2"/>
    </font>
    <font>
      <b/>
      <sz val="11"/>
      <color theme="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33CCFF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3CD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8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 style="thin">
        <color theme="0" tint="-0.14996795556505021"/>
      </bottom>
      <diagonal/>
    </border>
    <border>
      <left/>
      <right/>
      <top style="medium">
        <color theme="0" tint="-0.149937437055574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theme="0" tint="-0.14990691854609822"/>
      </right>
      <top style="medium">
        <color theme="0" tint="-0.14993743705557422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499984740745262"/>
      </left>
      <right style="thick">
        <color theme="0" tint="-0.34998626667073579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rgb="FFD8D8D8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4">
    <xf numFmtId="0" fontId="0" fillId="0" borderId="0"/>
    <xf numFmtId="0" fontId="6" fillId="0" borderId="0"/>
    <xf numFmtId="0" fontId="5" fillId="0" borderId="0"/>
    <xf numFmtId="0" fontId="19" fillId="0" borderId="0"/>
    <xf numFmtId="0" fontId="4" fillId="0" borderId="0"/>
    <xf numFmtId="0" fontId="3" fillId="0" borderId="0"/>
    <xf numFmtId="0" fontId="3" fillId="0" borderId="0"/>
    <xf numFmtId="9" fontId="1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79" fillId="0" borderId="0" applyNumberFormat="0" applyFill="0" applyBorder="0" applyAlignment="0" applyProtection="0"/>
    <xf numFmtId="0" fontId="1" fillId="18" borderId="0" applyNumberFormat="0" applyBorder="0" applyAlignment="0" applyProtection="0"/>
  </cellStyleXfs>
  <cellXfs count="496">
    <xf numFmtId="0" fontId="0" fillId="0" borderId="0" xfId="0"/>
    <xf numFmtId="0" fontId="27" fillId="0" borderId="0" xfId="0" applyFont="1" applyAlignment="1">
      <alignment wrapText="1"/>
    </xf>
    <xf numFmtId="0" fontId="27" fillId="0" borderId="0" xfId="0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0" fillId="0" borderId="8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37" fillId="0" borderId="0" xfId="0" applyFont="1"/>
    <xf numFmtId="165" fontId="37" fillId="0" borderId="0" xfId="0" applyNumberFormat="1" applyFont="1"/>
    <xf numFmtId="0" fontId="27" fillId="0" borderId="0" xfId="0" applyFont="1"/>
    <xf numFmtId="14" fontId="27" fillId="0" borderId="0" xfId="0" applyNumberFormat="1" applyFont="1"/>
    <xf numFmtId="0" fontId="0" fillId="0" borderId="5" xfId="0" applyBorder="1"/>
    <xf numFmtId="0" fontId="0" fillId="0" borderId="7" xfId="0" applyBorder="1"/>
    <xf numFmtId="0" fontId="40" fillId="6" borderId="0" xfId="0" applyFont="1" applyFill="1" applyAlignment="1">
      <alignment horizontal="left" vertical="center"/>
    </xf>
    <xf numFmtId="0" fontId="41" fillId="0" borderId="0" xfId="0" applyFont="1"/>
    <xf numFmtId="0" fontId="41" fillId="0" borderId="0" xfId="0" applyFont="1" applyAlignment="1">
      <alignment horizontal="right" indent="1"/>
    </xf>
    <xf numFmtId="0" fontId="42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horizontal="center"/>
    </xf>
    <xf numFmtId="0" fontId="41" fillId="0" borderId="0" xfId="0" applyFont="1" applyAlignment="1">
      <alignment horizontal="right" vertical="center" wrapText="1" indent="1"/>
    </xf>
    <xf numFmtId="0" fontId="41" fillId="0" borderId="0" xfId="0" applyFont="1" applyAlignment="1">
      <alignment horizontal="right"/>
    </xf>
    <xf numFmtId="0" fontId="41" fillId="0" borderId="0" xfId="0" applyFont="1" applyAlignment="1">
      <alignment vertical="top" wrapText="1"/>
    </xf>
    <xf numFmtId="0" fontId="41" fillId="0" borderId="0" xfId="0" applyFont="1" applyAlignment="1">
      <alignment horizontal="right" vertical="top" wrapText="1" indent="1"/>
    </xf>
    <xf numFmtId="0" fontId="41" fillId="0" borderId="0" xfId="0" applyFont="1" applyAlignment="1">
      <alignment horizontal="right" vertical="top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right" vertical="center" wrapText="1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right" vertical="center" indent="1"/>
    </xf>
    <xf numFmtId="0" fontId="40" fillId="6" borderId="0" xfId="0" applyFont="1" applyFill="1" applyAlignment="1">
      <alignment horizontal="left" vertical="top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0" fillId="6" borderId="0" xfId="0" applyFont="1" applyFill="1" applyAlignment="1">
      <alignment vertical="center"/>
    </xf>
    <xf numFmtId="0" fontId="40" fillId="0" borderId="0" xfId="0" applyFont="1" applyAlignment="1">
      <alignment horizontal="right" vertical="center" indent="1"/>
    </xf>
    <xf numFmtId="0" fontId="30" fillId="0" borderId="0" xfId="0" applyFont="1" applyAlignment="1">
      <alignment horizontal="right" vertical="center" indent="1"/>
    </xf>
    <xf numFmtId="0" fontId="31" fillId="6" borderId="0" xfId="0" applyFont="1" applyFill="1" applyAlignment="1">
      <alignment vertical="center" wrapText="1"/>
    </xf>
    <xf numFmtId="165" fontId="45" fillId="6" borderId="0" xfId="0" applyNumberFormat="1" applyFont="1" applyFill="1" applyAlignment="1">
      <alignment horizontal="left" vertical="center" wrapText="1"/>
    </xf>
    <xf numFmtId="0" fontId="43" fillId="3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167" fontId="41" fillId="3" borderId="2" xfId="0" applyNumberFormat="1" applyFont="1" applyFill="1" applyBorder="1" applyAlignment="1">
      <alignment horizontal="right" vertical="center" wrapText="1"/>
    </xf>
    <xf numFmtId="167" fontId="41" fillId="3" borderId="2" xfId="0" applyNumberFormat="1" applyFont="1" applyFill="1" applyBorder="1" applyAlignment="1">
      <alignment vertical="center" wrapText="1"/>
    </xf>
    <xf numFmtId="14" fontId="41" fillId="8" borderId="2" xfId="0" applyNumberFormat="1" applyFont="1" applyFill="1" applyBorder="1" applyAlignment="1" applyProtection="1">
      <alignment vertical="center" wrapText="1"/>
      <protection locked="0"/>
    </xf>
    <xf numFmtId="0" fontId="41" fillId="8" borderId="9" xfId="0" applyFont="1" applyFill="1" applyBorder="1" applyAlignment="1">
      <alignment vertical="center"/>
    </xf>
    <xf numFmtId="0" fontId="41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1" fillId="0" borderId="53" xfId="0" applyFont="1" applyBorder="1"/>
    <xf numFmtId="0" fontId="11" fillId="0" borderId="53" xfId="0" applyFont="1" applyBorder="1" applyAlignment="1">
      <alignment horizontal="center"/>
    </xf>
    <xf numFmtId="0" fontId="0" fillId="0" borderId="47" xfId="0" applyBorder="1" applyAlignment="1">
      <alignment horizontal="right"/>
    </xf>
    <xf numFmtId="0" fontId="46" fillId="0" borderId="48" xfId="0" applyFont="1" applyBorder="1" applyAlignment="1">
      <alignment horizontal="center" vertical="center"/>
    </xf>
    <xf numFmtId="0" fontId="47" fillId="7" borderId="49" xfId="0" applyFont="1" applyFill="1" applyBorder="1" applyAlignment="1">
      <alignment horizontal="right" vertical="center" wrapText="1"/>
    </xf>
    <xf numFmtId="0" fontId="48" fillId="0" borderId="50" xfId="0" applyFont="1" applyBorder="1" applyAlignment="1">
      <alignment horizontal="center" vertical="center"/>
    </xf>
    <xf numFmtId="0" fontId="46" fillId="3" borderId="46" xfId="0" applyFont="1" applyFill="1" applyBorder="1" applyAlignment="1">
      <alignment horizontal="right" vertical="center"/>
    </xf>
    <xf numFmtId="0" fontId="0" fillId="0" borderId="52" xfId="0" applyBorder="1" applyAlignment="1">
      <alignment horizontal="right"/>
    </xf>
    <xf numFmtId="165" fontId="41" fillId="0" borderId="0" xfId="0" applyNumberFormat="1" applyFont="1"/>
    <xf numFmtId="14" fontId="41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45" fillId="3" borderId="2" xfId="0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0" fillId="3" borderId="9" xfId="0" applyFill="1" applyBorder="1" applyAlignment="1">
      <alignment vertical="top" wrapText="1"/>
    </xf>
    <xf numFmtId="0" fontId="0" fillId="0" borderId="0" xfId="0" applyAlignment="1">
      <alignment horizontal="right"/>
    </xf>
    <xf numFmtId="0" fontId="20" fillId="0" borderId="0" xfId="0" applyFont="1" applyAlignment="1">
      <alignment vertical="center" wrapText="1"/>
    </xf>
    <xf numFmtId="44" fontId="44" fillId="3" borderId="2" xfId="0" applyNumberFormat="1" applyFont="1" applyFill="1" applyBorder="1" applyAlignment="1">
      <alignment horizontal="right" vertical="center" wrapText="1"/>
    </xf>
    <xf numFmtId="44" fontId="43" fillId="8" borderId="3" xfId="0" applyNumberFormat="1" applyFont="1" applyFill="1" applyBorder="1" applyAlignment="1" applyProtection="1">
      <alignment horizontal="center" vertical="center" wrapText="1"/>
      <protection locked="0"/>
    </xf>
    <xf numFmtId="44" fontId="41" fillId="3" borderId="2" xfId="0" applyNumberFormat="1" applyFont="1" applyFill="1" applyBorder="1" applyAlignment="1">
      <alignment horizontal="right" vertical="center" wrapText="1"/>
    </xf>
    <xf numFmtId="0" fontId="41" fillId="3" borderId="9" xfId="0" applyFont="1" applyFill="1" applyBorder="1" applyAlignment="1">
      <alignment horizontal="centerContinuous" vertical="top" wrapText="1"/>
    </xf>
    <xf numFmtId="0" fontId="41" fillId="3" borderId="3" xfId="0" applyFont="1" applyFill="1" applyBorder="1" applyAlignment="1">
      <alignment horizontal="centerContinuous" vertical="top" wrapText="1"/>
    </xf>
    <xf numFmtId="44" fontId="49" fillId="3" borderId="51" xfId="0" applyNumberFormat="1" applyFont="1" applyFill="1" applyBorder="1" applyAlignment="1">
      <alignment horizontal="right" vertical="center" wrapText="1"/>
    </xf>
    <xf numFmtId="44" fontId="0" fillId="0" borderId="48" xfId="0" applyNumberFormat="1" applyBorder="1"/>
    <xf numFmtId="44" fontId="0" fillId="0" borderId="11" xfId="0" applyNumberFormat="1" applyBorder="1"/>
    <xf numFmtId="0" fontId="0" fillId="8" borderId="3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44" fontId="0" fillId="3" borderId="3" xfId="0" applyNumberFormat="1" applyFill="1" applyBorder="1" applyAlignment="1">
      <alignment vertical="top" wrapText="1"/>
    </xf>
    <xf numFmtId="0" fontId="21" fillId="0" borderId="0" xfId="0" applyFont="1" applyAlignment="1">
      <alignment vertical="center" wrapText="1"/>
    </xf>
    <xf numFmtId="168" fontId="43" fillId="3" borderId="2" xfId="0" applyNumberFormat="1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7" xfId="0" applyFont="1" applyFill="1" applyBorder="1" applyAlignment="1">
      <alignment vertical="center"/>
    </xf>
    <xf numFmtId="169" fontId="0" fillId="0" borderId="0" xfId="0" applyNumberFormat="1"/>
    <xf numFmtId="14" fontId="0" fillId="0" borderId="0" xfId="0" applyNumberFormat="1"/>
    <xf numFmtId="0" fontId="7" fillId="14" borderId="0" xfId="0" applyFont="1" applyFill="1" applyAlignment="1">
      <alignment vertical="center" wrapText="1"/>
    </xf>
    <xf numFmtId="169" fontId="7" fillId="14" borderId="0" xfId="0" applyNumberFormat="1" applyFont="1" applyFill="1" applyAlignment="1">
      <alignment vertical="center" wrapText="1"/>
    </xf>
    <xf numFmtId="169" fontId="7" fillId="14" borderId="0" xfId="0" applyNumberFormat="1" applyFont="1" applyFill="1" applyAlignment="1">
      <alignment horizontal="right" vertical="center" wrapText="1"/>
    </xf>
    <xf numFmtId="0" fontId="7" fillId="14" borderId="0" xfId="0" applyFont="1" applyFill="1" applyAlignment="1">
      <alignment horizontal="right" vertical="center" wrapText="1"/>
    </xf>
    <xf numFmtId="169" fontId="0" fillId="0" borderId="0" xfId="0" applyNumberFormat="1" applyAlignment="1">
      <alignment horizontal="right"/>
    </xf>
    <xf numFmtId="0" fontId="0" fillId="15" borderId="2" xfId="0" applyFill="1" applyBorder="1" applyAlignment="1" applyProtection="1">
      <alignment horizontal="right" vertical="center" wrapText="1"/>
      <protection locked="0"/>
    </xf>
    <xf numFmtId="14" fontId="11" fillId="15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15" borderId="2" xfId="0" applyNumberFormat="1" applyFill="1" applyBorder="1" applyAlignment="1" applyProtection="1">
      <alignment horizontal="lef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0" fillId="15" borderId="9" xfId="0" applyFill="1" applyBorder="1" applyAlignment="1" applyProtection="1">
      <alignment horizontal="right" vertical="center"/>
      <protection locked="0"/>
    </xf>
    <xf numFmtId="0" fontId="77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wrapText="1"/>
    </xf>
    <xf numFmtId="169" fontId="41" fillId="8" borderId="2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wrapText="1"/>
    </xf>
    <xf numFmtId="14" fontId="41" fillId="8" borderId="3" xfId="0" applyNumberFormat="1" applyFont="1" applyFill="1" applyBorder="1" applyAlignment="1" applyProtection="1">
      <alignment horizontal="centerContinuous" vertical="center" wrapText="1"/>
      <protection locked="0"/>
    </xf>
    <xf numFmtId="14" fontId="41" fillId="8" borderId="9" xfId="0" applyNumberFormat="1" applyFont="1" applyFill="1" applyBorder="1" applyAlignment="1" applyProtection="1">
      <alignment horizontal="centerContinuous" vertical="center" wrapText="1"/>
      <protection locked="0"/>
    </xf>
    <xf numFmtId="0" fontId="79" fillId="15" borderId="2" xfId="12" applyFill="1" applyBorder="1" applyAlignment="1" applyProtection="1">
      <alignment horizontal="right" vertical="center"/>
      <protection locked="0"/>
    </xf>
    <xf numFmtId="0" fontId="0" fillId="6" borderId="0" xfId="0" applyFill="1" applyAlignment="1">
      <alignment wrapText="1"/>
    </xf>
    <xf numFmtId="170" fontId="0" fillId="6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69" fontId="0" fillId="6" borderId="0" xfId="0" applyNumberFormat="1" applyFill="1" applyAlignment="1">
      <alignment wrapText="1"/>
    </xf>
    <xf numFmtId="169" fontId="0" fillId="2" borderId="0" xfId="0" applyNumberFormat="1" applyFill="1" applyAlignment="1">
      <alignment wrapText="1"/>
    </xf>
    <xf numFmtId="169" fontId="0" fillId="0" borderId="0" xfId="0" applyNumberFormat="1" applyAlignment="1">
      <alignment wrapText="1"/>
    </xf>
    <xf numFmtId="0" fontId="77" fillId="15" borderId="2" xfId="0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 wrapText="1"/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4" fillId="0" borderId="0" xfId="3" applyFont="1" applyAlignment="1" applyProtection="1">
      <alignment vertical="top" wrapText="1"/>
      <protection hidden="1"/>
    </xf>
    <xf numFmtId="0" fontId="21" fillId="6" borderId="18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8" fillId="6" borderId="27" xfId="0" applyFont="1" applyFill="1" applyBorder="1" applyAlignment="1" applyProtection="1">
      <alignment horizontal="center" vertical="center" wrapText="1"/>
      <protection hidden="1"/>
    </xf>
    <xf numFmtId="0" fontId="21" fillId="6" borderId="15" xfId="0" applyFont="1" applyFill="1" applyBorder="1" applyAlignment="1" applyProtection="1">
      <alignment horizontal="center" vertical="center" wrapText="1"/>
      <protection hidden="1"/>
    </xf>
    <xf numFmtId="0" fontId="21" fillId="6" borderId="30" xfId="0" applyFont="1" applyFill="1" applyBorder="1" applyAlignment="1" applyProtection="1">
      <alignment horizontal="left" vertical="center" wrapText="1"/>
      <protection hidden="1"/>
    </xf>
    <xf numFmtId="0" fontId="21" fillId="6" borderId="0" xfId="0" applyFont="1" applyFill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44" fontId="21" fillId="3" borderId="24" xfId="0" applyNumberFormat="1" applyFont="1" applyFill="1" applyBorder="1" applyAlignment="1" applyProtection="1">
      <alignment vertical="center" wrapText="1"/>
      <protection hidden="1"/>
    </xf>
    <xf numFmtId="165" fontId="21" fillId="6" borderId="0" xfId="0" applyNumberFormat="1" applyFont="1" applyFill="1" applyAlignment="1" applyProtection="1">
      <alignment vertical="center" wrapText="1"/>
      <protection hidden="1"/>
    </xf>
    <xf numFmtId="165" fontId="21" fillId="0" borderId="0" xfId="0" applyNumberFormat="1" applyFont="1" applyAlignment="1" applyProtection="1">
      <alignment vertical="center" wrapText="1"/>
      <protection hidden="1"/>
    </xf>
    <xf numFmtId="0" fontId="23" fillId="6" borderId="0" xfId="0" applyFont="1" applyFill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right" vertical="center" wrapText="1"/>
      <protection hidden="1"/>
    </xf>
    <xf numFmtId="44" fontId="56" fillId="2" borderId="18" xfId="0" applyNumberFormat="1" applyFont="1" applyFill="1" applyBorder="1" applyAlignment="1" applyProtection="1">
      <alignment vertical="center" wrapText="1"/>
      <protection hidden="1"/>
    </xf>
    <xf numFmtId="166" fontId="21" fillId="0" borderId="0" xfId="0" applyNumberFormat="1" applyFont="1" applyAlignment="1" applyProtection="1">
      <alignment vertical="center" wrapText="1"/>
      <protection hidden="1"/>
    </xf>
    <xf numFmtId="10" fontId="21" fillId="0" borderId="0" xfId="0" applyNumberFormat="1" applyFont="1" applyAlignment="1" applyProtection="1">
      <alignment vertical="center" wrapText="1"/>
      <protection hidden="1"/>
    </xf>
    <xf numFmtId="0" fontId="21" fillId="6" borderId="0" xfId="0" applyFont="1" applyFill="1" applyAlignment="1" applyProtection="1">
      <alignment vertical="center" wrapText="1"/>
      <protection hidden="1"/>
    </xf>
    <xf numFmtId="166" fontId="21" fillId="6" borderId="0" xfId="0" applyNumberFormat="1" applyFont="1" applyFill="1" applyAlignment="1" applyProtection="1">
      <alignment vertical="center" wrapText="1"/>
      <protection hidden="1"/>
    </xf>
    <xf numFmtId="10" fontId="21" fillId="6" borderId="0" xfId="0" applyNumberFormat="1" applyFont="1" applyFill="1" applyAlignment="1" applyProtection="1">
      <alignment vertical="center" wrapText="1"/>
      <protection hidden="1"/>
    </xf>
    <xf numFmtId="0" fontId="21" fillId="6" borderId="0" xfId="0" applyFont="1" applyFill="1" applyAlignment="1" applyProtection="1">
      <alignment horizontal="right" vertical="center" wrapText="1"/>
      <protection hidden="1"/>
    </xf>
    <xf numFmtId="167" fontId="21" fillId="6" borderId="0" xfId="0" applyNumberFormat="1" applyFont="1" applyFill="1" applyAlignment="1" applyProtection="1">
      <alignment vertical="center" wrapText="1"/>
      <protection hidden="1"/>
    </xf>
    <xf numFmtId="0" fontId="51" fillId="10" borderId="66" xfId="0" applyFont="1" applyFill="1" applyBorder="1" applyAlignment="1" applyProtection="1">
      <alignment horizontal="center" vertical="center" wrapText="1"/>
      <protection hidden="1"/>
    </xf>
    <xf numFmtId="0" fontId="20" fillId="6" borderId="67" xfId="0" applyFont="1" applyFill="1" applyBorder="1" applyAlignment="1" applyProtection="1">
      <alignment horizontal="center" vertical="center" wrapText="1"/>
      <protection hidden="1"/>
    </xf>
    <xf numFmtId="0" fontId="21" fillId="6" borderId="67" xfId="0" applyFont="1" applyFill="1" applyBorder="1" applyAlignment="1" applyProtection="1">
      <alignment horizontal="center" vertical="center" wrapText="1"/>
      <protection hidden="1"/>
    </xf>
    <xf numFmtId="166" fontId="21" fillId="6" borderId="67" xfId="0" applyNumberFormat="1" applyFont="1" applyFill="1" applyBorder="1" applyAlignment="1" applyProtection="1">
      <alignment horizontal="center" vertical="center" wrapText="1"/>
      <protection hidden="1"/>
    </xf>
    <xf numFmtId="0" fontId="17" fillId="6" borderId="67" xfId="0" applyFont="1" applyFill="1" applyBorder="1" applyAlignment="1" applyProtection="1">
      <alignment horizontal="center" vertical="center" wrapText="1"/>
      <protection hidden="1"/>
    </xf>
    <xf numFmtId="0" fontId="46" fillId="15" borderId="0" xfId="0" applyFont="1" applyFill="1" applyAlignment="1" applyProtection="1">
      <alignment vertical="center"/>
      <protection locked="0" hidden="1"/>
    </xf>
    <xf numFmtId="0" fontId="46" fillId="15" borderId="0" xfId="0" applyFont="1" applyFill="1" applyAlignment="1" applyProtection="1">
      <alignment horizontal="left" vertical="center" indent="1"/>
      <protection locked="0" hidden="1"/>
    </xf>
    <xf numFmtId="0" fontId="61" fillId="6" borderId="14" xfId="0" applyFont="1" applyFill="1" applyBorder="1" applyAlignment="1" applyProtection="1">
      <alignment horizontal="center" vertical="center"/>
      <protection hidden="1"/>
    </xf>
    <xf numFmtId="167" fontId="62" fillId="3" borderId="12" xfId="0" applyNumberFormat="1" applyFont="1" applyFill="1" applyBorder="1" applyAlignment="1" applyProtection="1">
      <alignment horizontal="center" vertical="center"/>
      <protection hidden="1"/>
    </xf>
    <xf numFmtId="0" fontId="66" fillId="0" borderId="0" xfId="0" applyFont="1" applyProtection="1">
      <protection hidden="1"/>
    </xf>
    <xf numFmtId="167" fontId="64" fillId="13" borderId="14" xfId="0" applyNumberFormat="1" applyFont="1" applyFill="1" applyBorder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0" fillId="0" borderId="0" xfId="0" applyProtection="1">
      <protection hidden="1"/>
    </xf>
    <xf numFmtId="0" fontId="61" fillId="6" borderId="15" xfId="0" applyFont="1" applyFill="1" applyBorder="1" applyAlignment="1" applyProtection="1">
      <alignment vertical="center"/>
      <protection hidden="1"/>
    </xf>
    <xf numFmtId="0" fontId="62" fillId="6" borderId="12" xfId="0" applyFont="1" applyFill="1" applyBorder="1" applyAlignment="1" applyProtection="1">
      <alignment horizontal="center" vertical="center"/>
      <protection hidden="1"/>
    </xf>
    <xf numFmtId="0" fontId="67" fillId="0" borderId="15" xfId="0" applyFont="1" applyBorder="1" applyAlignment="1" applyProtection="1">
      <alignment horizontal="center" vertical="center"/>
      <protection hidden="1"/>
    </xf>
    <xf numFmtId="0" fontId="61" fillId="6" borderId="16" xfId="0" applyFont="1" applyFill="1" applyBorder="1" applyAlignment="1" applyProtection="1">
      <alignment vertical="center"/>
      <protection hidden="1"/>
    </xf>
    <xf numFmtId="167" fontId="64" fillId="13" borderId="16" xfId="0" applyNumberFormat="1" applyFont="1" applyFill="1" applyBorder="1" applyAlignment="1" applyProtection="1">
      <alignment horizontal="center" vertical="center"/>
      <protection hidden="1"/>
    </xf>
    <xf numFmtId="0" fontId="64" fillId="6" borderId="13" xfId="0" applyFont="1" applyFill="1" applyBorder="1" applyProtection="1">
      <protection hidden="1"/>
    </xf>
    <xf numFmtId="0" fontId="10" fillId="0" borderId="0" xfId="0" applyFont="1" applyProtection="1">
      <protection hidden="1"/>
    </xf>
    <xf numFmtId="0" fontId="65" fillId="5" borderId="12" xfId="0" applyFont="1" applyFill="1" applyBorder="1" applyAlignment="1" applyProtection="1">
      <alignment vertical="center"/>
      <protection hidden="1"/>
    </xf>
    <xf numFmtId="0" fontId="65" fillId="5" borderId="12" xfId="0" applyFont="1" applyFill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65" fillId="6" borderId="14" xfId="0" applyFont="1" applyFill="1" applyBorder="1" applyAlignment="1" applyProtection="1">
      <alignment horizontal="left" vertical="center" wrapText="1"/>
      <protection hidden="1"/>
    </xf>
    <xf numFmtId="0" fontId="62" fillId="6" borderId="14" xfId="0" applyFont="1" applyFill="1" applyBorder="1" applyAlignment="1" applyProtection="1">
      <alignment horizontal="center" vertical="center" wrapText="1"/>
      <protection hidden="1"/>
    </xf>
    <xf numFmtId="165" fontId="63" fillId="6" borderId="14" xfId="0" applyNumberFormat="1" applyFont="1" applyFill="1" applyBorder="1" applyAlignment="1" applyProtection="1">
      <alignment horizontal="center" vertical="center" wrapText="1"/>
      <protection hidden="1"/>
    </xf>
    <xf numFmtId="0" fontId="64" fillId="8" borderId="14" xfId="0" applyFont="1" applyFill="1" applyBorder="1" applyAlignment="1" applyProtection="1">
      <alignment horizontal="center" vertical="center" wrapText="1"/>
      <protection hidden="1"/>
    </xf>
    <xf numFmtId="0" fontId="65" fillId="4" borderId="56" xfId="0" applyFont="1" applyFill="1" applyBorder="1" applyAlignment="1" applyProtection="1">
      <alignment vertical="center"/>
      <protection hidden="1"/>
    </xf>
    <xf numFmtId="0" fontId="65" fillId="6" borderId="17" xfId="0" applyFont="1" applyFill="1" applyBorder="1" applyAlignment="1" applyProtection="1">
      <alignment vertical="center"/>
      <protection hidden="1"/>
    </xf>
    <xf numFmtId="0" fontId="65" fillId="6" borderId="29" xfId="0" applyFont="1" applyFill="1" applyBorder="1" applyAlignment="1" applyProtection="1">
      <alignment vertical="center"/>
      <protection hidden="1"/>
    </xf>
    <xf numFmtId="0" fontId="29" fillId="0" borderId="0" xfId="0" applyFont="1" applyProtection="1">
      <protection hidden="1"/>
    </xf>
    <xf numFmtId="0" fontId="67" fillId="0" borderId="12" xfId="1" applyFont="1" applyBorder="1" applyAlignment="1" applyProtection="1">
      <alignment horizontal="right" vertical="center"/>
      <protection hidden="1"/>
    </xf>
    <xf numFmtId="44" fontId="68" fillId="6" borderId="18" xfId="0" applyNumberFormat="1" applyFont="1" applyFill="1" applyBorder="1" applyAlignment="1" applyProtection="1">
      <alignment horizontal="right"/>
      <protection hidden="1"/>
    </xf>
    <xf numFmtId="0" fontId="19" fillId="0" borderId="0" xfId="0" applyFont="1" applyProtection="1">
      <protection hidden="1"/>
    </xf>
    <xf numFmtId="0" fontId="65" fillId="4" borderId="21" xfId="0" applyFont="1" applyFill="1" applyBorder="1" applyAlignment="1" applyProtection="1">
      <alignment vertical="center"/>
      <protection hidden="1"/>
    </xf>
    <xf numFmtId="0" fontId="65" fillId="6" borderId="57" xfId="0" applyFont="1" applyFill="1" applyBorder="1" applyAlignment="1" applyProtection="1">
      <alignment vertical="center"/>
      <protection hidden="1"/>
    </xf>
    <xf numFmtId="0" fontId="65" fillId="6" borderId="31" xfId="0" applyFont="1" applyFill="1" applyBorder="1" applyAlignment="1" applyProtection="1">
      <alignment vertical="center"/>
      <protection hidden="1"/>
    </xf>
    <xf numFmtId="0" fontId="70" fillId="6" borderId="12" xfId="0" applyFont="1" applyFill="1" applyBorder="1" applyAlignment="1" applyProtection="1">
      <alignment horizontal="right" vertical="center" wrapText="1"/>
      <protection hidden="1"/>
    </xf>
    <xf numFmtId="0" fontId="61" fillId="4" borderId="12" xfId="0" applyFont="1" applyFill="1" applyBorder="1" applyAlignment="1" applyProtection="1">
      <alignment horizontal="left" vertical="center"/>
      <protection hidden="1"/>
    </xf>
    <xf numFmtId="44" fontId="65" fillId="3" borderId="12" xfId="0" applyNumberFormat="1" applyFont="1" applyFill="1" applyBorder="1" applyAlignment="1" applyProtection="1">
      <alignment horizontal="right"/>
      <protection hidden="1"/>
    </xf>
    <xf numFmtId="44" fontId="69" fillId="0" borderId="0" xfId="0" applyNumberFormat="1" applyFont="1" applyProtection="1">
      <protection hidden="1"/>
    </xf>
    <xf numFmtId="0" fontId="61" fillId="3" borderId="19" xfId="0" applyFont="1" applyFill="1" applyBorder="1" applyAlignment="1" applyProtection="1">
      <alignment horizontal="right" vertical="center"/>
      <protection hidden="1"/>
    </xf>
    <xf numFmtId="9" fontId="67" fillId="3" borderId="28" xfId="0" applyNumberFormat="1" applyFont="1" applyFill="1" applyBorder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165" fontId="65" fillId="5" borderId="19" xfId="0" applyNumberFormat="1" applyFont="1" applyFill="1" applyBorder="1" applyAlignment="1" applyProtection="1">
      <alignment horizontal="right" vertical="center" wrapText="1"/>
      <protection hidden="1"/>
    </xf>
    <xf numFmtId="44" fontId="71" fillId="5" borderId="28" xfId="0" applyNumberFormat="1" applyFont="1" applyFill="1" applyBorder="1" applyAlignment="1" applyProtection="1">
      <alignment horizontal="right" vertical="center"/>
      <protection hidden="1"/>
    </xf>
    <xf numFmtId="44" fontId="72" fillId="5" borderId="28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1" fillId="0" borderId="19" xfId="0" applyFont="1" applyBorder="1" applyProtection="1">
      <protection hidden="1"/>
    </xf>
    <xf numFmtId="44" fontId="66" fillId="6" borderId="0" xfId="0" applyNumberFormat="1" applyFont="1" applyFill="1" applyAlignment="1" applyProtection="1">
      <alignment horizontal="right"/>
      <protection hidden="1"/>
    </xf>
    <xf numFmtId="44" fontId="64" fillId="6" borderId="0" xfId="0" applyNumberFormat="1" applyFont="1" applyFill="1" applyAlignment="1" applyProtection="1">
      <alignment horizontal="right"/>
      <protection hidden="1"/>
    </xf>
    <xf numFmtId="44" fontId="64" fillId="0" borderId="0" xfId="0" applyNumberFormat="1" applyFont="1" applyProtection="1">
      <protection hidden="1"/>
    </xf>
    <xf numFmtId="0" fontId="64" fillId="0" borderId="32" xfId="0" applyFont="1" applyBorder="1" applyAlignment="1" applyProtection="1">
      <alignment horizontal="right" vertical="center"/>
      <protection hidden="1"/>
    </xf>
    <xf numFmtId="44" fontId="66" fillId="6" borderId="33" xfId="0" applyNumberFormat="1" applyFont="1" applyFill="1" applyBorder="1" applyAlignment="1" applyProtection="1">
      <alignment horizontal="right"/>
      <protection hidden="1"/>
    </xf>
    <xf numFmtId="44" fontId="64" fillId="3" borderId="33" xfId="0" applyNumberFormat="1" applyFont="1" applyFill="1" applyBorder="1" applyAlignment="1" applyProtection="1">
      <alignment horizontal="right"/>
      <protection hidden="1"/>
    </xf>
    <xf numFmtId="44" fontId="64" fillId="0" borderId="33" xfId="0" applyNumberFormat="1" applyFont="1" applyBorder="1" applyProtection="1">
      <protection hidden="1"/>
    </xf>
    <xf numFmtId="0" fontId="61" fillId="6" borderId="0" xfId="0" applyFont="1" applyFill="1" applyAlignment="1" applyProtection="1">
      <alignment horizontal="right"/>
      <protection hidden="1"/>
    </xf>
    <xf numFmtId="0" fontId="64" fillId="0" borderId="32" xfId="0" applyFont="1" applyBorder="1" applyAlignment="1" applyProtection="1">
      <alignment horizontal="right"/>
      <protection hidden="1"/>
    </xf>
    <xf numFmtId="44" fontId="64" fillId="8" borderId="33" xfId="0" applyNumberFormat="1" applyFont="1" applyFill="1" applyBorder="1" applyAlignment="1" applyProtection="1">
      <alignment horizontal="right"/>
      <protection hidden="1"/>
    </xf>
    <xf numFmtId="44" fontId="64" fillId="6" borderId="33" xfId="0" applyNumberFormat="1" applyFont="1" applyFill="1" applyBorder="1" applyAlignment="1" applyProtection="1">
      <alignment horizontal="right"/>
      <protection hidden="1"/>
    </xf>
    <xf numFmtId="0" fontId="24" fillId="0" borderId="0" xfId="0" applyFont="1" applyProtection="1">
      <protection hidden="1"/>
    </xf>
    <xf numFmtId="165" fontId="67" fillId="6" borderId="32" xfId="0" applyNumberFormat="1" applyFont="1" applyFill="1" applyBorder="1" applyAlignment="1" applyProtection="1">
      <alignment horizontal="right"/>
      <protection hidden="1"/>
    </xf>
    <xf numFmtId="44" fontId="64" fillId="3" borderId="34" xfId="0" applyNumberFormat="1" applyFont="1" applyFill="1" applyBorder="1" applyAlignment="1" applyProtection="1">
      <alignment horizontal="right"/>
      <protection hidden="1"/>
    </xf>
    <xf numFmtId="0" fontId="20" fillId="6" borderId="0" xfId="0" applyFont="1" applyFill="1" applyProtection="1">
      <protection hidden="1"/>
    </xf>
    <xf numFmtId="0" fontId="32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78" fillId="0" borderId="0" xfId="0" applyFont="1" applyAlignment="1">
      <alignment vertical="center"/>
    </xf>
    <xf numFmtId="0" fontId="78" fillId="0" borderId="0" xfId="0" applyFont="1" applyAlignment="1">
      <alignment horizontal="left" vertical="center"/>
    </xf>
    <xf numFmtId="14" fontId="78" fillId="0" borderId="0" xfId="0" applyNumberFormat="1" applyFont="1" applyAlignment="1">
      <alignment horizontal="left" vertical="center"/>
    </xf>
    <xf numFmtId="0" fontId="46" fillId="15" borderId="3" xfId="0" applyFont="1" applyFill="1" applyBorder="1" applyAlignment="1" applyProtection="1">
      <alignment horizontal="left" vertical="center" wrapText="1" indent="1"/>
      <protection locked="0" hidden="1"/>
    </xf>
    <xf numFmtId="0" fontId="46" fillId="15" borderId="6" xfId="0" applyFont="1" applyFill="1" applyBorder="1" applyAlignment="1" applyProtection="1">
      <alignment vertical="center" wrapText="1"/>
      <protection locked="0" hidden="1"/>
    </xf>
    <xf numFmtId="0" fontId="46" fillId="15" borderId="9" xfId="0" applyFont="1" applyFill="1" applyBorder="1" applyAlignment="1" applyProtection="1">
      <alignment vertical="center" wrapText="1"/>
      <protection locked="0" hidden="1"/>
    </xf>
    <xf numFmtId="0" fontId="21" fillId="15" borderId="18" xfId="0" applyFont="1" applyFill="1" applyBorder="1" applyAlignment="1" applyProtection="1">
      <alignment horizontal="center" vertical="center" wrapText="1"/>
      <protection locked="0"/>
    </xf>
    <xf numFmtId="0" fontId="21" fillId="15" borderId="60" xfId="0" applyFont="1" applyFill="1" applyBorder="1" applyAlignment="1" applyProtection="1">
      <alignment horizontal="center" vertical="center" wrapText="1"/>
      <protection locked="0"/>
    </xf>
    <xf numFmtId="0" fontId="21" fillId="15" borderId="63" xfId="0" applyFont="1" applyFill="1" applyBorder="1" applyAlignment="1" applyProtection="1">
      <alignment horizontal="center" vertical="center" wrapText="1"/>
      <protection locked="0"/>
    </xf>
    <xf numFmtId="49" fontId="21" fillId="15" borderId="63" xfId="0" applyNumberFormat="1" applyFont="1" applyFill="1" applyBorder="1" applyAlignment="1" applyProtection="1">
      <alignment horizontal="center" vertical="center" wrapText="1"/>
      <protection locked="0"/>
    </xf>
    <xf numFmtId="10" fontId="21" fillId="15" borderId="60" xfId="0" applyNumberFormat="1" applyFont="1" applyFill="1" applyBorder="1" applyAlignment="1" applyProtection="1">
      <alignment horizontal="center" vertical="center" wrapText="1"/>
      <protection locked="0"/>
    </xf>
    <xf numFmtId="44" fontId="21" fillId="15" borderId="63" xfId="0" applyNumberFormat="1" applyFont="1" applyFill="1" applyBorder="1" applyAlignment="1" applyProtection="1">
      <alignment vertical="center"/>
      <protection locked="0"/>
    </xf>
    <xf numFmtId="164" fontId="21" fillId="15" borderId="63" xfId="0" applyNumberFormat="1" applyFont="1" applyFill="1" applyBorder="1" applyAlignment="1" applyProtection="1">
      <alignment vertical="center" wrapText="1"/>
      <protection locked="0"/>
    </xf>
    <xf numFmtId="49" fontId="21" fillId="15" borderId="60" xfId="0" applyNumberFormat="1" applyFont="1" applyFill="1" applyBorder="1" applyAlignment="1" applyProtection="1">
      <alignment horizontal="center" vertical="center" wrapText="1"/>
      <protection locked="0"/>
    </xf>
    <xf numFmtId="169" fontId="21" fillId="15" borderId="60" xfId="0" applyNumberFormat="1" applyFont="1" applyFill="1" applyBorder="1" applyAlignment="1" applyProtection="1">
      <alignment vertical="center"/>
      <protection locked="0"/>
    </xf>
    <xf numFmtId="164" fontId="21" fillId="15" borderId="60" xfId="0" applyNumberFormat="1" applyFont="1" applyFill="1" applyBorder="1" applyAlignment="1" applyProtection="1">
      <alignment vertical="center" wrapText="1"/>
      <protection locked="0"/>
    </xf>
    <xf numFmtId="0" fontId="20" fillId="15" borderId="18" xfId="0" applyFont="1" applyFill="1" applyBorder="1" applyAlignment="1" applyProtection="1">
      <alignment vertical="center" wrapText="1"/>
      <protection locked="0"/>
    </xf>
    <xf numFmtId="0" fontId="21" fillId="15" borderId="18" xfId="0" applyFont="1" applyFill="1" applyBorder="1" applyAlignment="1" applyProtection="1">
      <alignment horizontal="right" vertical="center" wrapText="1"/>
      <protection locked="0"/>
    </xf>
    <xf numFmtId="14" fontId="21" fillId="15" borderId="18" xfId="0" applyNumberFormat="1" applyFont="1" applyFill="1" applyBorder="1" applyAlignment="1" applyProtection="1">
      <alignment horizontal="center" vertical="center" wrapText="1"/>
      <protection locked="0"/>
    </xf>
    <xf numFmtId="44" fontId="18" fillId="15" borderId="18" xfId="0" applyNumberFormat="1" applyFont="1" applyFill="1" applyBorder="1" applyAlignment="1" applyProtection="1">
      <alignment vertical="center" wrapText="1"/>
      <protection locked="0"/>
    </xf>
    <xf numFmtId="166" fontId="21" fillId="15" borderId="22" xfId="0" applyNumberFormat="1" applyFont="1" applyFill="1" applyBorder="1" applyAlignment="1" applyProtection="1">
      <alignment vertical="center"/>
      <protection locked="0"/>
    </xf>
    <xf numFmtId="166" fontId="21" fillId="15" borderId="24" xfId="0" applyNumberFormat="1" applyFont="1" applyFill="1" applyBorder="1" applyAlignment="1" applyProtection="1">
      <alignment vertical="center"/>
      <protection locked="0"/>
    </xf>
    <xf numFmtId="166" fontId="21" fillId="15" borderId="23" xfId="0" applyNumberFormat="1" applyFont="1" applyFill="1" applyBorder="1" applyAlignment="1" applyProtection="1">
      <alignment vertical="center"/>
      <protection locked="0"/>
    </xf>
    <xf numFmtId="44" fontId="66" fillId="6" borderId="68" xfId="0" applyNumberFormat="1" applyFont="1" applyFill="1" applyBorder="1" applyAlignment="1" applyProtection="1">
      <alignment horizontal="right"/>
      <protection hidden="1"/>
    </xf>
    <xf numFmtId="0" fontId="0" fillId="0" borderId="0" xfId="0" applyAlignment="1">
      <alignment horizontal="center"/>
    </xf>
    <xf numFmtId="0" fontId="9" fillId="15" borderId="2" xfId="0" applyFont="1" applyFill="1" applyBorder="1" applyAlignment="1" applyProtection="1">
      <alignment horizontal="right" vertical="center" wrapText="1"/>
      <protection locked="0"/>
    </xf>
    <xf numFmtId="44" fontId="65" fillId="3" borderId="70" xfId="0" applyNumberFormat="1" applyFont="1" applyFill="1" applyBorder="1" applyAlignment="1" applyProtection="1">
      <alignment horizontal="right"/>
      <protection hidden="1"/>
    </xf>
    <xf numFmtId="44" fontId="64" fillId="3" borderId="69" xfId="0" applyNumberFormat="1" applyFont="1" applyFill="1" applyBorder="1" applyAlignment="1" applyProtection="1">
      <alignment horizontal="right"/>
      <protection hidden="1"/>
    </xf>
    <xf numFmtId="165" fontId="67" fillId="6" borderId="32" xfId="0" applyNumberFormat="1" applyFont="1" applyFill="1" applyBorder="1" applyAlignment="1" applyProtection="1">
      <alignment horizontal="right" wrapText="1"/>
      <protection hidden="1"/>
    </xf>
    <xf numFmtId="0" fontId="84" fillId="0" borderId="0" xfId="0" applyFont="1" applyProtection="1">
      <protection hidden="1"/>
    </xf>
    <xf numFmtId="0" fontId="35" fillId="4" borderId="1" xfId="0" applyFont="1" applyFill="1" applyBorder="1" applyAlignment="1" applyProtection="1">
      <alignment horizontal="centerContinuous" vertical="center" wrapText="1"/>
    </xf>
    <xf numFmtId="0" fontId="35" fillId="4" borderId="1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3" fillId="6" borderId="0" xfId="0" applyFont="1" applyFill="1" applyAlignment="1" applyProtection="1">
      <alignment horizontal="left" vertical="center"/>
    </xf>
    <xf numFmtId="0" fontId="11" fillId="6" borderId="0" xfId="0" applyFont="1" applyFill="1" applyAlignment="1" applyProtection="1">
      <alignment vertical="center"/>
    </xf>
    <xf numFmtId="0" fontId="27" fillId="6" borderId="0" xfId="0" applyFont="1" applyFill="1" applyAlignment="1" applyProtection="1">
      <alignment vertical="center"/>
    </xf>
    <xf numFmtId="0" fontId="0" fillId="0" borderId="0" xfId="0" applyProtection="1"/>
    <xf numFmtId="0" fontId="0" fillId="0" borderId="3" xfId="0" applyBorder="1" applyAlignment="1" applyProtection="1">
      <alignment horizontal="right" vertical="center" wrapText="1"/>
    </xf>
    <xf numFmtId="0" fontId="0" fillId="0" borderId="3" xfId="0" applyBorder="1" applyAlignment="1" applyProtection="1">
      <alignment vertical="center" wrapText="1"/>
    </xf>
    <xf numFmtId="0" fontId="52" fillId="0" borderId="0" xfId="0" applyFont="1" applyAlignment="1" applyProtection="1">
      <alignment vertical="center"/>
    </xf>
    <xf numFmtId="0" fontId="11" fillId="6" borderId="0" xfId="0" applyFont="1" applyFill="1" applyAlignment="1" applyProtection="1">
      <alignment horizontal="right" vertical="center"/>
    </xf>
    <xf numFmtId="0" fontId="0" fillId="0" borderId="54" xfId="0" applyBorder="1" applyAlignment="1" applyProtection="1">
      <alignment horizontal="right" vertical="center" wrapText="1"/>
    </xf>
    <xf numFmtId="9" fontId="0" fillId="11" borderId="2" xfId="0" applyNumberForma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horizontal="right" vertical="center"/>
    </xf>
    <xf numFmtId="0" fontId="11" fillId="0" borderId="54" xfId="0" applyFont="1" applyBorder="1" applyAlignment="1" applyProtection="1">
      <alignment horizontal="right" vertical="center" wrapText="1"/>
    </xf>
    <xf numFmtId="14" fontId="11" fillId="11" borderId="2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vertical="center"/>
    </xf>
    <xf numFmtId="0" fontId="0" fillId="0" borderId="9" xfId="0" applyBorder="1" applyAlignment="1" applyProtection="1">
      <alignment horizontal="right" vertical="center"/>
    </xf>
    <xf numFmtId="0" fontId="0" fillId="11" borderId="2" xfId="0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65" xfId="0" applyBorder="1" applyProtection="1"/>
    <xf numFmtId="0" fontId="77" fillId="0" borderId="54" xfId="0" applyFont="1" applyBorder="1" applyAlignment="1" applyProtection="1">
      <alignment horizontal="right" vertical="center" wrapText="1"/>
    </xf>
    <xf numFmtId="0" fontId="77" fillId="0" borderId="9" xfId="0" applyFont="1" applyBorder="1" applyAlignment="1" applyProtection="1">
      <alignment horizontal="right" vertical="center" wrapText="1"/>
    </xf>
    <xf numFmtId="0" fontId="77" fillId="0" borderId="2" xfId="0" applyFont="1" applyBorder="1" applyAlignment="1" applyProtection="1">
      <alignment horizontal="right" vertical="center"/>
    </xf>
    <xf numFmtId="0" fontId="11" fillId="6" borderId="0" xfId="0" applyFont="1" applyFill="1" applyAlignment="1" applyProtection="1">
      <alignment horizontal="left" vertical="center"/>
    </xf>
    <xf numFmtId="0" fontId="0" fillId="6" borderId="0" xfId="0" applyFill="1" applyAlignment="1" applyProtection="1">
      <alignment vertical="center"/>
    </xf>
    <xf numFmtId="0" fontId="0" fillId="6" borderId="0" xfId="0" applyFill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169" fontId="11" fillId="11" borderId="2" xfId="0" applyNumberFormat="1" applyFont="1" applyFill="1" applyBorder="1" applyAlignment="1" applyProtection="1">
      <alignment horizontal="right" vertical="center" wrapText="1"/>
    </xf>
    <xf numFmtId="10" fontId="21" fillId="8" borderId="58" xfId="0" applyNumberFormat="1" applyFont="1" applyFill="1" applyBorder="1" applyAlignment="1" applyProtection="1">
      <alignment horizontal="center" vertical="center" wrapText="1"/>
      <protection locked="0"/>
    </xf>
    <xf numFmtId="44" fontId="21" fillId="8" borderId="39" xfId="0" applyNumberFormat="1" applyFont="1" applyFill="1" applyBorder="1" applyAlignment="1" applyProtection="1">
      <alignment vertical="center" wrapText="1"/>
      <protection locked="0"/>
    </xf>
    <xf numFmtId="0" fontId="21" fillId="8" borderId="64" xfId="0" applyFont="1" applyFill="1" applyBorder="1" applyAlignment="1" applyProtection="1">
      <alignment horizontal="left" vertical="center" wrapText="1" indent="1"/>
      <protection locked="0"/>
    </xf>
    <xf numFmtId="0" fontId="21" fillId="8" borderId="40" xfId="0" applyFont="1" applyFill="1" applyBorder="1" applyAlignment="1" applyProtection="1">
      <alignment horizontal="left" vertical="center" wrapText="1" indent="1"/>
      <protection locked="0"/>
    </xf>
    <xf numFmtId="0" fontId="72" fillId="0" borderId="2" xfId="8" applyFont="1" applyBorder="1" applyAlignment="1" applyProtection="1">
      <alignment horizontal="center" vertical="center" wrapText="1"/>
    </xf>
    <xf numFmtId="0" fontId="72" fillId="6" borderId="2" xfId="8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10" fontId="21" fillId="0" borderId="0" xfId="0" applyNumberFormat="1" applyFont="1" applyAlignment="1" applyProtection="1">
      <alignment vertical="center" wrapText="1"/>
    </xf>
    <xf numFmtId="0" fontId="21" fillId="6" borderId="0" xfId="0" applyFont="1" applyFill="1" applyAlignment="1" applyProtection="1">
      <alignment vertical="center" wrapText="1"/>
    </xf>
    <xf numFmtId="4" fontId="13" fillId="12" borderId="59" xfId="0" applyNumberFormat="1" applyFont="1" applyFill="1" applyBorder="1" applyAlignment="1" applyProtection="1">
      <alignment vertical="center" wrapText="1"/>
    </xf>
    <xf numFmtId="0" fontId="33" fillId="6" borderId="0" xfId="0" applyFont="1" applyFill="1" applyAlignment="1" applyProtection="1">
      <alignment vertical="center" wrapText="1"/>
    </xf>
    <xf numFmtId="0" fontId="21" fillId="6" borderId="2" xfId="0" applyFont="1" applyFill="1" applyBorder="1" applyAlignment="1" applyProtection="1">
      <alignment horizontal="center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18" fillId="9" borderId="2" xfId="0" applyFont="1" applyFill="1" applyBorder="1" applyAlignment="1" applyProtection="1">
      <alignment horizontal="center" vertical="center" wrapText="1"/>
    </xf>
    <xf numFmtId="10" fontId="21" fillId="6" borderId="2" xfId="0" applyNumberFormat="1" applyFont="1" applyFill="1" applyBorder="1" applyAlignment="1" applyProtection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</xf>
    <xf numFmtId="165" fontId="21" fillId="6" borderId="2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vertical="center" wrapText="1"/>
    </xf>
    <xf numFmtId="0" fontId="33" fillId="0" borderId="0" xfId="0" applyFont="1" applyAlignment="1" applyProtection="1">
      <alignment vertical="center" wrapText="1"/>
    </xf>
    <xf numFmtId="0" fontId="21" fillId="6" borderId="0" xfId="0" applyFont="1" applyFill="1" applyAlignment="1" applyProtection="1">
      <alignment horizontal="center" vertical="center" wrapText="1"/>
    </xf>
    <xf numFmtId="44" fontId="18" fillId="11" borderId="63" xfId="0" applyNumberFormat="1" applyFont="1" applyFill="1" applyBorder="1" applyAlignment="1" applyProtection="1">
      <alignment vertical="center" wrapText="1"/>
    </xf>
    <xf numFmtId="44" fontId="18" fillId="3" borderId="59" xfId="0" applyNumberFormat="1" applyFont="1" applyFill="1" applyBorder="1" applyAlignment="1" applyProtection="1">
      <alignment vertical="center" wrapText="1"/>
    </xf>
    <xf numFmtId="168" fontId="21" fillId="3" borderId="62" xfId="0" applyNumberFormat="1" applyFont="1" applyFill="1" applyBorder="1" applyAlignment="1" applyProtection="1">
      <alignment vertical="center" wrapText="1"/>
    </xf>
    <xf numFmtId="49" fontId="21" fillId="0" borderId="0" xfId="0" applyNumberFormat="1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top" wrapText="1"/>
    </xf>
    <xf numFmtId="165" fontId="21" fillId="0" borderId="0" xfId="0" applyNumberFormat="1" applyFont="1" applyAlignment="1" applyProtection="1">
      <alignment vertical="center" wrapText="1"/>
    </xf>
    <xf numFmtId="44" fontId="13" fillId="12" borderId="59" xfId="0" applyNumberFormat="1" applyFont="1" applyFill="1" applyBorder="1" applyAlignment="1" applyProtection="1">
      <alignment vertical="center" wrapText="1"/>
    </xf>
    <xf numFmtId="166" fontId="21" fillId="3" borderId="0" xfId="0" applyNumberFormat="1" applyFont="1" applyFill="1" applyAlignment="1" applyProtection="1">
      <alignment vertical="center" wrapText="1"/>
    </xf>
    <xf numFmtId="166" fontId="57" fillId="3" borderId="0" xfId="0" applyNumberFormat="1" applyFont="1" applyFill="1" applyAlignment="1" applyProtection="1">
      <alignment vertical="center" wrapText="1"/>
    </xf>
    <xf numFmtId="0" fontId="48" fillId="15" borderId="0" xfId="0" applyFont="1" applyFill="1" applyAlignment="1" applyProtection="1">
      <alignment vertical="center"/>
      <protection locked="0" hidden="1"/>
    </xf>
    <xf numFmtId="44" fontId="18" fillId="8" borderId="11" xfId="0" applyNumberFormat="1" applyFont="1" applyFill="1" applyBorder="1" applyAlignment="1" applyProtection="1">
      <alignment vertical="center" wrapText="1"/>
      <protection locked="0" hidden="1"/>
    </xf>
    <xf numFmtId="165" fontId="20" fillId="8" borderId="11" xfId="0" applyNumberFormat="1" applyFont="1" applyFill="1" applyBorder="1" applyAlignment="1" applyProtection="1">
      <alignment vertical="center" wrapText="1"/>
      <protection locked="0" hidden="1"/>
    </xf>
    <xf numFmtId="165" fontId="21" fillId="8" borderId="55" xfId="0" applyNumberFormat="1" applyFont="1" applyFill="1" applyBorder="1" applyAlignment="1" applyProtection="1">
      <alignment horizontal="centerContinuous" vertical="center" wrapText="1"/>
      <protection locked="0" hidden="1"/>
    </xf>
    <xf numFmtId="44" fontId="66" fillId="15" borderId="71" xfId="0" applyNumberFormat="1" applyFont="1" applyFill="1" applyBorder="1" applyAlignment="1" applyProtection="1">
      <alignment horizontal="right"/>
      <protection locked="0" hidden="1"/>
    </xf>
    <xf numFmtId="44" fontId="66" fillId="15" borderId="72" xfId="0" applyNumberFormat="1" applyFont="1" applyFill="1" applyBorder="1" applyAlignment="1" applyProtection="1">
      <alignment horizontal="right"/>
      <protection locked="0" hidden="1"/>
    </xf>
    <xf numFmtId="44" fontId="64" fillId="3" borderId="73" xfId="0" applyNumberFormat="1" applyFont="1" applyFill="1" applyBorder="1" applyAlignment="1" applyProtection="1">
      <alignment horizontal="right"/>
      <protection hidden="1"/>
    </xf>
    <xf numFmtId="44" fontId="64" fillId="3" borderId="71" xfId="0" applyNumberFormat="1" applyFont="1" applyFill="1" applyBorder="1" applyAlignment="1" applyProtection="1">
      <alignment horizontal="right"/>
      <protection hidden="1"/>
    </xf>
    <xf numFmtId="44" fontId="64" fillId="3" borderId="72" xfId="0" applyNumberFormat="1" applyFont="1" applyFill="1" applyBorder="1" applyAlignment="1" applyProtection="1">
      <alignment horizontal="right"/>
      <protection hidden="1"/>
    </xf>
    <xf numFmtId="0" fontId="7" fillId="1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1" fillId="0" borderId="9" xfId="0" applyFont="1" applyBorder="1" applyAlignment="1" applyProtection="1">
      <alignment horizontal="right" vertical="center"/>
    </xf>
    <xf numFmtId="0" fontId="81" fillId="0" borderId="3" xfId="0" applyFont="1" applyBorder="1" applyAlignment="1" applyProtection="1">
      <alignment horizontal="right" vertical="center"/>
    </xf>
    <xf numFmtId="0" fontId="81" fillId="0" borderId="9" xfId="0" applyFont="1" applyBorder="1" applyAlignment="1" applyProtection="1">
      <alignment horizontal="right" vertical="center"/>
    </xf>
    <xf numFmtId="0" fontId="35" fillId="4" borderId="41" xfId="0" applyFont="1" applyFill="1" applyBorder="1" applyAlignment="1" applyProtection="1">
      <alignment horizontal="left" vertical="center"/>
    </xf>
    <xf numFmtId="0" fontId="35" fillId="4" borderId="1" xfId="0" applyFont="1" applyFill="1" applyBorder="1" applyAlignment="1" applyProtection="1">
      <alignment horizontal="left" vertical="center"/>
    </xf>
    <xf numFmtId="1" fontId="0" fillId="0" borderId="0" xfId="0" applyNumberFormat="1"/>
    <xf numFmtId="0" fontId="1" fillId="14" borderId="0" xfId="13" applyFill="1" applyAlignment="1">
      <alignment vertical="center"/>
    </xf>
    <xf numFmtId="0" fontId="65" fillId="6" borderId="0" xfId="0" applyFont="1" applyFill="1" applyBorder="1" applyAlignment="1" applyProtection="1">
      <alignment horizontal="center" vertical="center"/>
      <protection hidden="1"/>
    </xf>
    <xf numFmtId="169" fontId="85" fillId="19" borderId="0" xfId="0" applyNumberFormat="1" applyFont="1" applyFill="1" applyAlignment="1">
      <alignment horizontal="right"/>
    </xf>
    <xf numFmtId="169" fontId="85" fillId="0" borderId="0" xfId="0" applyNumberFormat="1" applyFont="1" applyAlignment="1">
      <alignment horizontal="right"/>
    </xf>
    <xf numFmtId="169" fontId="7" fillId="14" borderId="86" xfId="0" applyNumberFormat="1" applyFont="1" applyFill="1" applyBorder="1" applyAlignment="1">
      <alignment vertical="center" wrapText="1"/>
    </xf>
    <xf numFmtId="1" fontId="11" fillId="11" borderId="2" xfId="0" applyNumberFormat="1" applyFont="1" applyFill="1" applyBorder="1" applyAlignment="1" applyProtection="1">
      <alignment horizontal="right" vertical="center" wrapText="1"/>
    </xf>
    <xf numFmtId="1" fontId="0" fillId="19" borderId="87" xfId="0" applyNumberFormat="1" applyFont="1" applyFill="1" applyBorder="1"/>
    <xf numFmtId="0" fontId="86" fillId="20" borderId="0" xfId="0" applyFont="1" applyFill="1" applyBorder="1"/>
    <xf numFmtId="1" fontId="0" fillId="0" borderId="87" xfId="0" applyNumberFormat="1" applyFont="1" applyBorder="1"/>
    <xf numFmtId="0" fontId="21" fillId="0" borderId="0" xfId="0" applyFont="1" applyAlignment="1" applyProtection="1">
      <alignment horizontal="right" vertical="center" wrapText="1"/>
    </xf>
    <xf numFmtId="166" fontId="21" fillId="0" borderId="0" xfId="0" applyNumberFormat="1" applyFont="1" applyAlignment="1" applyProtection="1">
      <alignment vertical="center" wrapText="1"/>
    </xf>
    <xf numFmtId="0" fontId="46" fillId="0" borderId="0" xfId="0" applyFont="1" applyAlignment="1" applyProtection="1">
      <alignment vertical="center"/>
      <protection hidden="1"/>
    </xf>
    <xf numFmtId="0" fontId="46" fillId="0" borderId="1" xfId="0" applyFont="1" applyBorder="1" applyAlignment="1" applyProtection="1">
      <alignment vertical="center"/>
      <protection hidden="1"/>
    </xf>
    <xf numFmtId="0" fontId="49" fillId="0" borderId="0" xfId="0" applyFont="1" applyAlignment="1" applyProtection="1">
      <alignment horizontal="left" vertical="center"/>
      <protection hidden="1"/>
    </xf>
    <xf numFmtId="0" fontId="47" fillId="0" borderId="0" xfId="0" applyFont="1" applyProtection="1">
      <protection hidden="1"/>
    </xf>
    <xf numFmtId="0" fontId="48" fillId="0" borderId="0" xfId="0" applyFont="1" applyAlignment="1" applyProtection="1">
      <alignment horizontal="right" vertical="center"/>
      <protection hidden="1"/>
    </xf>
    <xf numFmtId="0" fontId="46" fillId="15" borderId="0" xfId="0" applyFont="1" applyFill="1" applyAlignment="1" applyProtection="1">
      <alignment vertical="center"/>
      <protection hidden="1"/>
    </xf>
    <xf numFmtId="0" fontId="59" fillId="0" borderId="0" xfId="0" applyFont="1" applyAlignment="1" applyProtection="1">
      <alignment horizontal="right" vertical="center"/>
      <protection hidden="1"/>
    </xf>
    <xf numFmtId="0" fontId="46" fillId="0" borderId="0" xfId="0" applyFont="1" applyAlignment="1" applyProtection="1">
      <alignment horizontal="right" vertical="center"/>
      <protection hidden="1"/>
    </xf>
    <xf numFmtId="0" fontId="46" fillId="0" borderId="0" xfId="0" applyFont="1" applyProtection="1">
      <protection hidden="1"/>
    </xf>
    <xf numFmtId="0" fontId="48" fillId="0" borderId="0" xfId="0" applyFont="1" applyAlignment="1" applyProtection="1">
      <alignment vertical="center"/>
      <protection hidden="1"/>
    </xf>
    <xf numFmtId="0" fontId="60" fillId="0" borderId="0" xfId="0" applyFont="1" applyAlignment="1" applyProtection="1">
      <alignment vertical="center"/>
      <protection hidden="1"/>
    </xf>
    <xf numFmtId="167" fontId="46" fillId="3" borderId="0" xfId="0" applyNumberFormat="1" applyFont="1" applyFill="1" applyAlignment="1" applyProtection="1">
      <alignment horizontal="left" vertical="center" indent="1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167" fontId="46" fillId="3" borderId="0" xfId="0" applyNumberFormat="1" applyFont="1" applyFill="1" applyAlignment="1" applyProtection="1">
      <alignment vertical="center"/>
      <protection hidden="1"/>
    </xf>
    <xf numFmtId="1" fontId="46" fillId="3" borderId="0" xfId="0" applyNumberFormat="1" applyFont="1" applyFill="1" applyAlignment="1" applyProtection="1">
      <alignment horizontal="left" vertical="center" indent="1"/>
      <protection hidden="1"/>
    </xf>
    <xf numFmtId="0" fontId="47" fillId="0" borderId="0" xfId="0" applyFont="1" applyAlignment="1" applyProtection="1">
      <alignment horizontal="right" vertical="center" indent="1"/>
      <protection hidden="1"/>
    </xf>
    <xf numFmtId="0" fontId="46" fillId="6" borderId="0" xfId="0" applyFont="1" applyFill="1" applyAlignment="1" applyProtection="1">
      <alignment vertical="center"/>
      <protection hidden="1"/>
    </xf>
    <xf numFmtId="0" fontId="46" fillId="6" borderId="9" xfId="0" applyFont="1" applyFill="1" applyBorder="1" applyAlignment="1" applyProtection="1">
      <alignment vertical="center"/>
      <protection hidden="1"/>
    </xf>
    <xf numFmtId="0" fontId="46" fillId="0" borderId="0" xfId="0" applyFont="1" applyAlignment="1" applyProtection="1">
      <alignment horizontal="left" vertical="center" indent="1"/>
      <protection hidden="1"/>
    </xf>
    <xf numFmtId="0" fontId="46" fillId="0" borderId="0" xfId="0" applyFont="1" applyAlignment="1" applyProtection="1">
      <alignment horizontal="right" vertical="center" indent="1"/>
      <protection hidden="1"/>
    </xf>
    <xf numFmtId="9" fontId="21" fillId="8" borderId="0" xfId="7" applyFont="1" applyFill="1" applyBorder="1" applyAlignment="1" applyProtection="1">
      <alignment vertical="center" wrapText="1"/>
    </xf>
    <xf numFmtId="44" fontId="56" fillId="8" borderId="18" xfId="0" applyNumberFormat="1" applyFont="1" applyFill="1" applyBorder="1" applyAlignment="1" applyProtection="1">
      <alignment vertical="center" wrapText="1"/>
    </xf>
    <xf numFmtId="0" fontId="79" fillId="6" borderId="43" xfId="12" applyFill="1" applyBorder="1" applyAlignment="1" applyProtection="1">
      <alignment vertical="center"/>
    </xf>
    <xf numFmtId="0" fontId="79" fillId="6" borderId="44" xfId="12" applyFill="1" applyBorder="1" applyAlignment="1" applyProtection="1">
      <alignment vertical="center"/>
    </xf>
    <xf numFmtId="0" fontId="79" fillId="6" borderId="45" xfId="12" applyFill="1" applyBorder="1" applyAlignment="1" applyProtection="1">
      <alignment vertical="center"/>
    </xf>
    <xf numFmtId="0" fontId="65" fillId="6" borderId="0" xfId="0" applyFont="1" applyFill="1" applyBorder="1" applyAlignment="1" applyProtection="1">
      <alignment horizontal="center" vertical="center"/>
      <protection hidden="1"/>
    </xf>
    <xf numFmtId="44" fontId="68" fillId="6" borderId="0" xfId="0" applyNumberFormat="1" applyFont="1" applyFill="1" applyBorder="1" applyAlignment="1" applyProtection="1">
      <alignment horizontal="right"/>
      <protection hidden="1"/>
    </xf>
    <xf numFmtId="169" fontId="85" fillId="0" borderId="0" xfId="0" applyNumberFormat="1" applyFont="1" applyBorder="1" applyAlignment="1">
      <alignment horizontal="right"/>
    </xf>
    <xf numFmtId="0" fontId="0" fillId="6" borderId="5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13" fillId="6" borderId="5" xfId="0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3" fillId="6" borderId="7" xfId="0" applyFont="1" applyFill="1" applyBorder="1" applyAlignment="1">
      <alignment vertical="center"/>
    </xf>
    <xf numFmtId="0" fontId="26" fillId="6" borderId="5" xfId="0" applyFont="1" applyFill="1" applyBorder="1" applyAlignment="1">
      <alignment horizontal="left" vertical="center" indent="3"/>
    </xf>
    <xf numFmtId="0" fontId="26" fillId="6" borderId="0" xfId="0" applyFont="1" applyFill="1" applyAlignment="1">
      <alignment horizontal="left" vertical="center" indent="3"/>
    </xf>
    <xf numFmtId="0" fontId="0" fillId="0" borderId="5" xfId="0" applyBorder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0" fillId="6" borderId="5" xfId="0" applyFill="1" applyBorder="1" applyAlignment="1">
      <alignment horizontal="left" vertical="center" wrapText="1" indent="3"/>
    </xf>
    <xf numFmtId="0" fontId="0" fillId="6" borderId="0" xfId="0" applyFill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26" fillId="6" borderId="5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7" xfId="0" applyFont="1" applyFill="1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14" fillId="4" borderId="4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15" borderId="5" xfId="0" applyFill="1" applyBorder="1" applyAlignment="1">
      <alignment vertical="center" wrapText="1"/>
    </xf>
    <xf numFmtId="0" fontId="11" fillId="15" borderId="0" xfId="0" applyFont="1" applyFill="1" applyAlignment="1">
      <alignment vertical="center"/>
    </xf>
    <xf numFmtId="0" fontId="11" fillId="15" borderId="7" xfId="0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0" fillId="6" borderId="0" xfId="0" applyFill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15" borderId="5" xfId="0" applyFill="1" applyBorder="1" applyAlignment="1">
      <alignment horizontal="left" vertical="center" wrapText="1"/>
    </xf>
    <xf numFmtId="0" fontId="0" fillId="15" borderId="0" xfId="0" applyFill="1" applyBorder="1" applyAlignment="1">
      <alignment horizontal="left" vertical="center" wrapText="1"/>
    </xf>
    <xf numFmtId="0" fontId="0" fillId="15" borderId="7" xfId="0" applyFill="1" applyBorder="1" applyAlignment="1">
      <alignment horizontal="left" vertical="center" wrapText="1"/>
    </xf>
    <xf numFmtId="0" fontId="11" fillId="0" borderId="3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0" fontId="0" fillId="0" borderId="65" xfId="0" applyBorder="1" applyAlignment="1" applyProtection="1">
      <alignment horizontal="right" vertical="center"/>
    </xf>
    <xf numFmtId="0" fontId="39" fillId="0" borderId="4" xfId="0" applyFont="1" applyBorder="1" applyAlignment="1" applyProtection="1">
      <alignment horizontal="left" vertical="center" wrapText="1"/>
    </xf>
    <xf numFmtId="0" fontId="38" fillId="0" borderId="61" xfId="0" applyFont="1" applyBorder="1" applyAlignment="1" applyProtection="1">
      <alignment horizontal="left" vertical="center" wrapText="1"/>
    </xf>
    <xf numFmtId="0" fontId="38" fillId="0" borderId="4" xfId="0" applyFont="1" applyBorder="1" applyAlignment="1" applyProtection="1">
      <alignment horizontal="left" vertical="center" wrapText="1"/>
    </xf>
    <xf numFmtId="0" fontId="39" fillId="0" borderId="0" xfId="0" applyFont="1" applyAlignment="1" applyProtection="1">
      <alignment horizontal="left" vertical="center" wrapText="1"/>
    </xf>
    <xf numFmtId="0" fontId="81" fillId="0" borderId="3" xfId="0" applyFont="1" applyBorder="1" applyAlignment="1" applyProtection="1">
      <alignment horizontal="right" vertical="center"/>
    </xf>
    <xf numFmtId="0" fontId="81" fillId="0" borderId="9" xfId="0" applyFont="1" applyBorder="1" applyAlignment="1" applyProtection="1">
      <alignment horizontal="right" vertical="center"/>
    </xf>
    <xf numFmtId="0" fontId="15" fillId="6" borderId="2" xfId="0" applyFont="1" applyFill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left" vertical="center" wrapText="1"/>
    </xf>
    <xf numFmtId="0" fontId="35" fillId="4" borderId="41" xfId="0" applyFont="1" applyFill="1" applyBorder="1" applyAlignment="1" applyProtection="1">
      <alignment horizontal="left" vertical="center"/>
    </xf>
    <xf numFmtId="0" fontId="35" fillId="4" borderId="1" xfId="0" applyFont="1" applyFill="1" applyBorder="1" applyAlignment="1" applyProtection="1">
      <alignment horizontal="left" vertical="center"/>
    </xf>
    <xf numFmtId="0" fontId="35" fillId="4" borderId="41" xfId="0" applyFont="1" applyFill="1" applyBorder="1" applyAlignment="1" applyProtection="1">
      <alignment horizontal="center" vertical="center"/>
      <protection hidden="1"/>
    </xf>
    <xf numFmtId="0" fontId="35" fillId="4" borderId="1" xfId="0" applyFont="1" applyFill="1" applyBorder="1" applyAlignment="1" applyProtection="1">
      <alignment horizontal="center" vertical="center"/>
      <protection hidden="1"/>
    </xf>
    <xf numFmtId="0" fontId="21" fillId="6" borderId="22" xfId="0" applyFont="1" applyFill="1" applyBorder="1" applyAlignment="1" applyProtection="1">
      <alignment horizontal="center" vertical="center" wrapText="1"/>
      <protection hidden="1"/>
    </xf>
    <xf numFmtId="0" fontId="21" fillId="6" borderId="24" xfId="0" applyFont="1" applyFill="1" applyBorder="1" applyAlignment="1" applyProtection="1">
      <alignment horizontal="center" vertical="center" wrapText="1"/>
      <protection hidden="1"/>
    </xf>
    <xf numFmtId="0" fontId="21" fillId="6" borderId="23" xfId="0" applyFont="1" applyFill="1" applyBorder="1" applyAlignment="1" applyProtection="1">
      <alignment horizontal="center" vertical="center" wrapText="1"/>
      <protection hidden="1"/>
    </xf>
    <xf numFmtId="0" fontId="18" fillId="0" borderId="25" xfId="0" applyFont="1" applyBorder="1" applyAlignment="1" applyProtection="1">
      <alignment horizontal="center" vertical="center" wrapText="1"/>
      <protection hidden="1"/>
    </xf>
    <xf numFmtId="0" fontId="18" fillId="0" borderId="26" xfId="0" applyFont="1" applyBorder="1" applyAlignment="1" applyProtection="1">
      <alignment horizontal="center" vertical="center" wrapText="1"/>
      <protection hidden="1"/>
    </xf>
    <xf numFmtId="0" fontId="18" fillId="0" borderId="38" xfId="0" applyFont="1" applyBorder="1" applyAlignment="1" applyProtection="1">
      <alignment horizontal="center" vertical="center" wrapText="1"/>
      <protection hidden="1"/>
    </xf>
    <xf numFmtId="0" fontId="46" fillId="3" borderId="3" xfId="0" applyFont="1" applyFill="1" applyBorder="1" applyAlignment="1" applyProtection="1">
      <alignment horizontal="left" vertical="center"/>
      <protection hidden="1"/>
    </xf>
    <xf numFmtId="0" fontId="46" fillId="3" borderId="6" xfId="0" applyFont="1" applyFill="1" applyBorder="1" applyAlignment="1" applyProtection="1">
      <alignment horizontal="left" vertical="center"/>
      <protection hidden="1"/>
    </xf>
    <xf numFmtId="0" fontId="46" fillId="3" borderId="9" xfId="0" applyFont="1" applyFill="1" applyBorder="1" applyAlignment="1" applyProtection="1">
      <alignment horizontal="left" vertical="center"/>
      <protection hidden="1"/>
    </xf>
    <xf numFmtId="0" fontId="58" fillId="0" borderId="0" xfId="0" applyFont="1" applyAlignment="1" applyProtection="1">
      <alignment horizontal="center" vertical="center"/>
      <protection hidden="1"/>
    </xf>
    <xf numFmtId="0" fontId="46" fillId="15" borderId="3" xfId="0" applyFont="1" applyFill="1" applyBorder="1" applyAlignment="1" applyProtection="1">
      <alignment horizontal="left" vertical="center"/>
      <protection locked="0" hidden="1"/>
    </xf>
    <xf numFmtId="0" fontId="46" fillId="15" borderId="6" xfId="0" applyFont="1" applyFill="1" applyBorder="1" applyAlignment="1" applyProtection="1">
      <alignment horizontal="left" vertical="center"/>
      <protection locked="0" hidden="1"/>
    </xf>
    <xf numFmtId="0" fontId="46" fillId="15" borderId="9" xfId="0" applyFont="1" applyFill="1" applyBorder="1" applyAlignment="1" applyProtection="1">
      <alignment horizontal="left" vertical="center"/>
      <protection locked="0" hidden="1"/>
    </xf>
    <xf numFmtId="0" fontId="48" fillId="3" borderId="3" xfId="0" applyFont="1" applyFill="1" applyBorder="1" applyAlignment="1" applyProtection="1">
      <alignment horizontal="left" vertical="center"/>
      <protection hidden="1"/>
    </xf>
    <xf numFmtId="0" fontId="48" fillId="3" borderId="6" xfId="0" applyFont="1" applyFill="1" applyBorder="1" applyAlignment="1" applyProtection="1">
      <alignment horizontal="left" vertical="center"/>
      <protection hidden="1"/>
    </xf>
    <xf numFmtId="0" fontId="48" fillId="3" borderId="9" xfId="0" applyFont="1" applyFill="1" applyBorder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right" vertical="center" wrapText="1"/>
      <protection hidden="1"/>
    </xf>
    <xf numFmtId="166" fontId="46" fillId="3" borderId="3" xfId="0" applyNumberFormat="1" applyFont="1" applyFill="1" applyBorder="1" applyAlignment="1" applyProtection="1">
      <alignment horizontal="center" vertical="center"/>
      <protection hidden="1"/>
    </xf>
    <xf numFmtId="166" fontId="46" fillId="3" borderId="9" xfId="0" applyNumberFormat="1" applyFont="1" applyFill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2" fontId="48" fillId="3" borderId="3" xfId="0" applyNumberFormat="1" applyFont="1" applyFill="1" applyBorder="1" applyAlignment="1" applyProtection="1">
      <alignment horizontal="left" vertical="center"/>
      <protection hidden="1"/>
    </xf>
    <xf numFmtId="2" fontId="48" fillId="3" borderId="6" xfId="0" applyNumberFormat="1" applyFont="1" applyFill="1" applyBorder="1" applyAlignment="1" applyProtection="1">
      <alignment horizontal="left" vertical="center"/>
      <protection hidden="1"/>
    </xf>
    <xf numFmtId="2" fontId="48" fillId="3" borderId="9" xfId="0" applyNumberFormat="1" applyFont="1" applyFill="1" applyBorder="1" applyAlignment="1" applyProtection="1">
      <alignment horizontal="left" vertical="center"/>
      <protection hidden="1"/>
    </xf>
    <xf numFmtId="0" fontId="65" fillId="6" borderId="17" xfId="0" applyFont="1" applyFill="1" applyBorder="1" applyAlignment="1" applyProtection="1">
      <alignment horizontal="center" vertical="center"/>
      <protection hidden="1"/>
    </xf>
    <xf numFmtId="0" fontId="65" fillId="6" borderId="0" xfId="0" applyFont="1" applyFill="1" applyAlignment="1" applyProtection="1">
      <alignment horizontal="center" vertical="center"/>
      <protection hidden="1"/>
    </xf>
    <xf numFmtId="0" fontId="65" fillId="6" borderId="0" xfId="0" applyFont="1" applyFill="1" applyBorder="1" applyAlignment="1" applyProtection="1">
      <alignment horizontal="center" vertical="center"/>
      <protection hidden="1"/>
    </xf>
    <xf numFmtId="14" fontId="41" fillId="8" borderId="2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 vertical="center" wrapText="1"/>
    </xf>
    <xf numFmtId="0" fontId="31" fillId="8" borderId="2" xfId="0" applyFont="1" applyFill="1" applyBorder="1" applyAlignment="1" applyProtection="1">
      <alignment horizontal="center" vertical="center"/>
      <protection locked="0"/>
    </xf>
    <xf numFmtId="14" fontId="41" fillId="3" borderId="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 wrapText="1" indent="1"/>
    </xf>
    <xf numFmtId="0" fontId="41" fillId="0" borderId="0" xfId="0" applyFont="1" applyAlignment="1">
      <alignment horizontal="left" vertical="center" wrapText="1" indent="4"/>
    </xf>
    <xf numFmtId="0" fontId="41" fillId="0" borderId="0" xfId="0" applyFont="1" applyAlignment="1">
      <alignment horizontal="left" vertical="center" wrapText="1" indent="5"/>
    </xf>
    <xf numFmtId="0" fontId="30" fillId="0" borderId="3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41" fillId="8" borderId="2" xfId="0" applyFont="1" applyFill="1" applyBorder="1" applyAlignment="1" applyProtection="1">
      <alignment horizontal="center" vertical="center" wrapText="1"/>
      <protection locked="0"/>
    </xf>
    <xf numFmtId="0" fontId="41" fillId="3" borderId="3" xfId="0" applyFont="1" applyFill="1" applyBorder="1" applyAlignment="1">
      <alignment vertical="top" wrapText="1"/>
    </xf>
    <xf numFmtId="0" fontId="41" fillId="3" borderId="9" xfId="0" applyFont="1" applyFill="1" applyBorder="1" applyAlignment="1">
      <alignment vertical="top" wrapText="1"/>
    </xf>
    <xf numFmtId="0" fontId="41" fillId="6" borderId="0" xfId="0" applyFont="1" applyFill="1" applyAlignment="1">
      <alignment horizontal="left" vertical="center" wrapText="1" indent="3"/>
    </xf>
    <xf numFmtId="0" fontId="41" fillId="3" borderId="2" xfId="0" applyFont="1" applyFill="1" applyBorder="1" applyAlignment="1">
      <alignment horizontal="left" vertical="top" wrapText="1"/>
    </xf>
    <xf numFmtId="0" fontId="41" fillId="0" borderId="0" xfId="0" applyFont="1" applyAlignment="1">
      <alignment vertical="center" wrapText="1"/>
    </xf>
    <xf numFmtId="0" fontId="41" fillId="3" borderId="20" xfId="0" applyFont="1" applyFill="1" applyBorder="1" applyAlignment="1">
      <alignment vertical="top" wrapText="1"/>
    </xf>
    <xf numFmtId="0" fontId="41" fillId="3" borderId="10" xfId="0" applyFont="1" applyFill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right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1" fillId="8" borderId="3" xfId="0" applyFont="1" applyFill="1" applyBorder="1" applyAlignment="1" applyProtection="1">
      <alignment vertical="center"/>
      <protection locked="0"/>
    </xf>
    <xf numFmtId="0" fontId="11" fillId="8" borderId="9" xfId="0" applyFont="1" applyFill="1" applyBorder="1" applyAlignment="1" applyProtection="1">
      <alignment vertical="center"/>
      <protection locked="0"/>
    </xf>
    <xf numFmtId="0" fontId="9" fillId="0" borderId="35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14" fontId="0" fillId="3" borderId="3" xfId="0" applyNumberFormat="1" applyFill="1" applyBorder="1" applyAlignment="1">
      <alignment horizontal="left" vertical="center"/>
    </xf>
    <xf numFmtId="14" fontId="0" fillId="3" borderId="9" xfId="0" applyNumberFormat="1" applyFill="1" applyBorder="1" applyAlignment="1">
      <alignment horizontal="left" vertical="center"/>
    </xf>
    <xf numFmtId="0" fontId="17" fillId="16" borderId="83" xfId="0" applyFont="1" applyFill="1" applyBorder="1" applyAlignment="1" applyProtection="1">
      <alignment horizontal="center" vertical="center" textRotation="90"/>
      <protection hidden="1"/>
    </xf>
    <xf numFmtId="0" fontId="17" fillId="16" borderId="84" xfId="0" applyFont="1" applyFill="1" applyBorder="1" applyAlignment="1" applyProtection="1">
      <alignment horizontal="center" vertical="center" textRotation="90"/>
      <protection hidden="1"/>
    </xf>
    <xf numFmtId="0" fontId="17" fillId="16" borderId="85" xfId="0" applyFont="1" applyFill="1" applyBorder="1" applyAlignment="1" applyProtection="1">
      <alignment horizontal="center" vertical="center" textRotation="90"/>
      <protection hidden="1"/>
    </xf>
    <xf numFmtId="165" fontId="67" fillId="16" borderId="80" xfId="0" applyNumberFormat="1" applyFont="1" applyFill="1" applyBorder="1" applyAlignment="1" applyProtection="1">
      <alignment horizontal="left" vertical="center" wrapText="1"/>
      <protection hidden="1"/>
    </xf>
    <xf numFmtId="165" fontId="67" fillId="16" borderId="81" xfId="0" applyNumberFormat="1" applyFont="1" applyFill="1" applyBorder="1" applyAlignment="1" applyProtection="1">
      <alignment horizontal="left" vertical="center" wrapText="1"/>
      <protection hidden="1"/>
    </xf>
    <xf numFmtId="165" fontId="67" fillId="16" borderId="82" xfId="0" applyNumberFormat="1" applyFont="1" applyFill="1" applyBorder="1" applyAlignment="1" applyProtection="1">
      <alignment horizontal="left" vertical="center" wrapText="1"/>
      <protection hidden="1"/>
    </xf>
    <xf numFmtId="165" fontId="67" fillId="16" borderId="77" xfId="0" applyNumberFormat="1" applyFont="1" applyFill="1" applyBorder="1" applyAlignment="1" applyProtection="1">
      <alignment horizontal="left" vertical="center" wrapText="1"/>
      <protection hidden="1"/>
    </xf>
    <xf numFmtId="165" fontId="67" fillId="16" borderId="78" xfId="0" applyNumberFormat="1" applyFont="1" applyFill="1" applyBorder="1" applyAlignment="1" applyProtection="1">
      <alignment horizontal="left" vertical="center" wrapText="1"/>
      <protection hidden="1"/>
    </xf>
    <xf numFmtId="165" fontId="67" fillId="16" borderId="79" xfId="0" applyNumberFormat="1" applyFont="1" applyFill="1" applyBorder="1" applyAlignment="1" applyProtection="1">
      <alignment horizontal="left" vertical="center" wrapText="1"/>
      <protection hidden="1"/>
    </xf>
    <xf numFmtId="0" fontId="64" fillId="16" borderId="74" xfId="0" applyFont="1" applyFill="1" applyBorder="1" applyAlignment="1" applyProtection="1">
      <alignment horizontal="left" vertical="center" wrapText="1"/>
      <protection hidden="1"/>
    </xf>
    <xf numFmtId="0" fontId="64" fillId="16" borderId="75" xfId="0" applyFont="1" applyFill="1" applyBorder="1" applyAlignment="1" applyProtection="1">
      <alignment horizontal="left" vertical="center" wrapText="1"/>
      <protection hidden="1"/>
    </xf>
    <xf numFmtId="0" fontId="64" fillId="16" borderId="76" xfId="0" applyFont="1" applyFill="1" applyBorder="1" applyAlignment="1" applyProtection="1">
      <alignment horizontal="left" vertical="center" wrapText="1"/>
      <protection hidden="1"/>
    </xf>
    <xf numFmtId="0" fontId="17" fillId="17" borderId="83" xfId="0" applyFont="1" applyFill="1" applyBorder="1" applyAlignment="1" applyProtection="1">
      <alignment horizontal="center" vertical="center" textRotation="90"/>
      <protection hidden="1"/>
    </xf>
    <xf numFmtId="0" fontId="17" fillId="17" borderId="84" xfId="0" applyFont="1" applyFill="1" applyBorder="1" applyAlignment="1" applyProtection="1">
      <alignment horizontal="center" vertical="center" textRotation="90"/>
      <protection hidden="1"/>
    </xf>
    <xf numFmtId="0" fontId="17" fillId="17" borderId="85" xfId="0" applyFont="1" applyFill="1" applyBorder="1" applyAlignment="1" applyProtection="1">
      <alignment horizontal="center" vertical="center" textRotation="90"/>
      <protection hidden="1"/>
    </xf>
    <xf numFmtId="0" fontId="64" fillId="17" borderId="80" xfId="0" applyFont="1" applyFill="1" applyBorder="1" applyAlignment="1" applyProtection="1">
      <alignment horizontal="left" vertical="center" wrapText="1"/>
      <protection hidden="1"/>
    </xf>
    <xf numFmtId="0" fontId="64" fillId="17" borderId="81" xfId="0" applyFont="1" applyFill="1" applyBorder="1" applyAlignment="1" applyProtection="1">
      <alignment horizontal="left" vertical="center" wrapText="1"/>
      <protection hidden="1"/>
    </xf>
    <xf numFmtId="0" fontId="64" fillId="17" borderId="82" xfId="0" applyFont="1" applyFill="1" applyBorder="1" applyAlignment="1" applyProtection="1">
      <alignment horizontal="left" vertical="center" wrapText="1"/>
      <protection hidden="1"/>
    </xf>
    <xf numFmtId="0" fontId="64" fillId="17" borderId="77" xfId="0" applyFont="1" applyFill="1" applyBorder="1" applyAlignment="1" applyProtection="1">
      <alignment horizontal="left" vertical="center" wrapText="1"/>
      <protection hidden="1"/>
    </xf>
    <xf numFmtId="0" fontId="64" fillId="17" borderId="78" xfId="0" applyFont="1" applyFill="1" applyBorder="1" applyAlignment="1" applyProtection="1">
      <alignment horizontal="left" vertical="center" wrapText="1"/>
      <protection hidden="1"/>
    </xf>
    <xf numFmtId="0" fontId="64" fillId="17" borderId="79" xfId="0" applyFont="1" applyFill="1" applyBorder="1" applyAlignment="1" applyProtection="1">
      <alignment horizontal="left" vertical="center" wrapText="1"/>
      <protection hidden="1"/>
    </xf>
    <xf numFmtId="0" fontId="64" fillId="17" borderId="74" xfId="0" applyFont="1" applyFill="1" applyBorder="1" applyAlignment="1" applyProtection="1">
      <alignment horizontal="left" vertical="center" wrapText="1"/>
      <protection hidden="1"/>
    </xf>
    <xf numFmtId="0" fontId="64" fillId="17" borderId="75" xfId="0" applyFont="1" applyFill="1" applyBorder="1" applyAlignment="1" applyProtection="1">
      <alignment horizontal="left" vertical="center" wrapText="1"/>
      <protection hidden="1"/>
    </xf>
    <xf numFmtId="0" fontId="64" fillId="17" borderId="76" xfId="0" applyFont="1" applyFill="1" applyBorder="1" applyAlignment="1" applyProtection="1">
      <alignment horizontal="left" vertical="center" wrapText="1"/>
      <protection hidden="1"/>
    </xf>
  </cellXfs>
  <cellStyles count="14">
    <cellStyle name="40 % - Accent1" xfId="13" builtinId="31"/>
    <cellStyle name="Lien hypertexte" xfId="12" builtinId="8"/>
    <cellStyle name="Normal" xfId="0" builtinId="0"/>
    <cellStyle name="Normal 2" xfId="1" xr:uid="{00000000-0005-0000-0000-000003000000}"/>
    <cellStyle name="Normal 2 2" xfId="11" xr:uid="{CE4A5C56-2570-4C53-8099-032EABCADD3A}"/>
    <cellStyle name="Normal 3" xfId="3" xr:uid="{00000000-0005-0000-0000-000004000000}"/>
    <cellStyle name="Normal 4" xfId="2" xr:uid="{00000000-0005-0000-0000-000005000000}"/>
    <cellStyle name="Normal 4 2" xfId="4" xr:uid="{00000000-0005-0000-0000-000006000000}"/>
    <cellStyle name="Normal 4 2 2" xfId="6" xr:uid="{00000000-0005-0000-0000-000007000000}"/>
    <cellStyle name="Normal 4 3" xfId="5" xr:uid="{00000000-0005-0000-0000-000008000000}"/>
    <cellStyle name="Normal 5" xfId="10" xr:uid="{E870E934-34BE-4679-81B7-0EF9D53D1544}"/>
    <cellStyle name="Normal 6" xfId="8" xr:uid="{3D29BEFE-C099-41F7-B374-CFF6F40A3DFE}"/>
    <cellStyle name="Pourcentage" xfId="7" builtinId="5"/>
    <cellStyle name="Pourcentage 2" xfId="9" xr:uid="{BAAE57E2-DF71-4D60-A840-D2C4D29B6C73}"/>
  </cellStyles>
  <dxfs count="44"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</dxf>
    <dxf>
      <border outline="0">
        <left style="thin">
          <color theme="0"/>
        </left>
        <top style="thin">
          <color indexed="64"/>
        </top>
        <bottom style="thin">
          <color theme="0"/>
        </bottom>
      </border>
    </dxf>
    <dxf>
      <border outline="0">
        <left style="thin">
          <color theme="0"/>
        </left>
        <top style="thin">
          <color indexed="64"/>
        </top>
        <bottom style="thin">
          <color indexed="64"/>
        </bottom>
      </border>
    </dxf>
    <dxf>
      <border outline="0">
        <left style="thin">
          <color theme="0"/>
        </lef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none"/>
      </font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color auto="1"/>
      </font>
      <fill>
        <patternFill>
          <bgColor rgb="FFFF505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auto="1"/>
      </font>
    </dxf>
    <dxf>
      <font>
        <strike val="0"/>
        <color rgb="FFFF0000"/>
      </font>
    </dxf>
    <dxf>
      <font>
        <strike val="0"/>
        <color theme="0" tint="-0.34998626667073579"/>
      </font>
    </dxf>
    <dxf>
      <font>
        <strike/>
        <color rgb="FFFF0000"/>
      </font>
    </dxf>
    <dxf>
      <font>
        <strike val="0"/>
        <color theme="0" tint="-0.34998626667073579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 val="0"/>
        <i val="0"/>
        <strike val="0"/>
        <color theme="5" tint="-0.24994659260841701"/>
      </font>
    </dxf>
    <dxf>
      <font>
        <b val="0"/>
        <i val="0"/>
        <color rgb="FFFF0000"/>
      </font>
    </dxf>
    <dxf>
      <font>
        <b val="0"/>
        <i val="0"/>
        <color theme="0" tint="-0.34998626667073579"/>
      </font>
    </dxf>
    <dxf>
      <font>
        <b val="0"/>
        <i val="0"/>
        <strike val="0"/>
        <color theme="5" tint="-0.24994659260841701"/>
      </font>
    </dxf>
    <dxf>
      <font>
        <b val="0"/>
        <i val="0"/>
        <color theme="5" tint="-0.24994659260841701"/>
      </font>
    </dxf>
    <dxf>
      <font>
        <b val="0"/>
        <i val="0"/>
        <strike val="0"/>
        <color theme="5" tint="-0.24994659260841701"/>
      </font>
    </dxf>
    <dxf>
      <font>
        <color theme="1" tint="0.14996795556505021"/>
      </font>
      <fill>
        <patternFill>
          <bgColor theme="5" tint="0.39994506668294322"/>
        </patternFill>
      </fill>
    </dxf>
  </dxfs>
  <tableStyles count="1" defaultTableStyle="TableStyleMedium9" defaultPivotStyle="PivotStyleLight16">
    <tableStyle name="Style de tableau 1" pivot="0" count="0" xr9:uid="{3FD15770-FEC2-4B44-85BD-8C15F09DFC5A}"/>
  </tableStyles>
  <colors>
    <mruColors>
      <color rgb="FF33CCFF"/>
      <color rgb="FFEBEBFF"/>
      <color rgb="FFFFFFCC"/>
      <color rgb="FFFFFF99"/>
      <color rgb="FF93CDDD"/>
      <color rgb="FFFF5050"/>
      <color rgb="FFCCFF99"/>
      <color rgb="FFFF0000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92242</xdr:rowOff>
    </xdr:from>
    <xdr:to>
      <xdr:col>0</xdr:col>
      <xdr:colOff>296779</xdr:colOff>
      <xdr:row>14</xdr:row>
      <xdr:rowOff>92242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0" y="2350168"/>
          <a:ext cx="296779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15</xdr:row>
      <xdr:rowOff>85725</xdr:rowOff>
    </xdr:from>
    <xdr:to>
      <xdr:col>0</xdr:col>
      <xdr:colOff>296779</xdr:colOff>
      <xdr:row>15</xdr:row>
      <xdr:rowOff>88231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9525" y="2528136"/>
          <a:ext cx="287254" cy="2506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94247</xdr:rowOff>
    </xdr:from>
    <xdr:to>
      <xdr:col>0</xdr:col>
      <xdr:colOff>300789</xdr:colOff>
      <xdr:row>16</xdr:row>
      <xdr:rowOff>96252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0" y="2721142"/>
          <a:ext cx="300789" cy="200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666750</xdr:colOff>
          <xdr:row>135</xdr:row>
          <xdr:rowOff>104775</xdr:rowOff>
        </xdr:from>
        <xdr:to>
          <xdr:col>2</xdr:col>
          <xdr:colOff>1162050</xdr:colOff>
          <xdr:row>137</xdr:row>
          <xdr:rowOff>142875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AFFICHER LES FEUILLES 6 à 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135</xdr:row>
          <xdr:rowOff>95250</xdr:rowOff>
        </xdr:from>
        <xdr:to>
          <xdr:col>1</xdr:col>
          <xdr:colOff>409575</xdr:colOff>
          <xdr:row>137</xdr:row>
          <xdr:rowOff>180975</xdr:rowOff>
        </xdr:to>
        <xdr:sp macro="" textlink="">
          <xdr:nvSpPr>
            <xdr:cNvPr id="16388" name="MASQUER LES FEUILLES 6 à 9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MASQUER LES FEUILLES 6 à 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135</xdr:row>
          <xdr:rowOff>133350</xdr:rowOff>
        </xdr:from>
        <xdr:to>
          <xdr:col>4</xdr:col>
          <xdr:colOff>438150</xdr:colOff>
          <xdr:row>137</xdr:row>
          <xdr:rowOff>152400</xdr:rowOff>
        </xdr:to>
        <xdr:sp macro="" textlink="">
          <xdr:nvSpPr>
            <xdr:cNvPr id="16390" name="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VEROUILLER IDENTIF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274109</xdr:colOff>
      <xdr:row>1</xdr:row>
      <xdr:rowOff>42334</xdr:rowOff>
    </xdr:from>
    <xdr:to>
      <xdr:col>0</xdr:col>
      <xdr:colOff>1836209</xdr:colOff>
      <xdr:row>5</xdr:row>
      <xdr:rowOff>42334</xdr:rowOff>
    </xdr:to>
    <xdr:pic>
      <xdr:nvPicPr>
        <xdr:cNvPr id="3" name="Imag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109" y="243417"/>
          <a:ext cx="15621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19050</xdr:rowOff>
        </xdr:from>
        <xdr:to>
          <xdr:col>7</xdr:col>
          <xdr:colOff>361950</xdr:colOff>
          <xdr:row>7</xdr:row>
          <xdr:rowOff>57150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19050</xdr:rowOff>
        </xdr:from>
        <xdr:to>
          <xdr:col>9</xdr:col>
          <xdr:colOff>304800</xdr:colOff>
          <xdr:row>7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142875</xdr:rowOff>
        </xdr:from>
        <xdr:to>
          <xdr:col>1</xdr:col>
          <xdr:colOff>304800</xdr:colOff>
          <xdr:row>24</xdr:row>
          <xdr:rowOff>361950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1</xdr:col>
          <xdr:colOff>323850</xdr:colOff>
          <xdr:row>25</xdr:row>
          <xdr:rowOff>323850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266700</xdr:rowOff>
        </xdr:from>
        <xdr:to>
          <xdr:col>1</xdr:col>
          <xdr:colOff>323850</xdr:colOff>
          <xdr:row>30</xdr:row>
          <xdr:rowOff>485775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30</xdr:row>
          <xdr:rowOff>133350</xdr:rowOff>
        </xdr:from>
        <xdr:to>
          <xdr:col>5</xdr:col>
          <xdr:colOff>104775</xdr:colOff>
          <xdr:row>30</xdr:row>
          <xdr:rowOff>514350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28575</xdr:rowOff>
        </xdr:from>
        <xdr:to>
          <xdr:col>1</xdr:col>
          <xdr:colOff>323850</xdr:colOff>
          <xdr:row>24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30</xdr:row>
          <xdr:rowOff>190500</xdr:rowOff>
        </xdr:from>
        <xdr:to>
          <xdr:col>5</xdr:col>
          <xdr:colOff>381000</xdr:colOff>
          <xdr:row>30</xdr:row>
          <xdr:rowOff>495300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26</xdr:row>
          <xdr:rowOff>133350</xdr:rowOff>
        </xdr:from>
        <xdr:to>
          <xdr:col>5</xdr:col>
          <xdr:colOff>19050</xdr:colOff>
          <xdr:row>29</xdr:row>
          <xdr:rowOff>114300</xdr:rowOff>
        </xdr:to>
        <xdr:sp macro="" textlink="">
          <xdr:nvSpPr>
            <xdr:cNvPr id="44033" name="Button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8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C5.pdf</a:t>
              </a:r>
            </a:p>
          </xdr:txBody>
        </xdr:sp>
        <xdr:clientData fPrintsWithSheet="0"/>
      </xdr:twoCellAnchor>
    </mc:Choice>
    <mc:Fallback/>
  </mc:AlternateContent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ffichage 1" id="{A463A01C-3610-4C8D-A696-A9F065C0958A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Piccirilli Sara" id="{8268C8F6-68EF-45E2-A6F5-3BBD1C6AFE71}" userId="Piccirilli Sara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47D9DF-D718-42AA-9B99-A3173533BF98}" name="t_projet_21" displayName="t_projet_21" ref="A1:T61" totalsRowShown="0" headerRowDxfId="23">
  <autoFilter ref="A1:T61" xr:uid="{C9557F90-804F-46F0-84AF-E00F6546DA99}"/>
  <sortState xmlns:xlrd2="http://schemas.microsoft.com/office/spreadsheetml/2017/richdata2" ref="A2:T61">
    <sortCondition ref="B1:B61"/>
  </sortState>
  <tableColumns count="20">
    <tableColumn id="20" xr3:uid="{933A0D3A-F91E-4C70-8270-ABF43569E3B2}" name="Commune-Thématique " dataDxfId="22">
      <calculatedColumnFormula>_xlfn.CONCAT(t_projet_21[[#This Row],[Sélectionner Commune/Supra]]," ",t_projet_21[[#This Row],[Thématique]])</calculatedColumnFormula>
    </tableColumn>
    <tableColumn id="1" xr3:uid="{84E06F4E-8C80-4865-8C7C-D96A0C7DF543}" name="Sélectionner Commune/Supra"/>
    <tableColumn id="2" xr3:uid="{34BDCC53-0EEA-4960-AE37-057E2C54A587}" name="Type de candidature" dataDxfId="21"/>
    <tableColumn id="3" xr3:uid="{2321CA69-C4D7-489A-947C-A722EDB87ECB}" name="Montant du subside " dataDxfId="20"/>
    <tableColumn id="4" xr3:uid="{8E7976BC-73EA-4D6B-88DB-9EA49134CC7E}" name="Fonds de roulement" dataDxfId="19">
      <calculatedColumnFormula>t_projet_21[[#This Row],[Montant du subside ]]*0.8</calculatedColumnFormula>
    </tableColumn>
    <tableColumn id="19" xr3:uid="{FF3A5DD8-A40B-4481-845C-B135FD5BEC2C}" name="Thématique" dataDxfId="18"/>
    <tableColumn id="18" xr3:uid="{8D678548-CBCF-4E45-98E1-CA0959FAA0C9}" name="Référence" dataDxfId="17"/>
    <tableColumn id="5" xr3:uid="{86ADC4C3-721E-4B3E-87E8-4F83291CA176}" name="N° de compte_x000a_Volet 1" dataDxfId="16"/>
    <tableColumn id="6" xr3:uid="{CCF37DED-0AFF-4E51-9A12-F6A85A076877}" name="N°BCE" dataDxfId="15"/>
    <tableColumn id="7" xr3:uid="{4149546D-D9F3-4BED-A55D-83E38944CA86}" name="AB V1" dataDxfId="14"/>
    <tableColumn id="8" xr3:uid="{F011A395-8DD4-4DBE-AD5E-D7A1E720027B}" name="N° AM V1" dataDxfId="13"/>
    <tableColumn id="9" xr3:uid="{ADF2BCC7-7142-4C68-9587-046D91DBB87A}" name="Visa V1" dataDxfId="12"/>
    <tableColumn id="16" xr3:uid="{6599CCCA-2FEB-4079-A8B4-AABCC90A6169}" name="EJ" dataDxfId="11"/>
    <tableColumn id="10" xr3:uid="{C8215695-43D3-4A6B-AC52-C949A8CB93A6}" name="adresse" dataDxfId="10"/>
    <tableColumn id="17" xr3:uid="{65142E86-974B-41BA-AB1B-9008FCD4C41E}" name="Numéro" dataDxfId="9"/>
    <tableColumn id="11" xr3:uid="{E80B9121-DDCD-4878-810C-4B2A422B70C8}" name="CP" dataDxfId="8"/>
    <tableColumn id="12" xr3:uid="{6BFB7FC8-FBAB-49FF-BC53-FD49884889CA}" name="Localite" dataDxfId="7"/>
    <tableColumn id="13" xr3:uid="{C5B7509B-DE26-4CD6-9619-072BB0639C1F}" name="AM"/>
    <tableColumn id="14" xr3:uid="{FCBBE708-8763-4C63-A41E-B55EF0428EA0}" name="Date AM V1 et v3" dataDxfId="6"/>
    <tableColumn id="15" xr3:uid="{47732B5B-270E-4104-BBB5-B50802C4B530}" name="Ref AM V1">
      <calculatedColumnFormula>CONCATENATE(R2,K2,S2)</calculatedColumnFormula>
    </tableColumn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227936D-5713-45DB-A89D-0DF595A544B7}" name="t_email_gestionnaires" displayName="t_email_gestionnaires" ref="T1:T4" totalsRowShown="0">
  <autoFilter ref="T1:T4" xr:uid="{0029285B-F217-4650-B3B3-FAA20A0AD209}"/>
  <tableColumns count="1">
    <tableColumn id="1" xr3:uid="{8C295F66-B2F3-42C1-BF3D-879D4B7746F8}" name="Email-Gestionnair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327AB0E-42F9-48ED-8C85-6BAAE37D8934}" name="t_appel" displayName="t_appel" ref="V1:V2" totalsRowShown="0">
  <autoFilter ref="V1:V2" xr:uid="{CBBF0EE9-B899-44BD-ABDB-C9F4044DF32D}"/>
  <tableColumns count="1">
    <tableColumn id="1" xr3:uid="{0D0A26DD-C17D-4B3B-80AD-ADEAA5508FF7}" name="Appel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3F590EE-5EDF-49DE-8406-7A3D67FD67F6}" name="t_thematiques" displayName="t_thematiques" ref="X1:X19" totalsRowShown="0">
  <autoFilter ref="X1:X19" xr:uid="{B3F590EE-5EDF-49DE-8406-7A3D67FD67F6}"/>
  <tableColumns count="1">
    <tableColumn id="1" xr3:uid="{D95C4720-17F4-4D8D-A27A-A967D9AA64FB}" name="Thématique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108C4A-D0F2-4F9F-BCF8-6E9E00604C51}" name="Tableau2" displayName="Tableau2" ref="K1:K4" totalsRowShown="0" headerRowDxfId="1" tableBorderDxfId="0">
  <autoFilter ref="K1:K4" xr:uid="{F5108C4A-D0F2-4F9F-BCF8-6E9E00604C51}"/>
  <tableColumns count="1">
    <tableColumn id="1" xr3:uid="{7BB692A7-84AF-4F5E-AD8D-9681025428F4}" name="N°DC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D00CA8F-CE53-4D97-BA47-AC0C17845F8B}" name="Tableau8" displayName="Tableau8" ref="N1:N7" totalsRowShown="0">
  <autoFilter ref="N1:N7" xr:uid="{2D00CA8F-CE53-4D97-BA47-AC0C17845F8B}"/>
  <tableColumns count="1">
    <tableColumn id="1" xr3:uid="{E36AFF1D-1C5E-4F03-8B1D-32F3FC0D3188}" name="Rubrique_MOB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D838A5-75BC-4EF2-B0D2-EC0814E91D7B}" name="t_montant_subside" displayName="t_montant_subside" ref="A1:A6" totalsRowShown="0" tableBorderDxfId="5" headerRowCellStyle="Normal" dataCellStyle="Normal">
  <autoFilter ref="A1:A6" xr:uid="{84C56E97-019A-4A68-AC8E-6CB382178EC9}"/>
  <tableColumns count="1">
    <tableColumn id="1" xr3:uid="{D8B2E349-5DB5-4CDC-8419-C1D8EF086B67}" name="Montant_subside" dataCellStyle="Normal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97FEEE-9415-4868-91A8-157D182DED2A}" name="t_visa" displayName="t_visa" ref="C1:C12" totalsRowShown="0" tableBorderDxfId="4" headerRowCellStyle="Normal" dataCellStyle="Normal">
  <autoFilter ref="C1:C12" xr:uid="{CAB9A1ED-7FA3-4CD2-9256-52D1EA9C2DAC}"/>
  <tableColumns count="1">
    <tableColumn id="1" xr3:uid="{7E979149-FEB4-41A7-9F99-0ABCFFE3F366}" name="VISA" dataCellStyle="Normal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1357BA4-6251-499D-B808-544529ECD431}" name="t_civilite" displayName="t_civilite" ref="E1:E4" totalsRowShown="0" tableBorderDxfId="3" headerRowCellStyle="Normal" dataCellStyle="Normal">
  <autoFilter ref="E1:E4" xr:uid="{8F8B9705-F004-4716-8D95-D16A3295EDFD}"/>
  <tableColumns count="1">
    <tableColumn id="1" xr3:uid="{9335E361-24E3-435B-B50A-7B57946BBC75}" name="Civilité" dataCellStyle="Normal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3C09346-8607-47D3-A356-FCCAE2BEEB47}" name="t_o_n" displayName="t_o_n" ref="G1:G4" totalsRowShown="0" tableBorderDxfId="2" headerRowCellStyle="Normal" dataCellStyle="Normal">
  <autoFilter ref="G1:G4" xr:uid="{02C0E22F-2B3B-4EC7-83B5-17BA5F2B612C}"/>
  <tableColumns count="1">
    <tableColumn id="1" xr3:uid="{C443FDC0-4624-45FF-A361-238A27200345}" name="O_N" dataCellStyle="Normal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723FC61-2205-4BC1-AF95-9DDE3533BED8}" name="t_gestionnaires" displayName="t_gestionnaires" ref="I1:I5" totalsRowShown="0">
  <autoFilter ref="I1:I5" xr:uid="{847862D8-C24E-4F52-B628-2D83BE580908}"/>
  <tableColumns count="1">
    <tableColumn id="1" xr3:uid="{2F335A86-AB67-4646-A14D-0C6D98EEAC30}" name="Gestionnaire  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32D12FE-766A-45EC-AFA1-D2166FD06C2E}" name="t_rubriques_Invest" displayName="t_rubriques_Invest" ref="M1:M5" totalsRowShown="0">
  <autoFilter ref="M1:M5" xr:uid="{68C27D53-3932-4341-B437-42BB7E9E324B}"/>
  <tableColumns count="1">
    <tableColumn id="1" xr3:uid="{2497EF4B-FDC8-4B67-AA50-F958F2F1E2DF}" name="Rubrique_INV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C439EA-D93E-49E1-A661-4A123E6A4C04}" name="t_tva_htva" displayName="t_tva_htva" ref="P1:P4" totalsRowShown="0">
  <autoFilter ref="P1:P4" xr:uid="{026AFB0B-98BF-4FDB-BB7E-E2DEF6914D3D}"/>
  <tableColumns count="1">
    <tableColumn id="1" xr3:uid="{CC88EFB1-3CF5-431B-A755-D424D539EE81}" name="TVAC_HTV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BCF4C9-B7F8-4C86-8246-856546E058A2}" name="t_mois" displayName="t_mois" ref="R1:R14" totalsRowShown="0">
  <autoFilter ref="R1:R14" xr:uid="{AE34D2DC-D0F4-4B2E-AD7F-9746E0C31564}"/>
  <tableColumns count="1">
    <tableColumn id="1" xr3:uid="{38BCD0E2-7F67-457F-BA29-1974B2E81DE3}" name="Mo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7" personId="{8268C8F6-68EF-45E2-A6F5-3BBD1C6AFE71}" id="{E160BAD6-CB8B-4428-9920-9CA783AEF9B8}">
    <text xml:space="preserve">
Montant à modifier si il ne s'agit pas de la DC finale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ampspw.wallonie.be/dgo4/conventiondesmaires/assets/documents/content/actualit&#233;/Appel%20POLLEC%202021/Annexe_4_GDE_POLLEC_v-21083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0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omments" Target="../comments1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8.xml"/><Relationship Id="rId1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INFOS"/>
  <dimension ref="A1:F20"/>
  <sheetViews>
    <sheetView showGridLines="0" zoomScaleNormal="100" workbookViewId="0">
      <selection activeCell="D32" sqref="D32"/>
    </sheetView>
  </sheetViews>
  <sheetFormatPr baseColWidth="10" defaultColWidth="10.7109375" defaultRowHeight="15" x14ac:dyDescent="0.25"/>
  <cols>
    <col min="1" max="6" width="33.28515625" customWidth="1"/>
  </cols>
  <sheetData>
    <row r="1" spans="1:6" ht="29.65" customHeight="1" thickBot="1" x14ac:dyDescent="0.3">
      <c r="A1" s="207" t="s">
        <v>0</v>
      </c>
      <c r="B1" s="207" t="s">
        <v>781</v>
      </c>
      <c r="C1" s="207" t="s">
        <v>791</v>
      </c>
      <c r="D1" s="208" t="s">
        <v>1</v>
      </c>
      <c r="E1" s="209">
        <v>45350</v>
      </c>
    </row>
    <row r="2" spans="1:6" ht="18.75" x14ac:dyDescent="0.25">
      <c r="A2" s="382" t="s">
        <v>2</v>
      </c>
      <c r="B2" s="383"/>
      <c r="C2" s="383"/>
      <c r="D2" s="383"/>
      <c r="E2" s="383"/>
      <c r="F2" s="384"/>
    </row>
    <row r="3" spans="1:6" x14ac:dyDescent="0.25">
      <c r="A3" s="391" t="s">
        <v>3</v>
      </c>
      <c r="B3" s="392"/>
      <c r="C3" s="392"/>
      <c r="D3" s="392"/>
      <c r="E3" s="392"/>
      <c r="F3" s="393"/>
    </row>
    <row r="4" spans="1:6" x14ac:dyDescent="0.25">
      <c r="A4" s="373" t="s">
        <v>782</v>
      </c>
      <c r="B4" s="374"/>
      <c r="C4" s="374"/>
      <c r="D4" s="374"/>
      <c r="E4" s="374"/>
      <c r="F4" s="375"/>
    </row>
    <row r="5" spans="1:6" x14ac:dyDescent="0.25">
      <c r="A5" s="376"/>
      <c r="B5" s="377"/>
      <c r="C5" s="377"/>
      <c r="D5" s="377"/>
      <c r="E5" s="377"/>
      <c r="F5" s="378"/>
    </row>
    <row r="6" spans="1:6" x14ac:dyDescent="0.25">
      <c r="A6" s="14"/>
      <c r="F6" s="15"/>
    </row>
    <row r="7" spans="1:6" x14ac:dyDescent="0.25">
      <c r="A7" s="385" t="s">
        <v>4</v>
      </c>
      <c r="B7" s="386"/>
      <c r="C7" s="386"/>
      <c r="D7" s="386"/>
      <c r="E7" s="386"/>
      <c r="F7" s="387"/>
    </row>
    <row r="8" spans="1:6" x14ac:dyDescent="0.25">
      <c r="A8" s="388" t="s">
        <v>438</v>
      </c>
      <c r="B8" s="389"/>
      <c r="C8" s="389"/>
      <c r="D8" s="389"/>
      <c r="E8" s="389"/>
      <c r="F8" s="390"/>
    </row>
    <row r="9" spans="1:6" ht="15.75" customHeight="1" x14ac:dyDescent="0.25">
      <c r="A9" s="396" t="s">
        <v>792</v>
      </c>
      <c r="B9" s="397"/>
      <c r="C9" s="397"/>
      <c r="D9" s="397"/>
      <c r="E9" s="397"/>
      <c r="F9" s="398"/>
    </row>
    <row r="10" spans="1:6" x14ac:dyDescent="0.25">
      <c r="A10" s="361" t="s">
        <v>778</v>
      </c>
      <c r="B10" s="394"/>
      <c r="C10" s="394"/>
      <c r="D10" s="394"/>
      <c r="E10" s="394"/>
      <c r="F10" s="395"/>
    </row>
    <row r="11" spans="1:6" x14ac:dyDescent="0.25">
      <c r="A11" s="361"/>
      <c r="B11" s="394"/>
      <c r="C11" s="394"/>
      <c r="D11" s="394"/>
      <c r="E11" s="394"/>
      <c r="F11" s="395"/>
    </row>
    <row r="12" spans="1:6" x14ac:dyDescent="0.25">
      <c r="A12" s="379"/>
      <c r="B12" s="380"/>
      <c r="C12" s="380"/>
      <c r="D12" s="380"/>
      <c r="E12" s="380"/>
      <c r="F12" s="381"/>
    </row>
    <row r="13" spans="1:6" x14ac:dyDescent="0.25">
      <c r="A13" s="364" t="s">
        <v>793</v>
      </c>
      <c r="B13" s="365"/>
      <c r="C13" s="365"/>
      <c r="D13" s="365"/>
      <c r="E13" s="365"/>
      <c r="F13" s="366"/>
    </row>
    <row r="14" spans="1:6" x14ac:dyDescent="0.25">
      <c r="A14" s="364" t="s">
        <v>5</v>
      </c>
      <c r="B14" s="365"/>
      <c r="C14" s="365"/>
      <c r="D14" s="365"/>
      <c r="E14" s="365"/>
      <c r="F14" s="366"/>
    </row>
    <row r="15" spans="1:6" x14ac:dyDescent="0.25">
      <c r="A15" s="367" t="s">
        <v>6</v>
      </c>
      <c r="B15" s="368"/>
      <c r="C15" s="86"/>
      <c r="D15" s="86"/>
      <c r="E15" s="86"/>
      <c r="F15" s="87"/>
    </row>
    <row r="16" spans="1:6" x14ac:dyDescent="0.25">
      <c r="A16" s="369" t="s">
        <v>410</v>
      </c>
      <c r="B16" s="370"/>
      <c r="C16" s="63"/>
      <c r="D16" s="63"/>
      <c r="E16" s="63"/>
      <c r="F16" s="85"/>
    </row>
    <row r="17" spans="1:6" ht="14.65" customHeight="1" x14ac:dyDescent="0.25">
      <c r="A17" s="371" t="s">
        <v>7</v>
      </c>
      <c r="B17" s="372"/>
      <c r="C17" s="83"/>
      <c r="D17" s="83"/>
      <c r="E17" s="83"/>
      <c r="F17" s="84"/>
    </row>
    <row r="18" spans="1:6" ht="21" customHeight="1" x14ac:dyDescent="0.25">
      <c r="A18" s="82"/>
      <c r="B18" s="83"/>
      <c r="C18" s="83"/>
      <c r="D18" s="83"/>
      <c r="E18" s="83"/>
      <c r="F18" s="84"/>
    </row>
    <row r="19" spans="1:6" x14ac:dyDescent="0.25">
      <c r="A19" s="361" t="s">
        <v>779</v>
      </c>
      <c r="B19" s="362"/>
      <c r="C19" s="362"/>
      <c r="D19" s="362"/>
      <c r="E19" s="362"/>
      <c r="F19" s="363"/>
    </row>
    <row r="20" spans="1:6" ht="15.75" thickBot="1" x14ac:dyDescent="0.3">
      <c r="A20" s="355" t="s">
        <v>780</v>
      </c>
      <c r="B20" s="356"/>
      <c r="C20" s="356"/>
      <c r="D20" s="356"/>
      <c r="E20" s="356"/>
      <c r="F20" s="357"/>
    </row>
  </sheetData>
  <sheetProtection algorithmName="SHA-512" hashValue="9nw5gB6xX6cIQg0BakhQoW3xICDNeemK3LzMjm63nU+CAoSVMApYcu73xnjgmSk27l1+p67nhoGWiCK5E0juzg==" saltValue="DX547pUkO+rDYSNtqEtTRA==" spinCount="100000" sheet="1" objects="1" scenarios="1"/>
  <customSheetViews>
    <customSheetView guid="{C3F58662-020B-4E56-B390-38D4A953D070}">
      <selection activeCell="I31" sqref="I31"/>
      <pageMargins left="0" right="0" top="0" bottom="0" header="0" footer="0"/>
    </customSheetView>
  </customSheetViews>
  <mergeCells count="16">
    <mergeCell ref="A4:F4"/>
    <mergeCell ref="A5:F5"/>
    <mergeCell ref="A12:F12"/>
    <mergeCell ref="A2:F2"/>
    <mergeCell ref="A7:F7"/>
    <mergeCell ref="A8:F8"/>
    <mergeCell ref="A3:F3"/>
    <mergeCell ref="A10:F10"/>
    <mergeCell ref="A11:F11"/>
    <mergeCell ref="A9:F9"/>
    <mergeCell ref="A19:F19"/>
    <mergeCell ref="A13:F13"/>
    <mergeCell ref="A14:F14"/>
    <mergeCell ref="A15:B15"/>
    <mergeCell ref="A16:B16"/>
    <mergeCell ref="A17:B17"/>
  </mergeCells>
  <hyperlinks>
    <hyperlink ref="A20" r:id="rId1" xr:uid="{599D706B-DB20-4FA8-A831-D9683C2D62AE}"/>
  </hyperlinks>
  <pageMargins left="0.7" right="0.7" top="0.75" bottom="0.75" header="0.3" footer="0.3"/>
  <pageSetup paperSize="9" scale="43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F976-C624-4533-A31C-5BAB94A101E3}">
  <sheetPr codeName="Feuil1"/>
  <dimension ref="A1:CH103"/>
  <sheetViews>
    <sheetView zoomScaleNormal="100" workbookViewId="0">
      <selection activeCell="CC2" sqref="CC2"/>
    </sheetView>
  </sheetViews>
  <sheetFormatPr baseColWidth="10" defaultColWidth="8.7109375" defaultRowHeight="15" x14ac:dyDescent="0.25"/>
  <cols>
    <col min="1" max="29" width="8.7109375" style="102"/>
    <col min="30" max="31" width="11.28515625" style="102" bestFit="1" customWidth="1"/>
    <col min="32" max="32" width="8.85546875" style="102" bestFit="1" customWidth="1"/>
    <col min="33" max="34" width="8.85546875" style="102" customWidth="1"/>
    <col min="35" max="38" width="8.85546875" style="102" bestFit="1" customWidth="1"/>
    <col min="39" max="41" width="11.28515625" style="102" bestFit="1" customWidth="1"/>
    <col min="42" max="42" width="10.140625" style="102" customWidth="1"/>
    <col min="43" max="43" width="11.28515625" style="102" bestFit="1" customWidth="1"/>
    <col min="44" max="44" width="9.5703125" style="102" bestFit="1" customWidth="1"/>
    <col min="45" max="45" width="11.28515625" style="102" bestFit="1" customWidth="1"/>
    <col min="46" max="46" width="10.140625" style="102" customWidth="1"/>
    <col min="47" max="49" width="11.28515625" style="102" bestFit="1" customWidth="1"/>
    <col min="50" max="50" width="10.140625" style="102" customWidth="1"/>
    <col min="51" max="53" width="11.28515625" style="102" bestFit="1" customWidth="1"/>
    <col min="54" max="55" width="10.140625" style="102" customWidth="1"/>
    <col min="56" max="56" width="11.28515625" style="102" bestFit="1" customWidth="1"/>
    <col min="57" max="57" width="13" style="102" customWidth="1"/>
    <col min="58" max="58" width="11.28515625" style="102" bestFit="1" customWidth="1"/>
    <col min="59" max="59" width="11.28515625" style="102" customWidth="1"/>
    <col min="60" max="62" width="10.140625" style="102" customWidth="1"/>
    <col min="63" max="64" width="8.85546875" style="102" bestFit="1" customWidth="1"/>
    <col min="65" max="69" width="11.28515625" style="102" bestFit="1" customWidth="1"/>
    <col min="70" max="70" width="10.5703125" style="102" customWidth="1"/>
    <col min="71" max="72" width="11.28515625" style="102" bestFit="1" customWidth="1"/>
    <col min="73" max="73" width="11" style="102" customWidth="1"/>
    <col min="74" max="79" width="12.7109375" style="102" customWidth="1"/>
    <col min="80" max="81" width="8.7109375" style="102"/>
    <col min="82" max="82" width="21.7109375" style="102" customWidth="1"/>
    <col min="83" max="83" width="26.28515625" style="102" customWidth="1"/>
    <col min="84" max="16384" width="8.7109375" style="102"/>
  </cols>
  <sheetData>
    <row r="1" spans="1:86" ht="118.5" customHeight="1" x14ac:dyDescent="0.25">
      <c r="A1" s="110" t="s">
        <v>176</v>
      </c>
      <c r="B1" s="110" t="s">
        <v>177</v>
      </c>
      <c r="C1" s="110" t="s">
        <v>178</v>
      </c>
      <c r="D1" s="110" t="s">
        <v>179</v>
      </c>
      <c r="E1" s="110" t="s">
        <v>180</v>
      </c>
      <c r="F1" s="110" t="s">
        <v>181</v>
      </c>
      <c r="G1" s="110" t="s">
        <v>182</v>
      </c>
      <c r="H1" s="110" t="s">
        <v>183</v>
      </c>
      <c r="I1" s="110" t="s">
        <v>184</v>
      </c>
      <c r="J1" s="110" t="s">
        <v>185</v>
      </c>
      <c r="K1" s="110" t="s">
        <v>186</v>
      </c>
      <c r="L1" s="110" t="s">
        <v>187</v>
      </c>
      <c r="M1" s="110" t="s">
        <v>188</v>
      </c>
      <c r="N1" s="110" t="s">
        <v>189</v>
      </c>
      <c r="O1" s="110" t="s">
        <v>190</v>
      </c>
      <c r="P1" s="110" t="s">
        <v>191</v>
      </c>
      <c r="Q1" s="110" t="s">
        <v>192</v>
      </c>
      <c r="R1" s="110" t="s">
        <v>193</v>
      </c>
      <c r="S1" s="110" t="s">
        <v>194</v>
      </c>
      <c r="T1" s="110" t="s">
        <v>195</v>
      </c>
      <c r="U1" s="110" t="s">
        <v>196</v>
      </c>
      <c r="V1" s="110" t="s">
        <v>197</v>
      </c>
      <c r="W1" s="110" t="s">
        <v>198</v>
      </c>
      <c r="X1" s="110" t="s">
        <v>199</v>
      </c>
      <c r="Y1" s="110"/>
      <c r="Z1" s="110" t="s">
        <v>200</v>
      </c>
      <c r="AA1" s="110" t="s">
        <v>201</v>
      </c>
      <c r="AB1" s="110" t="s">
        <v>202</v>
      </c>
      <c r="AC1" s="110" t="s">
        <v>203</v>
      </c>
      <c r="AD1" s="110" t="s">
        <v>204</v>
      </c>
      <c r="AE1" s="110" t="s">
        <v>205</v>
      </c>
      <c r="AF1" s="110" t="s">
        <v>206</v>
      </c>
      <c r="AG1" s="111" t="s">
        <v>207</v>
      </c>
      <c r="AH1" s="111" t="s">
        <v>208</v>
      </c>
      <c r="AI1" s="110" t="s">
        <v>209</v>
      </c>
      <c r="AJ1" s="110" t="s">
        <v>210</v>
      </c>
      <c r="AK1" s="110" t="s">
        <v>211</v>
      </c>
      <c r="AL1" s="110" t="s">
        <v>212</v>
      </c>
      <c r="AM1" s="110" t="s">
        <v>213</v>
      </c>
      <c r="AN1" s="110" t="s">
        <v>214</v>
      </c>
      <c r="AO1" s="110" t="s">
        <v>215</v>
      </c>
      <c r="AP1" s="110" t="s">
        <v>216</v>
      </c>
      <c r="AQ1" s="110" t="s">
        <v>217</v>
      </c>
      <c r="AR1" s="110" t="s">
        <v>218</v>
      </c>
      <c r="AS1" s="110" t="s">
        <v>219</v>
      </c>
      <c r="AT1" s="110" t="s">
        <v>220</v>
      </c>
      <c r="AU1" s="110" t="s">
        <v>221</v>
      </c>
      <c r="AV1" s="110" t="s">
        <v>222</v>
      </c>
      <c r="AW1" s="110" t="s">
        <v>223</v>
      </c>
      <c r="AX1" s="110" t="s">
        <v>224</v>
      </c>
      <c r="AY1" s="110" t="s">
        <v>225</v>
      </c>
      <c r="AZ1" s="110" t="s">
        <v>226</v>
      </c>
      <c r="BA1" s="110" t="s">
        <v>227</v>
      </c>
      <c r="BB1" s="110" t="s">
        <v>228</v>
      </c>
      <c r="BC1" s="110" t="s">
        <v>229</v>
      </c>
      <c r="BD1" s="110" t="s">
        <v>230</v>
      </c>
      <c r="BE1" s="110" t="s">
        <v>231</v>
      </c>
      <c r="BF1" s="110" t="s">
        <v>232</v>
      </c>
      <c r="BG1" s="110" t="s">
        <v>233</v>
      </c>
      <c r="BH1" s="110" t="s">
        <v>234</v>
      </c>
      <c r="BI1" s="110" t="s">
        <v>235</v>
      </c>
      <c r="BJ1" s="110" t="s">
        <v>236</v>
      </c>
      <c r="BK1" s="110" t="s">
        <v>237</v>
      </c>
      <c r="BL1" s="110" t="s">
        <v>238</v>
      </c>
      <c r="BM1" s="110" t="s">
        <v>239</v>
      </c>
      <c r="BN1" s="110" t="s">
        <v>240</v>
      </c>
      <c r="BO1" s="110" t="s">
        <v>241</v>
      </c>
      <c r="BP1" s="110" t="s">
        <v>242</v>
      </c>
      <c r="BQ1" s="110" t="s">
        <v>243</v>
      </c>
      <c r="BR1" s="110" t="s">
        <v>244</v>
      </c>
      <c r="BS1" s="110" t="s">
        <v>245</v>
      </c>
      <c r="BT1" s="110" t="s">
        <v>246</v>
      </c>
      <c r="BU1" s="110" t="s">
        <v>247</v>
      </c>
      <c r="BV1" s="110" t="s">
        <v>248</v>
      </c>
      <c r="BW1" s="110" t="s">
        <v>249</v>
      </c>
      <c r="BX1" s="110" t="s">
        <v>250</v>
      </c>
      <c r="BY1" s="110" t="s">
        <v>251</v>
      </c>
      <c r="BZ1" s="110" t="s">
        <v>252</v>
      </c>
      <c r="CA1" s="110" t="s">
        <v>253</v>
      </c>
      <c r="CB1" s="110" t="s">
        <v>254</v>
      </c>
      <c r="CC1" s="110" t="s">
        <v>255</v>
      </c>
      <c r="CD1" s="110" t="s">
        <v>256</v>
      </c>
      <c r="CE1" s="110" t="s">
        <v>257</v>
      </c>
      <c r="CF1" s="110" t="s">
        <v>258</v>
      </c>
      <c r="CG1" s="110" t="s">
        <v>259</v>
      </c>
      <c r="CH1" s="110" t="s">
        <v>260</v>
      </c>
    </row>
    <row r="2" spans="1:86" ht="75" x14ac:dyDescent="0.25">
      <c r="A2" s="108">
        <f>DATE_DEB_CONV</f>
        <v>44562</v>
      </c>
      <c r="B2" s="108">
        <f>DATE_FIN_CONV</f>
        <v>46022</v>
      </c>
      <c r="C2" s="108" t="str">
        <f>DC_N°</f>
        <v>Veuillez sélectionner</v>
      </c>
      <c r="D2" s="108">
        <f>DC_TOT_DECL</f>
        <v>0</v>
      </c>
      <c r="E2" s="108" t="e">
        <f>IDENTIF_ADRESSE</f>
        <v>#NAME?</v>
      </c>
      <c r="F2" s="108" t="e">
        <f>IDENTIF_ADRESSE_CP</f>
        <v>#NAME?</v>
      </c>
      <c r="G2" s="108" t="e">
        <f>IDENTIF_ADRESSE_LOC</f>
        <v>#N/A</v>
      </c>
      <c r="H2" s="108" t="str">
        <f>IDENTIF_AGT_CIV</f>
        <v>Veuillez sélectionner</v>
      </c>
      <c r="I2" s="108">
        <f>IDENTIF_AGT_EMAIL</f>
        <v>0</v>
      </c>
      <c r="J2" s="108">
        <f>IDENTIF_AGT_NOM</f>
        <v>0</v>
      </c>
      <c r="K2" s="108">
        <f>IDENTIF_AGT_SERVICE</f>
        <v>0</v>
      </c>
      <c r="L2" s="108">
        <f>IDENTIF_AGT_TEL</f>
        <v>0</v>
      </c>
      <c r="M2" s="108" t="e">
        <f>IDENTIF_BCE</f>
        <v>#N/A</v>
      </c>
      <c r="N2" s="108">
        <f>IDENTIF_BUDG_AB_CONV</f>
        <v>0</v>
      </c>
      <c r="O2" s="108">
        <f>IDENTIF_BUDG_PROGRAMME_CONV</f>
        <v>0</v>
      </c>
      <c r="P2" s="108">
        <f>IDENTIF_COMPTE_BIC</f>
        <v>0</v>
      </c>
      <c r="Q2" s="108">
        <f>IDENTIF_COMPTE_COM</f>
        <v>0</v>
      </c>
      <c r="R2" s="108" t="e">
        <f>IDENTIF_COMPTE_N°IBAN</f>
        <v>#N/A</v>
      </c>
      <c r="S2" s="108">
        <f>IDENTIF_COMPTE_OUVERT_NOM_DE</f>
        <v>0</v>
      </c>
      <c r="T2" s="109">
        <f>IDENTIF_DEB_DC</f>
        <v>0</v>
      </c>
      <c r="U2" s="108">
        <f>Identification!F18</f>
        <v>1</v>
      </c>
      <c r="V2" s="109">
        <f>IDENTIF_FIN_DC</f>
        <v>0</v>
      </c>
      <c r="W2" s="108" t="e">
        <f>IDENTIF_LEGALE</f>
        <v>#N/A</v>
      </c>
      <c r="X2" s="108" t="e">
        <f>IDENTIF_MONTANT_SUBSIDE</f>
        <v>#N/A</v>
      </c>
      <c r="Y2" s="108"/>
      <c r="Z2" s="108" t="e">
        <f>IDENTIF_REF_PROJET</f>
        <v>#N/A</v>
      </c>
      <c r="AA2" s="108" t="str">
        <f>IDENTIF_NOM_REQUERANT</f>
        <v>Sélectionner Commune/Supra</v>
      </c>
      <c r="AB2" s="108">
        <f>IDENTIF_TAUX_DE_FINANCEMENT</f>
        <v>0.8</v>
      </c>
      <c r="AC2" s="108" t="e">
        <f>IDENTIF_VISA_CONV</f>
        <v>#N/A</v>
      </c>
      <c r="AD2" s="111" t="e">
        <f>MONTANT_DC_C3_FONDS_ROULEMENT_JUSTIFIE</f>
        <v>#NAME?</v>
      </c>
      <c r="AE2" s="111" t="e">
        <f>MONTANT_DC_C3_SOLDE_DESENGAGE</f>
        <v>#NAME?</v>
      </c>
      <c r="AF2" s="111" t="e">
        <f>MONTANT_DC_C3_TOT_LIQUIDE</f>
        <v>#NAME?</v>
      </c>
      <c r="AG2" s="111">
        <f>MONTANT_TOT_PERSO_DECL</f>
        <v>0</v>
      </c>
      <c r="AH2" s="111">
        <f>MONTANT_TOT_PERSO_ACC</f>
        <v>0</v>
      </c>
      <c r="AI2" s="112">
        <f>MONTANT_TOT_SSTRAIT_DECL</f>
        <v>0</v>
      </c>
      <c r="AJ2" s="112">
        <f>MONTANT_TOT_SSTRAIT_ACC</f>
        <v>0</v>
      </c>
      <c r="AK2" s="111" t="e">
        <f>PL_ORDO_DC1</f>
        <v>#NAME?</v>
      </c>
      <c r="AL2" s="111" t="e">
        <f>PL_ORDO_DC2</f>
        <v>#NAME?</v>
      </c>
      <c r="AM2" s="113" t="e">
        <f>SYNT_A_REMBOURSER</f>
        <v>#NAME?</v>
      </c>
      <c r="AN2" s="113" t="e">
        <f>SYNT_BUDGET_100</f>
        <v>#N/A</v>
      </c>
      <c r="AO2" s="113" t="e">
        <f>SYNTH_ACC_1_100</f>
        <v>#NAME?</v>
      </c>
      <c r="AP2" s="113" t="e">
        <f>SYNTH_ACC_2_100</f>
        <v>#NAME?</v>
      </c>
      <c r="AQ2" s="113" t="e">
        <f>SYNTH_DECL_1_100</f>
        <v>#NAME?</v>
      </c>
      <c r="AR2" s="113">
        <f>SYNTH_DECL_2_100</f>
        <v>0</v>
      </c>
      <c r="AS2" s="113" t="e">
        <f>SYNTH_DIFF_1</f>
        <v>#NAME?</v>
      </c>
      <c r="AT2" s="113" t="e">
        <f>SYNTH_DIFF_2</f>
        <v>#NAME?</v>
      </c>
      <c r="AU2" s="113" t="e">
        <f>SYNTH_DIFF_TOT</f>
        <v>#NAME?</v>
      </c>
      <c r="AV2" s="113" t="e">
        <f>SYNTH_FR</f>
        <v>#N/A</v>
      </c>
      <c r="AW2" s="113" t="e">
        <f>SYNTH_FR_JUSTIF_1</f>
        <v>#NAME?</v>
      </c>
      <c r="AX2" s="113" t="e">
        <f>SYNTH_FR_JUSTIF_2</f>
        <v>#NAME?</v>
      </c>
      <c r="AY2" s="113" t="e">
        <f>SYNTH_FR_SOLDE_1</f>
        <v>#NAME?</v>
      </c>
      <c r="AZ2" s="113" t="e">
        <f>SYNTH_FR_SOLDE_1_2</f>
        <v>#NAME?</v>
      </c>
      <c r="BA2" s="113" t="e">
        <f>SYNTH_FR_SOLDE_2</f>
        <v>#NAME?</v>
      </c>
      <c r="BB2" s="113" t="e">
        <f>SYNTH_MONTANT_LIQUIDE_1</f>
        <v>#NAME?</v>
      </c>
      <c r="BC2" s="113" t="e">
        <f>SYNTH_MONTANT_LIQUIDE_2</f>
        <v>#NAME?</v>
      </c>
      <c r="BD2" s="113" t="e">
        <f>SYNTH_PERSO_ACC_1</f>
        <v>#NAME?</v>
      </c>
      <c r="BE2" s="113" t="e">
        <f>SYNTH_PERSO_ACC_2</f>
        <v>#NAME?</v>
      </c>
      <c r="BF2" s="113" t="e">
        <f>SYNTH_PERSO_DECL_1</f>
        <v>#NAME?</v>
      </c>
      <c r="BG2" s="113">
        <f>SYNTH_PERSO_DECL_2</f>
        <v>0</v>
      </c>
      <c r="BH2" s="113" t="e">
        <f>SYNTH_SOLDE</f>
        <v>#NAME?</v>
      </c>
      <c r="BI2" s="113" t="e">
        <f>SYNTH_SST_ACC_1</f>
        <v>#NAME?</v>
      </c>
      <c r="BJ2" s="113" t="e">
        <f>SYNTH_SST_ACC_2</f>
        <v>#NAME?</v>
      </c>
      <c r="BK2" s="113" t="e">
        <f>SYNTH_SST_DECL_1</f>
        <v>#NAME?</v>
      </c>
      <c r="BL2" s="113">
        <f>SYNTH_SST_DECL_2</f>
        <v>0</v>
      </c>
      <c r="BM2" s="113" t="e">
        <f>SYNTH_SUBSIDE</f>
        <v>#N/A</v>
      </c>
      <c r="BN2" s="113" t="e">
        <f>SYNTH_SUBSIDE_SOLDE</f>
        <v>#NAME?</v>
      </c>
      <c r="BO2" s="113" t="e">
        <f>SYNTH_TOT_ACC_100</f>
        <v>#NAME?</v>
      </c>
      <c r="BP2" s="113" t="e">
        <f>SYNTH_TOT_DC_ACC</f>
        <v>#NAME?</v>
      </c>
      <c r="BQ2" s="113" t="e">
        <f>SYNTH_TOT_DC_ACC_1</f>
        <v>#NAME?</v>
      </c>
      <c r="BR2" s="113" t="e">
        <f>SYNTH_TOT_DC_ACC_2</f>
        <v>#NAME?</v>
      </c>
      <c r="BS2" s="113" t="e">
        <f>SYNTH_TOT_DC_DECL</f>
        <v>#NAME?</v>
      </c>
      <c r="BT2" s="113" t="e">
        <f>SYNTH_TOT_DC_DECL_1</f>
        <v>#NAME?</v>
      </c>
      <c r="BU2" s="113">
        <f>SYNTH_TOT_DC_DECL_2</f>
        <v>0</v>
      </c>
      <c r="BV2" s="113" t="e">
        <f>SYNTH_TOT_DECL_100</f>
        <v>#NAME?</v>
      </c>
      <c r="BW2" s="113" t="e">
        <f>SYNTH_TOT_LIQUIDE_1_2</f>
        <v>#NAME?</v>
      </c>
      <c r="BX2" s="113" t="e">
        <f>SYNTH_TOT_PERSO_ACC</f>
        <v>#NAME?</v>
      </c>
      <c r="BY2" s="113" t="e">
        <f>SYNTH_TOT_PERSO_DECL</f>
        <v>#NAME?</v>
      </c>
      <c r="BZ2" s="113" t="e">
        <f>SYNTH_TOT_SST_ACC</f>
        <v>#NAME?</v>
      </c>
      <c r="CA2" s="113" t="e">
        <f>SYNTH_TOT_SST_DECL</f>
        <v>#NAME?</v>
      </c>
      <c r="CB2" s="102" t="str">
        <f>TVA</f>
        <v>Veuillez sélectionner</v>
      </c>
      <c r="CC2" s="102" t="str">
        <f>IF(VOS_REF=0,"",VOS_REF)</f>
        <v/>
      </c>
      <c r="CD2" s="80" t="str">
        <f>_xlfn.TEXTJOIN(CHAR(10),TRUE,'Frais de personnel'!U$12:U$59)</f>
        <v/>
      </c>
      <c r="CE2" s="102" t="str">
        <f>_xlfn.TEXTJOIN(CHAR(10),TRUE,'Sous-traitance'!$O$5:$O$45)</f>
        <v/>
      </c>
      <c r="CF2" s="104" t="str">
        <f>GT</f>
        <v xml:space="preserve">Gestionnaire  </v>
      </c>
      <c r="CG2" s="102" t="e">
        <f>IF(GT=Liste_GT_1,LISTE_TEL_GT_1,LISTE_TEL_GT_2)</f>
        <v>#NAME?</v>
      </c>
      <c r="CH2" s="102" t="e">
        <f>IF(GT=Liste_GT_1,LISTE_EMAIL_GT_1,LISTE_EMAIL_GT_2)</f>
        <v>#NAME?</v>
      </c>
    </row>
    <row r="60" spans="1:2" ht="45" x14ac:dyDescent="0.25">
      <c r="A60" s="102" t="s">
        <v>213</v>
      </c>
      <c r="B60" s="102" t="s">
        <v>261</v>
      </c>
    </row>
    <row r="61" spans="1:2" ht="45" x14ac:dyDescent="0.25">
      <c r="A61" s="102" t="s">
        <v>214</v>
      </c>
      <c r="B61" s="102" t="s">
        <v>262</v>
      </c>
    </row>
    <row r="62" spans="1:2" ht="45" x14ac:dyDescent="0.25">
      <c r="A62" s="102" t="s">
        <v>215</v>
      </c>
      <c r="B62" s="102" t="s">
        <v>263</v>
      </c>
    </row>
    <row r="63" spans="1:2" ht="45" x14ac:dyDescent="0.25">
      <c r="A63" s="102" t="s">
        <v>216</v>
      </c>
      <c r="B63" s="102" t="s">
        <v>264</v>
      </c>
    </row>
    <row r="64" spans="1:2" ht="45" x14ac:dyDescent="0.25">
      <c r="A64" s="102" t="s">
        <v>217</v>
      </c>
      <c r="B64" s="102" t="s">
        <v>265</v>
      </c>
    </row>
    <row r="65" spans="1:2" ht="45" x14ac:dyDescent="0.25">
      <c r="A65" s="102" t="s">
        <v>218</v>
      </c>
      <c r="B65" s="102" t="s">
        <v>266</v>
      </c>
    </row>
    <row r="66" spans="1:2" ht="45" x14ac:dyDescent="0.25">
      <c r="A66" s="102" t="s">
        <v>219</v>
      </c>
      <c r="B66" s="102" t="s">
        <v>267</v>
      </c>
    </row>
    <row r="67" spans="1:2" ht="45" x14ac:dyDescent="0.25">
      <c r="A67" s="102" t="s">
        <v>220</v>
      </c>
      <c r="B67" s="102" t="s">
        <v>268</v>
      </c>
    </row>
    <row r="68" spans="1:2" ht="45" x14ac:dyDescent="0.25">
      <c r="A68" s="102" t="s">
        <v>221</v>
      </c>
      <c r="B68" s="102" t="s">
        <v>269</v>
      </c>
    </row>
    <row r="69" spans="1:2" ht="45" x14ac:dyDescent="0.25">
      <c r="A69" s="102" t="s">
        <v>222</v>
      </c>
      <c r="B69" s="102" t="s">
        <v>270</v>
      </c>
    </row>
    <row r="70" spans="1:2" ht="45" x14ac:dyDescent="0.25">
      <c r="A70" s="102" t="s">
        <v>223</v>
      </c>
      <c r="B70" s="102" t="s">
        <v>271</v>
      </c>
    </row>
    <row r="71" spans="1:2" ht="45" x14ac:dyDescent="0.25">
      <c r="A71" s="102" t="s">
        <v>224</v>
      </c>
      <c r="B71" s="102" t="s">
        <v>272</v>
      </c>
    </row>
    <row r="72" spans="1:2" ht="45" x14ac:dyDescent="0.25">
      <c r="A72" s="102" t="s">
        <v>225</v>
      </c>
      <c r="B72" s="102" t="s">
        <v>273</v>
      </c>
    </row>
    <row r="73" spans="1:2" ht="45" x14ac:dyDescent="0.25">
      <c r="A73" s="102" t="s">
        <v>226</v>
      </c>
      <c r="B73" s="102" t="s">
        <v>274</v>
      </c>
    </row>
    <row r="74" spans="1:2" ht="45" x14ac:dyDescent="0.25">
      <c r="A74" s="102" t="s">
        <v>227</v>
      </c>
      <c r="B74" s="102" t="s">
        <v>275</v>
      </c>
    </row>
    <row r="75" spans="1:2" ht="60" x14ac:dyDescent="0.25">
      <c r="A75" s="102" t="s">
        <v>228</v>
      </c>
      <c r="B75" s="102" t="s">
        <v>276</v>
      </c>
    </row>
    <row r="76" spans="1:2" ht="60" x14ac:dyDescent="0.25">
      <c r="A76" s="102" t="s">
        <v>229</v>
      </c>
      <c r="B76" s="102" t="s">
        <v>277</v>
      </c>
    </row>
    <row r="77" spans="1:2" ht="45" x14ac:dyDescent="0.25">
      <c r="A77" s="102" t="s">
        <v>230</v>
      </c>
      <c r="B77" s="102" t="s">
        <v>278</v>
      </c>
    </row>
    <row r="78" spans="1:2" ht="45" x14ac:dyDescent="0.25">
      <c r="A78" s="102" t="s">
        <v>231</v>
      </c>
      <c r="B78" s="102" t="s">
        <v>279</v>
      </c>
    </row>
    <row r="79" spans="1:2" ht="45" x14ac:dyDescent="0.25">
      <c r="A79" s="102" t="s">
        <v>232</v>
      </c>
      <c r="B79" s="102" t="s">
        <v>280</v>
      </c>
    </row>
    <row r="80" spans="1:2" ht="45" x14ac:dyDescent="0.25">
      <c r="A80" s="102" t="s">
        <v>233</v>
      </c>
      <c r="B80" s="102" t="s">
        <v>281</v>
      </c>
    </row>
    <row r="81" spans="1:2" ht="45" x14ac:dyDescent="0.25">
      <c r="A81" s="102" t="s">
        <v>234</v>
      </c>
      <c r="B81" s="102" t="s">
        <v>282</v>
      </c>
    </row>
    <row r="82" spans="1:2" ht="45" x14ac:dyDescent="0.25">
      <c r="A82" s="102" t="s">
        <v>235</v>
      </c>
      <c r="B82" s="102" t="s">
        <v>283</v>
      </c>
    </row>
    <row r="83" spans="1:2" ht="45" x14ac:dyDescent="0.25">
      <c r="A83" s="102" t="s">
        <v>236</v>
      </c>
      <c r="B83" s="102" t="s">
        <v>284</v>
      </c>
    </row>
    <row r="84" spans="1:2" ht="45" x14ac:dyDescent="0.25">
      <c r="A84" s="102" t="s">
        <v>237</v>
      </c>
      <c r="B84" s="102" t="s">
        <v>285</v>
      </c>
    </row>
    <row r="85" spans="1:2" ht="45" x14ac:dyDescent="0.25">
      <c r="A85" s="102" t="s">
        <v>238</v>
      </c>
      <c r="B85" s="102" t="s">
        <v>286</v>
      </c>
    </row>
    <row r="86" spans="1:2" ht="45" x14ac:dyDescent="0.25">
      <c r="A86" s="102" t="s">
        <v>239</v>
      </c>
      <c r="B86" s="102" t="s">
        <v>287</v>
      </c>
    </row>
    <row r="87" spans="1:2" ht="45" x14ac:dyDescent="0.25">
      <c r="A87" s="102" t="s">
        <v>240</v>
      </c>
      <c r="B87" s="102" t="s">
        <v>288</v>
      </c>
    </row>
    <row r="88" spans="1:2" ht="45" x14ac:dyDescent="0.25">
      <c r="A88" s="102" t="s">
        <v>241</v>
      </c>
      <c r="B88" s="102" t="s">
        <v>289</v>
      </c>
    </row>
    <row r="89" spans="1:2" ht="45" x14ac:dyDescent="0.25">
      <c r="A89" s="102" t="s">
        <v>242</v>
      </c>
      <c r="B89" s="102" t="s">
        <v>290</v>
      </c>
    </row>
    <row r="90" spans="1:2" ht="45" x14ac:dyDescent="0.25">
      <c r="A90" s="102" t="s">
        <v>243</v>
      </c>
      <c r="B90" s="102" t="s">
        <v>291</v>
      </c>
    </row>
    <row r="91" spans="1:2" ht="45" x14ac:dyDescent="0.25">
      <c r="A91" s="102" t="s">
        <v>244</v>
      </c>
      <c r="B91" s="102" t="s">
        <v>292</v>
      </c>
    </row>
    <row r="92" spans="1:2" ht="45" x14ac:dyDescent="0.25">
      <c r="A92" s="102" t="s">
        <v>245</v>
      </c>
      <c r="B92" s="102" t="s">
        <v>293</v>
      </c>
    </row>
    <row r="93" spans="1:2" ht="45" x14ac:dyDescent="0.25">
      <c r="A93" s="102" t="s">
        <v>246</v>
      </c>
      <c r="B93" s="102" t="s">
        <v>294</v>
      </c>
    </row>
    <row r="94" spans="1:2" ht="45" x14ac:dyDescent="0.25">
      <c r="A94" s="102" t="s">
        <v>247</v>
      </c>
      <c r="B94" s="102" t="s">
        <v>295</v>
      </c>
    </row>
    <row r="95" spans="1:2" ht="45" x14ac:dyDescent="0.25">
      <c r="A95" s="102" t="s">
        <v>248</v>
      </c>
      <c r="B95" s="102" t="s">
        <v>296</v>
      </c>
    </row>
    <row r="96" spans="1:2" ht="45" x14ac:dyDescent="0.25">
      <c r="A96" s="102" t="s">
        <v>249</v>
      </c>
      <c r="B96" s="102" t="s">
        <v>297</v>
      </c>
    </row>
    <row r="97" spans="1:2" ht="45" x14ac:dyDescent="0.25">
      <c r="A97" s="102" t="s">
        <v>250</v>
      </c>
      <c r="B97" s="102" t="s">
        <v>298</v>
      </c>
    </row>
    <row r="98" spans="1:2" ht="45" x14ac:dyDescent="0.25">
      <c r="A98" s="102" t="s">
        <v>251</v>
      </c>
      <c r="B98" s="102" t="s">
        <v>299</v>
      </c>
    </row>
    <row r="99" spans="1:2" ht="45" x14ac:dyDescent="0.25">
      <c r="A99" s="102" t="s">
        <v>252</v>
      </c>
      <c r="B99" s="102" t="s">
        <v>300</v>
      </c>
    </row>
    <row r="100" spans="1:2" ht="45" x14ac:dyDescent="0.25">
      <c r="A100" s="102" t="s">
        <v>253</v>
      </c>
      <c r="B100" s="102" t="s">
        <v>301</v>
      </c>
    </row>
    <row r="101" spans="1:2" ht="75" x14ac:dyDescent="0.25">
      <c r="A101" s="102" t="s">
        <v>302</v>
      </c>
      <c r="B101" s="102" t="s">
        <v>303</v>
      </c>
    </row>
    <row r="102" spans="1:2" ht="60" x14ac:dyDescent="0.25">
      <c r="A102" s="102" t="s">
        <v>254</v>
      </c>
      <c r="B102" s="102" t="s">
        <v>304</v>
      </c>
    </row>
    <row r="103" spans="1:2" ht="75" x14ac:dyDescent="0.25">
      <c r="A103" s="102" t="s">
        <v>255</v>
      </c>
      <c r="B103" s="102" t="s">
        <v>305</v>
      </c>
    </row>
  </sheetData>
  <sheetProtection sheet="1" objects="1" scenarios="1"/>
  <phoneticPr fontId="53" type="noConversion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BEA0D-9536-497C-A1DB-F4D19681FC34}">
  <sheetPr>
    <tabColor rgb="FF33CCFF"/>
    <pageSetUpPr fitToPage="1"/>
  </sheetPr>
  <dimension ref="B1:K41"/>
  <sheetViews>
    <sheetView showGridLines="0" zoomScale="120" zoomScaleNormal="120" zoomScalePageLayoutView="75" workbookViewId="0">
      <selection activeCell="K23" sqref="K23"/>
    </sheetView>
  </sheetViews>
  <sheetFormatPr baseColWidth="10" defaultColWidth="6.85546875" defaultRowHeight="15" x14ac:dyDescent="0.25"/>
  <cols>
    <col min="1" max="1" width="6.85546875" style="116"/>
    <col min="2" max="2" width="4.28515625" style="116" customWidth="1"/>
    <col min="3" max="3" width="6.85546875" style="116"/>
    <col min="4" max="4" width="35.85546875" style="116" customWidth="1"/>
    <col min="5" max="5" width="20.42578125" style="116" customWidth="1"/>
    <col min="6" max="6" width="20.42578125" style="206" customWidth="1"/>
    <col min="7" max="7" width="20.42578125" style="116" customWidth="1"/>
    <col min="8" max="8" width="6.85546875" style="152"/>
    <col min="9" max="16384" width="6.85546875" style="116"/>
  </cols>
  <sheetData>
    <row r="1" spans="4:10" s="152" customFormat="1" ht="13.5" customHeight="1" x14ac:dyDescent="0.25">
      <c r="D1" s="147" t="s">
        <v>99</v>
      </c>
      <c r="E1" s="148">
        <f>DATE_DEB_CONV</f>
        <v>44562</v>
      </c>
      <c r="F1" s="150">
        <f>IDENTIF_DEB_DC</f>
        <v>0</v>
      </c>
      <c r="G1" s="149"/>
      <c r="H1" s="151"/>
      <c r="I1" s="151"/>
    </row>
    <row r="2" spans="4:10" s="152" customFormat="1" ht="9" customHeight="1" x14ac:dyDescent="0.25">
      <c r="D2" s="153"/>
      <c r="E2" s="154" t="s">
        <v>100</v>
      </c>
      <c r="F2" s="155" t="s">
        <v>100</v>
      </c>
      <c r="G2" s="149"/>
      <c r="H2" s="151"/>
      <c r="I2" s="151"/>
    </row>
    <row r="3" spans="4:10" s="152" customFormat="1" ht="13.5" customHeight="1" x14ac:dyDescent="0.25">
      <c r="D3" s="156"/>
      <c r="E3" s="148">
        <f>DATE_FIN_CONV</f>
        <v>46022</v>
      </c>
      <c r="F3" s="157">
        <f>IDENTIF_FIN_DC</f>
        <v>0</v>
      </c>
      <c r="G3" s="149"/>
      <c r="H3" s="151"/>
      <c r="I3" s="151"/>
    </row>
    <row r="4" spans="4:10" s="159" customFormat="1" ht="9.75" customHeight="1" x14ac:dyDescent="0.25">
      <c r="D4" s="158"/>
      <c r="E4" s="158"/>
      <c r="F4" s="158"/>
      <c r="G4" s="158"/>
      <c r="H4" s="151"/>
      <c r="I4" s="151"/>
    </row>
    <row r="5" spans="4:10" s="162" customFormat="1" ht="21.75" customHeight="1" x14ac:dyDescent="0.2">
      <c r="D5" s="160" t="s">
        <v>101</v>
      </c>
      <c r="E5" s="161" t="s">
        <v>102</v>
      </c>
      <c r="F5" s="161" t="str">
        <f>DC_N°</f>
        <v>Veuillez sélectionner</v>
      </c>
      <c r="G5" s="161"/>
      <c r="H5" s="151"/>
      <c r="I5" s="151"/>
    </row>
    <row r="6" spans="4:10" ht="12.75" x14ac:dyDescent="0.2">
      <c r="D6" s="163" t="s">
        <v>103</v>
      </c>
      <c r="E6" s="164"/>
      <c r="F6" s="165" t="s">
        <v>104</v>
      </c>
      <c r="G6" s="166" t="s">
        <v>105</v>
      </c>
      <c r="H6" s="151"/>
      <c r="I6" s="151"/>
    </row>
    <row r="7" spans="4:10" s="170" customFormat="1" ht="15.75" customHeight="1" x14ac:dyDescent="0.3">
      <c r="D7" s="167" t="s">
        <v>106</v>
      </c>
      <c r="E7" s="437"/>
      <c r="F7" s="168"/>
      <c r="G7" s="169"/>
      <c r="H7" s="151"/>
      <c r="I7" s="151"/>
    </row>
    <row r="8" spans="4:10" s="173" customFormat="1" x14ac:dyDescent="0.25">
      <c r="D8" s="171"/>
      <c r="E8" s="438"/>
      <c r="F8" s="172">
        <f>MONTANT_TOT_PERSO_DECL</f>
        <v>0</v>
      </c>
      <c r="G8" s="172">
        <f>MONTANT_TOT_PERSO_ACC</f>
        <v>0</v>
      </c>
      <c r="H8" s="151"/>
      <c r="I8" s="151"/>
    </row>
    <row r="9" spans="4:10" s="170" customFormat="1" ht="15.75" customHeight="1" x14ac:dyDescent="0.3">
      <c r="D9" s="174" t="s">
        <v>107</v>
      </c>
      <c r="E9" s="438"/>
      <c r="F9" s="175"/>
      <c r="G9" s="176"/>
      <c r="H9" s="151"/>
      <c r="I9" s="151"/>
    </row>
    <row r="10" spans="4:10" s="173" customFormat="1" ht="18" customHeight="1" x14ac:dyDescent="0.25">
      <c r="D10" s="177"/>
      <c r="E10" s="439"/>
      <c r="F10" s="172">
        <f>MONTANT_TOT_SSTRAIT_DECL</f>
        <v>0</v>
      </c>
      <c r="G10" s="172">
        <f>MONTANT_TOT_SSTRAIT_ACC</f>
        <v>0</v>
      </c>
      <c r="H10" s="151"/>
      <c r="I10" s="151"/>
    </row>
    <row r="11" spans="4:10" s="152" customFormat="1" ht="18.75" customHeight="1" x14ac:dyDescent="0.25">
      <c r="D11" s="178" t="s">
        <v>108</v>
      </c>
      <c r="E11" s="234" t="e">
        <f>IF(IDENTIF_MONTANT_SUBSIDE="","",IDENTIF_MONTANT_SUBSIDE/0.8)</f>
        <v>#N/A</v>
      </c>
      <c r="F11" s="233">
        <f>F8+F10</f>
        <v>0</v>
      </c>
      <c r="G11" s="179">
        <f t="shared" ref="G11" si="0">G8+G10</f>
        <v>0</v>
      </c>
      <c r="H11" s="151"/>
      <c r="I11" s="151"/>
    </row>
    <row r="12" spans="4:10" s="170" customFormat="1" ht="10.15" customHeight="1" x14ac:dyDescent="0.3">
      <c r="D12" s="151"/>
      <c r="E12" s="151"/>
      <c r="F12" s="180"/>
      <c r="G12" s="180"/>
      <c r="H12" s="151"/>
      <c r="I12" s="151"/>
    </row>
    <row r="13" spans="4:10" s="173" customFormat="1" ht="18" customHeight="1" x14ac:dyDescent="0.25">
      <c r="D13" s="181" t="s">
        <v>109</v>
      </c>
      <c r="E13" s="182">
        <f t="shared" ref="E13:G13" si="1">IDENTIF_TAUX_DE_FINANCEMENT</f>
        <v>0.8</v>
      </c>
      <c r="F13" s="182">
        <f t="shared" si="1"/>
        <v>0.8</v>
      </c>
      <c r="G13" s="182">
        <f t="shared" si="1"/>
        <v>0.8</v>
      </c>
      <c r="H13" s="151"/>
      <c r="I13" s="151"/>
      <c r="J13" s="183"/>
    </row>
    <row r="14" spans="4:10" s="187" customFormat="1" ht="26.25" customHeight="1" x14ac:dyDescent="0.2">
      <c r="D14" s="184" t="s">
        <v>110</v>
      </c>
      <c r="E14" s="185" t="e">
        <f>IDENTIF_MONTANT_SUBSIDE</f>
        <v>#N/A</v>
      </c>
      <c r="F14" s="185">
        <f>(ROUND(F11*F13,2))</f>
        <v>0</v>
      </c>
      <c r="G14" s="186">
        <f>ROUND(G11*G13,2)</f>
        <v>0</v>
      </c>
      <c r="H14" s="151"/>
      <c r="I14" s="151"/>
    </row>
    <row r="15" spans="4:10" s="159" customFormat="1" ht="15.75" x14ac:dyDescent="0.25">
      <c r="D15" s="188"/>
      <c r="E15" s="189"/>
      <c r="F15" s="189"/>
      <c r="G15" s="190"/>
      <c r="H15" s="151"/>
      <c r="I15" s="151"/>
    </row>
    <row r="16" spans="4:10" ht="20.25" customHeight="1" x14ac:dyDescent="0.2">
      <c r="D16" s="192" t="s">
        <v>111</v>
      </c>
      <c r="E16" s="230"/>
      <c r="F16" s="193"/>
      <c r="G16" s="194">
        <f>G14-F14</f>
        <v>0</v>
      </c>
      <c r="H16" s="151"/>
      <c r="I16" s="151"/>
    </row>
    <row r="17" spans="2:11" ht="12.75" x14ac:dyDescent="0.2">
      <c r="D17" s="196"/>
      <c r="E17" s="191"/>
      <c r="F17" s="189"/>
      <c r="G17" s="190"/>
      <c r="H17" s="151"/>
      <c r="I17" s="151"/>
    </row>
    <row r="18" spans="2:11" ht="12.75" x14ac:dyDescent="0.2">
      <c r="D18" s="197" t="s">
        <v>112</v>
      </c>
      <c r="E18" s="195"/>
      <c r="F18" s="199"/>
      <c r="G18" s="198">
        <v>0</v>
      </c>
      <c r="H18" s="151"/>
      <c r="I18" s="151"/>
      <c r="K18" s="200"/>
    </row>
    <row r="19" spans="2:11" s="152" customFormat="1" x14ac:dyDescent="0.25">
      <c r="D19" s="151"/>
      <c r="E19" s="191"/>
      <c r="F19" s="191"/>
      <c r="G19" s="191"/>
      <c r="H19" s="151"/>
      <c r="I19" s="151"/>
    </row>
    <row r="20" spans="2:11" s="203" customFormat="1" ht="15" customHeight="1" x14ac:dyDescent="0.2">
      <c r="D20" s="201" t="s">
        <v>113</v>
      </c>
      <c r="E20" s="202" t="e">
        <f>Identification!B22</f>
        <v>#N/A</v>
      </c>
      <c r="F20" s="189"/>
      <c r="G20" s="189"/>
      <c r="H20" s="151"/>
      <c r="I20" s="151"/>
    </row>
    <row r="21" spans="2:11" ht="15.75" customHeight="1" x14ac:dyDescent="0.2">
      <c r="D21" s="235" t="s">
        <v>436</v>
      </c>
      <c r="E21" s="199"/>
      <c r="F21" s="199"/>
      <c r="G21" s="194">
        <f>G14-G18</f>
        <v>0</v>
      </c>
      <c r="H21" s="151"/>
      <c r="I21" s="151"/>
    </row>
    <row r="22" spans="2:11" ht="45" customHeight="1" thickBot="1" x14ac:dyDescent="0.25">
      <c r="C22" s="236" t="s">
        <v>439</v>
      </c>
      <c r="F22" s="116"/>
      <c r="H22" s="116"/>
    </row>
    <row r="23" spans="2:11" ht="24" customHeight="1" x14ac:dyDescent="0.2">
      <c r="B23" s="472" t="s">
        <v>443</v>
      </c>
      <c r="C23" s="475" t="s">
        <v>440</v>
      </c>
      <c r="D23" s="476"/>
      <c r="E23" s="477"/>
      <c r="F23" s="308">
        <v>1</v>
      </c>
      <c r="H23" s="151"/>
      <c r="I23" s="151"/>
    </row>
    <row r="24" spans="2:11" ht="26.25" customHeight="1" x14ac:dyDescent="0.2">
      <c r="B24" s="473"/>
      <c r="C24" s="478" t="s">
        <v>441</v>
      </c>
      <c r="D24" s="479"/>
      <c r="E24" s="480"/>
      <c r="F24" s="309">
        <v>1</v>
      </c>
      <c r="H24" s="151"/>
      <c r="I24" s="151"/>
    </row>
    <row r="25" spans="2:11" ht="25.5" customHeight="1" thickBot="1" x14ac:dyDescent="0.25">
      <c r="B25" s="474"/>
      <c r="C25" s="481" t="s">
        <v>444</v>
      </c>
      <c r="D25" s="482"/>
      <c r="E25" s="483"/>
      <c r="F25" s="310" t="e">
        <f>SYNTH_FR-F23</f>
        <v>#N/A</v>
      </c>
      <c r="H25" s="151"/>
      <c r="I25" s="151"/>
    </row>
    <row r="26" spans="2:11" ht="20.25" customHeight="1" x14ac:dyDescent="0.2">
      <c r="B26" s="484" t="s">
        <v>442</v>
      </c>
      <c r="C26" s="487" t="s">
        <v>445</v>
      </c>
      <c r="D26" s="488"/>
      <c r="E26" s="489"/>
      <c r="F26" s="311">
        <f>SYNTH_FR_JUSTIF_2+SYNT_FR_OLD+SYNTH_Montant_liquidé_OLD</f>
        <v>2</v>
      </c>
      <c r="H26" s="151"/>
      <c r="I26" s="151"/>
    </row>
    <row r="27" spans="2:11" ht="20.25" customHeight="1" x14ac:dyDescent="0.2">
      <c r="B27" s="485"/>
      <c r="C27" s="490" t="s">
        <v>446</v>
      </c>
      <c r="D27" s="491"/>
      <c r="E27" s="492"/>
      <c r="F27" s="312" t="e">
        <f>F25-SYNTH_FR_JUSTIF_2</f>
        <v>#N/A</v>
      </c>
      <c r="H27" s="151"/>
      <c r="I27" s="151"/>
    </row>
    <row r="28" spans="2:11" ht="20.25" customHeight="1" x14ac:dyDescent="0.2">
      <c r="B28" s="485"/>
      <c r="C28" s="490" t="s">
        <v>435</v>
      </c>
      <c r="D28" s="491"/>
      <c r="E28" s="492"/>
      <c r="F28" s="312" t="e">
        <f>SYNTH_FR+$F$24+SYNTH_MONTANT_LIQUIDE_2</f>
        <v>#N/A</v>
      </c>
      <c r="H28" s="151"/>
      <c r="I28" s="151"/>
    </row>
    <row r="29" spans="2:11" ht="20.25" customHeight="1" thickBot="1" x14ac:dyDescent="0.3">
      <c r="B29" s="486"/>
      <c r="C29" s="493" t="s">
        <v>434</v>
      </c>
      <c r="D29" s="494"/>
      <c r="E29" s="495"/>
      <c r="F29" s="310" t="e">
        <f>SYNTH_SUBSIDE-F28</f>
        <v>#N/A</v>
      </c>
    </row>
    <row r="30" spans="2:11" ht="21" x14ac:dyDescent="0.35">
      <c r="D30" s="204"/>
      <c r="E30" s="204"/>
      <c r="F30" s="116"/>
    </row>
    <row r="31" spans="2:11" ht="21" x14ac:dyDescent="0.35">
      <c r="D31" s="204"/>
      <c r="E31" s="204"/>
      <c r="F31" s="205"/>
      <c r="G31" s="204"/>
    </row>
    <row r="32" spans="2:11" ht="21" x14ac:dyDescent="0.35">
      <c r="D32" s="204"/>
      <c r="E32" s="204"/>
      <c r="F32" s="205"/>
      <c r="G32" s="204"/>
    </row>
    <row r="33" spans="4:7" s="152" customFormat="1" ht="21" x14ac:dyDescent="0.35">
      <c r="D33" s="204"/>
      <c r="E33" s="204"/>
      <c r="F33" s="205"/>
      <c r="G33" s="204"/>
    </row>
    <row r="34" spans="4:7" s="152" customFormat="1" ht="21" x14ac:dyDescent="0.35">
      <c r="D34" s="204"/>
      <c r="E34" s="204"/>
      <c r="F34" s="205"/>
      <c r="G34" s="204"/>
    </row>
    <row r="35" spans="4:7" s="152" customFormat="1" ht="21" x14ac:dyDescent="0.35">
      <c r="D35" s="204"/>
      <c r="E35" s="204"/>
      <c r="F35" s="205"/>
      <c r="G35" s="204"/>
    </row>
    <row r="36" spans="4:7" s="152" customFormat="1" ht="21" x14ac:dyDescent="0.35">
      <c r="D36" s="204"/>
      <c r="E36" s="204"/>
      <c r="F36" s="205"/>
      <c r="G36" s="204"/>
    </row>
    <row r="37" spans="4:7" s="152" customFormat="1" ht="21" x14ac:dyDescent="0.35">
      <c r="D37" s="204"/>
      <c r="E37" s="204"/>
      <c r="F37" s="205"/>
      <c r="G37" s="204"/>
    </row>
    <row r="38" spans="4:7" s="152" customFormat="1" ht="21" x14ac:dyDescent="0.35">
      <c r="D38" s="204"/>
      <c r="E38" s="204"/>
      <c r="F38" s="205"/>
      <c r="G38" s="204"/>
    </row>
    <row r="39" spans="4:7" s="152" customFormat="1" ht="21" x14ac:dyDescent="0.35">
      <c r="D39" s="204"/>
      <c r="E39" s="204"/>
      <c r="F39" s="205"/>
      <c r="G39" s="204"/>
    </row>
    <row r="40" spans="4:7" s="152" customFormat="1" ht="21" x14ac:dyDescent="0.35">
      <c r="D40" s="204"/>
      <c r="E40" s="204"/>
      <c r="F40" s="205"/>
      <c r="G40" s="204"/>
    </row>
    <row r="41" spans="4:7" s="152" customFormat="1" ht="21" x14ac:dyDescent="0.35">
      <c r="D41" s="204"/>
      <c r="E41" s="204"/>
      <c r="F41" s="205"/>
      <c r="G41" s="204"/>
    </row>
  </sheetData>
  <sheetProtection sheet="1" formatCells="0" formatColumns="0" formatRows="0"/>
  <mergeCells count="10">
    <mergeCell ref="B26:B29"/>
    <mergeCell ref="C26:E26"/>
    <mergeCell ref="C27:E27"/>
    <mergeCell ref="C28:E28"/>
    <mergeCell ref="C29:E29"/>
    <mergeCell ref="E7:E10"/>
    <mergeCell ref="B23:B25"/>
    <mergeCell ref="C23:E23"/>
    <mergeCell ref="C24:E24"/>
    <mergeCell ref="C25:E25"/>
  </mergeCells>
  <conditionalFormatting sqref="F8:G8 F10:G10">
    <cfRule type="cellIs" dxfId="31" priority="6" operator="equal">
      <formula>0</formula>
    </cfRule>
  </conditionalFormatting>
  <conditionalFormatting sqref="G16">
    <cfRule type="cellIs" dxfId="30" priority="5" operator="lessThan">
      <formula>0</formula>
    </cfRule>
  </conditionalFormatting>
  <conditionalFormatting sqref="G12 G8 G10">
    <cfRule type="cellIs" dxfId="29" priority="4" operator="greaterThan">
      <formula>0</formula>
    </cfRule>
  </conditionalFormatting>
  <conditionalFormatting sqref="E14">
    <cfRule type="cellIs" dxfId="28" priority="3" operator="notEqual">
      <formula>TAB4_TOTAL_RW</formula>
    </cfRule>
  </conditionalFormatting>
  <conditionalFormatting sqref="G18">
    <cfRule type="expression" dxfId="27" priority="7">
      <formula>G18&lt;&gt;SUM(#REF!)</formula>
    </cfRule>
  </conditionalFormatting>
  <conditionalFormatting sqref="G14">
    <cfRule type="cellIs" dxfId="26" priority="2" operator="greaterThan">
      <formula>$E$14</formula>
    </cfRule>
  </conditionalFormatting>
  <conditionalFormatting sqref="F27:F28">
    <cfRule type="cellIs" dxfId="25" priority="1" operator="lessThan">
      <formula>0</formula>
    </cfRule>
  </conditionalFormatting>
  <dataValidations count="2">
    <dataValidation allowBlank="1" showInputMessage="1" showErrorMessage="1" prompt="Encodez dans la cellule C24 le montant liquidé par les/les  DC remise(s) précemement (à compléter uniqument si vous avez introduit des DC intermédiaires)." sqref="F24" xr:uid="{E17A3F39-1876-40D0-910F-6A02319CF03E}"/>
    <dataValidation allowBlank="1" showInputMessage="1" showErrorMessage="1" prompt="Encodez dans la cellule C23 le montant justifié par les/les  DC remise(s) précemement (à compléter uniqument si vous avez introduit des DC intermédiaires)." sqref="F23" xr:uid="{CCE7F166-D18D-40BE-8F1A-A0AC51E04BBB}"/>
  </dataValidations>
  <pageMargins left="0.19685039370078741" right="0.19685039370078741" top="0.39370078740157483" bottom="0.39370078740157483" header="0" footer="0"/>
  <pageSetup paperSize="9" scale="69" orientation="landscape" horizontalDpi="300" verticalDpi="300" r:id="rId1"/>
  <headerFooter>
    <oddHeader>&amp;F</oddHeader>
    <oddFooter>&amp;C&amp;A&amp;R&amp;P/&amp;N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7F90-804F-46F0-84AF-E00F6546DA99}">
  <sheetPr>
    <tabColor theme="0"/>
  </sheetPr>
  <dimension ref="A1:T61"/>
  <sheetViews>
    <sheetView zoomScale="70" zoomScaleNormal="7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A30" sqref="A30:XFD30"/>
    </sheetView>
  </sheetViews>
  <sheetFormatPr baseColWidth="10" defaultColWidth="11.42578125" defaultRowHeight="15" x14ac:dyDescent="0.25"/>
  <cols>
    <col min="1" max="1" width="59.7109375" customWidth="1"/>
    <col min="2" max="2" width="43.7109375" bestFit="1" customWidth="1"/>
    <col min="3" max="3" width="19.5703125" style="88" bestFit="1" customWidth="1"/>
    <col min="4" max="4" width="17.28515625" style="94" customWidth="1"/>
    <col min="5" max="5" width="16.28515625" style="94" customWidth="1"/>
    <col min="6" max="6" width="43.7109375" style="94" customWidth="1"/>
    <col min="7" max="7" width="13.140625" style="94" bestFit="1" customWidth="1"/>
    <col min="8" max="8" width="20" style="67" bestFit="1" customWidth="1"/>
    <col min="9" max="9" width="13.7109375" style="67" customWidth="1"/>
    <col min="10" max="10" width="17.5703125" style="67" bestFit="1" customWidth="1"/>
    <col min="11" max="11" width="16.140625" style="67" bestFit="1" customWidth="1"/>
    <col min="12" max="12" width="9.5703125" style="67" customWidth="1"/>
    <col min="13" max="13" width="12" style="67" customWidth="1"/>
    <col min="14" max="14" width="38.42578125" customWidth="1"/>
    <col min="15" max="15" width="31.140625" customWidth="1"/>
    <col min="16" max="16" width="5.42578125" customWidth="1"/>
    <col min="17" max="17" width="27.85546875" bestFit="1" customWidth="1"/>
    <col min="18" max="18" width="29.5703125" bestFit="1" customWidth="1"/>
    <col min="19" max="19" width="18.28515625" customWidth="1"/>
    <col min="20" max="20" width="51.7109375" bestFit="1" customWidth="1"/>
  </cols>
  <sheetData>
    <row r="1" spans="1:20" s="90" customFormat="1" ht="30" x14ac:dyDescent="0.25">
      <c r="A1" s="326" t="s">
        <v>723</v>
      </c>
      <c r="B1" s="90" t="s">
        <v>17</v>
      </c>
      <c r="C1" s="91" t="s">
        <v>306</v>
      </c>
      <c r="D1" s="92" t="s">
        <v>307</v>
      </c>
      <c r="E1" s="92" t="s">
        <v>165</v>
      </c>
      <c r="F1" s="92" t="s">
        <v>715</v>
      </c>
      <c r="G1" s="92" t="s">
        <v>654</v>
      </c>
      <c r="H1" s="322" t="s">
        <v>308</v>
      </c>
      <c r="I1" s="93" t="s">
        <v>309</v>
      </c>
      <c r="J1" s="93" t="s">
        <v>310</v>
      </c>
      <c r="K1" s="93" t="s">
        <v>311</v>
      </c>
      <c r="L1" s="93" t="s">
        <v>312</v>
      </c>
      <c r="M1" s="313" t="s">
        <v>428</v>
      </c>
      <c r="N1" s="90" t="s">
        <v>313</v>
      </c>
      <c r="O1" s="90" t="s">
        <v>520</v>
      </c>
      <c r="P1" s="90" t="s">
        <v>314</v>
      </c>
      <c r="Q1" s="90" t="s">
        <v>315</v>
      </c>
      <c r="R1" s="90" t="s">
        <v>316</v>
      </c>
      <c r="S1" s="90" t="s">
        <v>317</v>
      </c>
      <c r="T1" s="90" t="s">
        <v>318</v>
      </c>
    </row>
    <row r="2" spans="1:20" x14ac:dyDescent="0.25">
      <c r="A2" s="324" t="str">
        <f>_xlfn.CONCAT(t_projet_21[[#This Row],[Sélectionner Commune/Supra]]," ",t_projet_21[[#This Row],[Thématique]])</f>
        <v>Amay 5 - Préfinancement audit logement</v>
      </c>
      <c r="B2" t="s">
        <v>320</v>
      </c>
      <c r="C2" s="88" t="s">
        <v>454</v>
      </c>
      <c r="D2" s="94">
        <v>60000</v>
      </c>
      <c r="E2" s="94">
        <f>t_projet_21[[#This Row],[Montant du subside ]]*0.8</f>
        <v>48000</v>
      </c>
      <c r="F2" s="94" t="s">
        <v>716</v>
      </c>
      <c r="G2" s="94" t="s">
        <v>657</v>
      </c>
      <c r="H2" s="67" t="s">
        <v>728</v>
      </c>
      <c r="I2" s="67" t="s">
        <v>457</v>
      </c>
      <c r="J2" s="67" t="s">
        <v>506</v>
      </c>
      <c r="K2" s="67" t="s">
        <v>649</v>
      </c>
      <c r="L2" s="67" t="s">
        <v>508</v>
      </c>
      <c r="M2" s="231">
        <v>500070347</v>
      </c>
      <c r="N2" t="s">
        <v>528</v>
      </c>
      <c r="O2" s="315" t="s">
        <v>529</v>
      </c>
      <c r="P2" t="s">
        <v>530</v>
      </c>
      <c r="Q2" t="s">
        <v>320</v>
      </c>
      <c r="R2" t="s">
        <v>405</v>
      </c>
      <c r="S2" s="89" t="s">
        <v>409</v>
      </c>
      <c r="T2" t="str">
        <f t="shared" ref="T2:T33" si="0">CONCATENATE(R2,K2,S2)</f>
        <v>Arrêté ministériel POLLEC 2021_P21_MOB2 du 13-12-2021</v>
      </c>
    </row>
    <row r="3" spans="1:20" x14ac:dyDescent="0.25">
      <c r="A3" s="325" t="str">
        <f>_xlfn.CONCAT(t_projet_21[[#This Row],[Sélectionner Commune/Supra]]," ",t_projet_21[[#This Row],[Thématique]])</f>
        <v>Andenne 12 - Mobilisation PME énergie</v>
      </c>
      <c r="B3" t="s">
        <v>322</v>
      </c>
      <c r="C3" s="88" t="s">
        <v>454</v>
      </c>
      <c r="D3" s="94">
        <v>59268</v>
      </c>
      <c r="E3" s="94">
        <f>t_projet_21[[#This Row],[Montant du subside ]]*0.8</f>
        <v>47414.400000000001</v>
      </c>
      <c r="F3" s="94" t="s">
        <v>722</v>
      </c>
      <c r="G3" s="94" t="s">
        <v>708</v>
      </c>
      <c r="H3" s="67" t="s">
        <v>770</v>
      </c>
      <c r="I3" s="67" t="s">
        <v>498</v>
      </c>
      <c r="J3" s="67" t="s">
        <v>503</v>
      </c>
      <c r="K3" s="67" t="s">
        <v>650</v>
      </c>
      <c r="L3" s="67" t="s">
        <v>509</v>
      </c>
      <c r="M3" s="231">
        <v>500070346</v>
      </c>
      <c r="N3" t="s">
        <v>638</v>
      </c>
      <c r="O3" s="315" t="s">
        <v>639</v>
      </c>
      <c r="P3" t="s">
        <v>640</v>
      </c>
      <c r="Q3" t="s">
        <v>322</v>
      </c>
      <c r="R3" t="s">
        <v>405</v>
      </c>
      <c r="S3" s="89" t="s">
        <v>409</v>
      </c>
      <c r="T3" t="str">
        <f t="shared" si="0"/>
        <v>Arrêté ministériel POLLEC 2021_P21_MOB1 du 13-12-2021</v>
      </c>
    </row>
    <row r="4" spans="1:20" x14ac:dyDescent="0.25">
      <c r="A4" s="325" t="str">
        <f>_xlfn.CONCAT(t_projet_21[[#This Row],[Sélectionner Commune/Supra]]," ",t_projet_21[[#This Row],[Thématique]])</f>
        <v>Ath 5 - Préfinancement audit logement</v>
      </c>
      <c r="B4" t="s">
        <v>325</v>
      </c>
      <c r="C4" s="88" t="s">
        <v>454</v>
      </c>
      <c r="D4" s="94">
        <v>47919.519999999997</v>
      </c>
      <c r="E4" s="94">
        <f>t_projet_21[[#This Row],[Montant du subside ]]*0.8</f>
        <v>38335.620000000003</v>
      </c>
      <c r="F4" s="94" t="s">
        <v>716</v>
      </c>
      <c r="G4" s="94" t="s">
        <v>674</v>
      </c>
      <c r="H4" s="67" t="s">
        <v>741</v>
      </c>
      <c r="I4" s="67" t="s">
        <v>470</v>
      </c>
      <c r="J4" s="67" t="s">
        <v>503</v>
      </c>
      <c r="K4" s="67" t="s">
        <v>649</v>
      </c>
      <c r="L4" s="67" t="s">
        <v>508</v>
      </c>
      <c r="M4" s="231">
        <v>500070347</v>
      </c>
      <c r="N4" t="s">
        <v>574</v>
      </c>
      <c r="O4" s="315" t="s">
        <v>575</v>
      </c>
      <c r="P4" t="s">
        <v>576</v>
      </c>
      <c r="Q4" t="s">
        <v>325</v>
      </c>
      <c r="R4" t="s">
        <v>405</v>
      </c>
      <c r="S4" s="89" t="s">
        <v>409</v>
      </c>
      <c r="T4" t="str">
        <f t="shared" si="0"/>
        <v>Arrêté ministériel POLLEC 2021_P21_MOB2 du 13-12-2021</v>
      </c>
    </row>
    <row r="5" spans="1:20" x14ac:dyDescent="0.25">
      <c r="A5" s="325" t="str">
        <f>_xlfn.CONCAT(t_projet_21[[#This Row],[Sélectionner Commune/Supra]]," ",t_projet_21[[#This Row],[Thématique]])</f>
        <v>Bertrix 13 - Mobilisation écoles énergie</v>
      </c>
      <c r="B5" t="s">
        <v>326</v>
      </c>
      <c r="C5" s="88" t="s">
        <v>454</v>
      </c>
      <c r="D5" s="94">
        <v>45364</v>
      </c>
      <c r="E5" s="94">
        <f>t_projet_21[[#This Row],[Montant du subside ]]*0.8</f>
        <v>36291.199999999997</v>
      </c>
      <c r="F5" s="94" t="s">
        <v>717</v>
      </c>
      <c r="G5" s="94" t="s">
        <v>667</v>
      </c>
      <c r="H5" s="67" t="s">
        <v>732</v>
      </c>
      <c r="I5" s="67" t="s">
        <v>461</v>
      </c>
      <c r="J5" s="67" t="s">
        <v>506</v>
      </c>
      <c r="K5" s="67" t="s">
        <v>650</v>
      </c>
      <c r="L5" s="67" t="s">
        <v>509</v>
      </c>
      <c r="M5" s="67">
        <v>500070346</v>
      </c>
      <c r="N5" t="s">
        <v>541</v>
      </c>
      <c r="O5" s="315" t="s">
        <v>542</v>
      </c>
      <c r="P5" t="s">
        <v>543</v>
      </c>
      <c r="Q5" t="s">
        <v>326</v>
      </c>
      <c r="R5" t="s">
        <v>405</v>
      </c>
      <c r="S5" s="89" t="s">
        <v>409</v>
      </c>
      <c r="T5" t="str">
        <f t="shared" si="0"/>
        <v>Arrêté ministériel POLLEC 2021_P21_MOB1 du 13-12-2021</v>
      </c>
    </row>
    <row r="6" spans="1:20" x14ac:dyDescent="0.25">
      <c r="A6" s="324" t="str">
        <f>_xlfn.CONCAT(t_projet_21[[#This Row],[Sélectionner Commune/Supra]]," ",t_projet_21[[#This Row],[Thématique]])</f>
        <v>Bertrix 5 - Préfinancement audit logement</v>
      </c>
      <c r="B6" t="s">
        <v>326</v>
      </c>
      <c r="C6" s="88" t="s">
        <v>454</v>
      </c>
      <c r="D6" s="94">
        <v>56320</v>
      </c>
      <c r="E6" s="94">
        <f>t_projet_21[[#This Row],[Montant du subside ]]*0.8</f>
        <v>45056</v>
      </c>
      <c r="F6" s="94" t="s">
        <v>716</v>
      </c>
      <c r="G6" s="94" t="s">
        <v>661</v>
      </c>
      <c r="H6" s="67" t="s">
        <v>732</v>
      </c>
      <c r="I6" s="67" t="s">
        <v>461</v>
      </c>
      <c r="J6" s="67" t="s">
        <v>506</v>
      </c>
      <c r="K6" s="67" t="s">
        <v>649</v>
      </c>
      <c r="L6" s="67" t="s">
        <v>508</v>
      </c>
      <c r="M6" s="231">
        <v>500070347</v>
      </c>
      <c r="N6" t="s">
        <v>541</v>
      </c>
      <c r="O6" s="315" t="s">
        <v>542</v>
      </c>
      <c r="P6" t="s">
        <v>543</v>
      </c>
      <c r="Q6" t="s">
        <v>326</v>
      </c>
      <c r="R6" t="s">
        <v>405</v>
      </c>
      <c r="S6" s="89" t="s">
        <v>409</v>
      </c>
      <c r="T6" t="str">
        <f t="shared" si="0"/>
        <v>Arrêté ministériel POLLEC 2021_P21_MOB2 du 13-12-2021</v>
      </c>
    </row>
    <row r="7" spans="1:20" x14ac:dyDescent="0.25">
      <c r="A7" s="325" t="str">
        <f>_xlfn.CONCAT(t_projet_21[[#This Row],[Sélectionner Commune/Supra]]," ",t_projet_21[[#This Row],[Thématique]])</f>
        <v>Braine-le-Château 5 - Préfinancement audit logement</v>
      </c>
      <c r="B7" t="s">
        <v>327</v>
      </c>
      <c r="C7" s="88" t="s">
        <v>454</v>
      </c>
      <c r="D7" s="94">
        <v>60000</v>
      </c>
      <c r="E7" s="94">
        <f>t_projet_21[[#This Row],[Montant du subside ]]*0.8</f>
        <v>48000</v>
      </c>
      <c r="F7" s="94" t="s">
        <v>716</v>
      </c>
      <c r="G7" s="94" t="s">
        <v>688</v>
      </c>
      <c r="H7" s="67" t="s">
        <v>755</v>
      </c>
      <c r="I7" s="67" t="s">
        <v>483</v>
      </c>
      <c r="J7" s="67" t="s">
        <v>506</v>
      </c>
      <c r="K7" s="67" t="s">
        <v>649</v>
      </c>
      <c r="L7" s="67" t="s">
        <v>508</v>
      </c>
      <c r="M7" s="231">
        <v>500070347</v>
      </c>
      <c r="N7" t="s">
        <v>607</v>
      </c>
      <c r="O7" s="315" t="s">
        <v>548</v>
      </c>
      <c r="P7" t="s">
        <v>608</v>
      </c>
      <c r="Q7" t="s">
        <v>327</v>
      </c>
      <c r="R7" t="s">
        <v>405</v>
      </c>
      <c r="S7" s="89" t="s">
        <v>409</v>
      </c>
      <c r="T7" t="str">
        <f t="shared" si="0"/>
        <v>Arrêté ministériel POLLEC 2021_P21_MOB2 du 13-12-2021</v>
      </c>
    </row>
    <row r="8" spans="1:20" x14ac:dyDescent="0.25">
      <c r="A8" s="324" t="str">
        <f>_xlfn.CONCAT(t_projet_21[[#This Row],[Sélectionner Commune/Supra]]," ",t_projet_21[[#This Row],[Thématique]])</f>
        <v>Braives 3 - Mobilisation citoyenne énergie</v>
      </c>
      <c r="B8" t="s">
        <v>328</v>
      </c>
      <c r="C8" s="88" t="s">
        <v>454</v>
      </c>
      <c r="D8" s="94">
        <v>60000</v>
      </c>
      <c r="E8" s="94">
        <f>t_projet_21[[#This Row],[Montant du subside ]]*0.8</f>
        <v>48000</v>
      </c>
      <c r="F8" s="94" t="s">
        <v>718</v>
      </c>
      <c r="G8" s="94" t="s">
        <v>676</v>
      </c>
      <c r="H8" s="67" t="s">
        <v>742</v>
      </c>
      <c r="I8" s="67" t="s">
        <v>471</v>
      </c>
      <c r="J8" s="67" t="s">
        <v>506</v>
      </c>
      <c r="K8" s="67" t="s">
        <v>650</v>
      </c>
      <c r="L8" s="67" t="s">
        <v>509</v>
      </c>
      <c r="M8" s="67">
        <v>500070346</v>
      </c>
      <c r="N8" t="s">
        <v>577</v>
      </c>
      <c r="O8" s="315" t="s">
        <v>536</v>
      </c>
      <c r="P8" t="s">
        <v>578</v>
      </c>
      <c r="Q8" t="s">
        <v>328</v>
      </c>
      <c r="R8" t="s">
        <v>405</v>
      </c>
      <c r="S8" s="89" t="s">
        <v>409</v>
      </c>
      <c r="T8" t="str">
        <f t="shared" si="0"/>
        <v>Arrêté ministériel POLLEC 2021_P21_MOB1 du 13-12-2021</v>
      </c>
    </row>
    <row r="9" spans="1:20" x14ac:dyDescent="0.25">
      <c r="A9" s="325" t="str">
        <f>_xlfn.CONCAT(t_projet_21[[#This Row],[Sélectionner Commune/Supra]]," ",t_projet_21[[#This Row],[Thématique]])</f>
        <v>Braives 4 - Chantiers participatifs auto-isolation</v>
      </c>
      <c r="B9" t="s">
        <v>328</v>
      </c>
      <c r="C9" s="88" t="s">
        <v>454</v>
      </c>
      <c r="D9" s="94">
        <v>60000</v>
      </c>
      <c r="E9" s="94">
        <f>t_projet_21[[#This Row],[Montant du subside ]]*0.8</f>
        <v>48000</v>
      </c>
      <c r="F9" s="94" t="s">
        <v>720</v>
      </c>
      <c r="G9" s="94" t="s">
        <v>675</v>
      </c>
      <c r="H9" s="67" t="s">
        <v>742</v>
      </c>
      <c r="I9" s="67" t="s">
        <v>471</v>
      </c>
      <c r="J9" s="67" t="s">
        <v>507</v>
      </c>
      <c r="K9" s="67" t="s">
        <v>650</v>
      </c>
      <c r="L9" s="67" t="s">
        <v>509</v>
      </c>
      <c r="M9" s="231">
        <v>500070346</v>
      </c>
      <c r="N9" t="s">
        <v>577</v>
      </c>
      <c r="O9" s="315" t="s">
        <v>536</v>
      </c>
      <c r="P9" t="s">
        <v>578</v>
      </c>
      <c r="Q9" t="s">
        <v>328</v>
      </c>
      <c r="R9" t="s">
        <v>405</v>
      </c>
      <c r="S9" s="89" t="s">
        <v>409</v>
      </c>
      <c r="T9" t="str">
        <f t="shared" si="0"/>
        <v>Arrêté ministériel POLLEC 2021_P21_MOB1 du 13-12-2021</v>
      </c>
    </row>
    <row r="10" spans="1:20" x14ac:dyDescent="0.25">
      <c r="A10" s="325" t="str">
        <f>_xlfn.CONCAT(t_projet_21[[#This Row],[Sélectionner Commune/Supra]]," ",t_projet_21[[#This Row],[Thématique]])</f>
        <v>Burdinne 3 - Mobilisation citoyenne énergie</v>
      </c>
      <c r="B10" t="s">
        <v>399</v>
      </c>
      <c r="C10" s="88" t="s">
        <v>454</v>
      </c>
      <c r="D10" s="94">
        <v>48407</v>
      </c>
      <c r="E10" s="94">
        <f>t_projet_21[[#This Row],[Montant du subside ]]*0.8</f>
        <v>38725.599999999999</v>
      </c>
      <c r="F10" s="94" t="s">
        <v>718</v>
      </c>
      <c r="G10" s="94" t="s">
        <v>687</v>
      </c>
      <c r="H10" s="67" t="s">
        <v>407</v>
      </c>
      <c r="I10" s="67" t="s">
        <v>403</v>
      </c>
      <c r="J10" s="67" t="s">
        <v>503</v>
      </c>
      <c r="K10" s="67" t="s">
        <v>650</v>
      </c>
      <c r="L10" s="67" t="s">
        <v>509</v>
      </c>
      <c r="M10" s="231">
        <v>500070346</v>
      </c>
      <c r="N10" t="s">
        <v>590</v>
      </c>
      <c r="O10" s="315" t="s">
        <v>570</v>
      </c>
      <c r="P10" t="s">
        <v>591</v>
      </c>
      <c r="Q10" t="s">
        <v>399</v>
      </c>
      <c r="R10" t="s">
        <v>405</v>
      </c>
      <c r="S10" s="89" t="s">
        <v>409</v>
      </c>
      <c r="T10" t="str">
        <f t="shared" si="0"/>
        <v>Arrêté ministériel POLLEC 2021_P21_MOB1 du 13-12-2021</v>
      </c>
    </row>
    <row r="11" spans="1:20" x14ac:dyDescent="0.25">
      <c r="A11" s="324" t="str">
        <f>_xlfn.CONCAT(t_projet_21[[#This Row],[Sélectionner Commune/Supra]]," ",t_projet_21[[#This Row],[Thématique]])</f>
        <v>Chapelle-lez-Herlaimont 5 - Préfinancement audit logement</v>
      </c>
      <c r="B11" t="s">
        <v>330</v>
      </c>
      <c r="C11" s="88" t="s">
        <v>454</v>
      </c>
      <c r="D11" s="94">
        <v>60000</v>
      </c>
      <c r="E11" s="94">
        <f>t_projet_21[[#This Row],[Montant du subside ]]*0.8</f>
        <v>48000</v>
      </c>
      <c r="F11" s="94" t="s">
        <v>716</v>
      </c>
      <c r="G11" s="94" t="s">
        <v>656</v>
      </c>
      <c r="H11" s="67" t="s">
        <v>727</v>
      </c>
      <c r="I11" s="67" t="s">
        <v>456</v>
      </c>
      <c r="J11" s="67" t="s">
        <v>506</v>
      </c>
      <c r="K11" s="67" t="s">
        <v>649</v>
      </c>
      <c r="L11" s="67" t="s">
        <v>508</v>
      </c>
      <c r="M11" s="231">
        <v>500070347</v>
      </c>
      <c r="N11" t="s">
        <v>525</v>
      </c>
      <c r="O11" s="315" t="s">
        <v>526</v>
      </c>
      <c r="P11" t="s">
        <v>527</v>
      </c>
      <c r="Q11" t="s">
        <v>330</v>
      </c>
      <c r="R11" t="s">
        <v>405</v>
      </c>
      <c r="S11" s="89" t="s">
        <v>409</v>
      </c>
      <c r="T11" t="str">
        <f t="shared" si="0"/>
        <v>Arrêté ministériel POLLEC 2021_P21_MOB2 du 13-12-2021</v>
      </c>
    </row>
    <row r="12" spans="1:20" x14ac:dyDescent="0.25">
      <c r="A12" s="325" t="str">
        <f>_xlfn.CONCAT(t_projet_21[[#This Row],[Sélectionner Commune/Supra]]," ",t_projet_21[[#This Row],[Thématique]])</f>
        <v>Charleroi 5 - Préfinancement audit logement</v>
      </c>
      <c r="B12" t="s">
        <v>331</v>
      </c>
      <c r="C12" s="88" t="s">
        <v>454</v>
      </c>
      <c r="D12" s="94">
        <v>60000</v>
      </c>
      <c r="E12" s="94">
        <f>t_projet_21[[#This Row],[Montant du subside ]]*0.8</f>
        <v>48000</v>
      </c>
      <c r="F12" s="94" t="s">
        <v>716</v>
      </c>
      <c r="G12" s="94" t="s">
        <v>680</v>
      </c>
      <c r="H12" s="67" t="s">
        <v>747</v>
      </c>
      <c r="I12" s="67" t="s">
        <v>476</v>
      </c>
      <c r="J12" s="67" t="s">
        <v>506</v>
      </c>
      <c r="K12" s="67" t="s">
        <v>649</v>
      </c>
      <c r="L12" s="67" t="s">
        <v>508</v>
      </c>
      <c r="M12" s="231">
        <v>500070347</v>
      </c>
      <c r="N12" t="s">
        <v>588</v>
      </c>
      <c r="O12" s="315" t="s">
        <v>566</v>
      </c>
      <c r="P12" t="s">
        <v>589</v>
      </c>
      <c r="Q12" t="s">
        <v>331</v>
      </c>
      <c r="R12" t="s">
        <v>405</v>
      </c>
      <c r="S12" s="89" t="s">
        <v>409</v>
      </c>
      <c r="T12" t="str">
        <f t="shared" si="0"/>
        <v>Arrêté ministériel POLLEC 2021_P21_MOB2 du 13-12-2021</v>
      </c>
    </row>
    <row r="13" spans="1:20" x14ac:dyDescent="0.25">
      <c r="A13" s="325" t="str">
        <f>_xlfn.CONCAT(t_projet_21[[#This Row],[Sélectionner Commune/Supra]]," ",t_projet_21[[#This Row],[Thématique]])</f>
        <v>Chastre 5 - Préfinancement audit logement</v>
      </c>
      <c r="B13" t="s">
        <v>450</v>
      </c>
      <c r="C13" s="88" t="s">
        <v>454</v>
      </c>
      <c r="D13" s="94">
        <v>52800</v>
      </c>
      <c r="E13" s="94">
        <f>t_projet_21[[#This Row],[Montant du subside ]]*0.8</f>
        <v>42240</v>
      </c>
      <c r="F13" s="94" t="s">
        <v>716</v>
      </c>
      <c r="G13" s="94" t="s">
        <v>707</v>
      </c>
      <c r="H13" s="67" t="s">
        <v>769</v>
      </c>
      <c r="I13" s="67" t="s">
        <v>497</v>
      </c>
      <c r="J13" s="67" t="s">
        <v>506</v>
      </c>
      <c r="K13" s="67" t="s">
        <v>649</v>
      </c>
      <c r="L13" s="67" t="s">
        <v>508</v>
      </c>
      <c r="M13" s="231">
        <v>500070347</v>
      </c>
      <c r="N13" t="s">
        <v>635</v>
      </c>
      <c r="O13" s="315" t="s">
        <v>636</v>
      </c>
      <c r="P13" t="s">
        <v>637</v>
      </c>
      <c r="Q13" t="s">
        <v>450</v>
      </c>
      <c r="R13" t="s">
        <v>405</v>
      </c>
      <c r="S13" s="89" t="s">
        <v>409</v>
      </c>
      <c r="T13" t="str">
        <f t="shared" si="0"/>
        <v>Arrêté ministériel POLLEC 2021_P21_MOB2 du 13-12-2021</v>
      </c>
    </row>
    <row r="14" spans="1:20" x14ac:dyDescent="0.25">
      <c r="A14" s="324" t="str">
        <f>_xlfn.CONCAT(t_projet_21[[#This Row],[Sélectionner Commune/Supra]]," ",t_projet_21[[#This Row],[Thématique]])</f>
        <v>Couvin 3 - Mobilisation citoyenne énergie</v>
      </c>
      <c r="B14" t="s">
        <v>332</v>
      </c>
      <c r="C14" s="88" t="s">
        <v>454</v>
      </c>
      <c r="D14" s="94">
        <v>47640.84</v>
      </c>
      <c r="E14" s="94">
        <f>t_projet_21[[#This Row],[Montant du subside ]]*0.8</f>
        <v>38112.67</v>
      </c>
      <c r="F14" s="94" t="s">
        <v>718</v>
      </c>
      <c r="G14" s="94" t="s">
        <v>662</v>
      </c>
      <c r="H14" s="67" t="s">
        <v>733</v>
      </c>
      <c r="I14" s="67" t="s">
        <v>462</v>
      </c>
      <c r="J14" s="67" t="s">
        <v>506</v>
      </c>
      <c r="K14" s="67" t="s">
        <v>650</v>
      </c>
      <c r="L14" s="67" t="s">
        <v>509</v>
      </c>
      <c r="M14" s="231">
        <v>500070346</v>
      </c>
      <c r="N14" t="s">
        <v>544</v>
      </c>
      <c r="O14" s="315" t="s">
        <v>545</v>
      </c>
      <c r="P14" t="s">
        <v>546</v>
      </c>
      <c r="Q14" t="s">
        <v>332</v>
      </c>
      <c r="R14" t="s">
        <v>405</v>
      </c>
      <c r="S14" s="89" t="s">
        <v>409</v>
      </c>
      <c r="T14" t="str">
        <f t="shared" si="0"/>
        <v>Arrêté ministériel POLLEC 2021_P21_MOB1 du 13-12-2021</v>
      </c>
    </row>
    <row r="15" spans="1:20" x14ac:dyDescent="0.25">
      <c r="A15" s="325" t="str">
        <f>_xlfn.CONCAT(t_projet_21[[#This Row],[Sélectionner Commune/Supra]]," ",t_projet_21[[#This Row],[Thématique]])</f>
        <v>Culturalité en Hesbaye brabançonne 3 - Mobilisation citoyenne énergie</v>
      </c>
      <c r="B15" t="s">
        <v>452</v>
      </c>
      <c r="C15" s="88" t="s">
        <v>454</v>
      </c>
      <c r="D15" s="94">
        <v>100000</v>
      </c>
      <c r="E15" s="94">
        <f>t_projet_21[[#This Row],[Montant du subside ]]*0.8</f>
        <v>80000</v>
      </c>
      <c r="F15" s="94" t="s">
        <v>718</v>
      </c>
      <c r="G15" s="94" t="s">
        <v>711</v>
      </c>
      <c r="H15" s="67" t="s">
        <v>773</v>
      </c>
      <c r="I15" s="67" t="s">
        <v>501</v>
      </c>
      <c r="J15" s="67" t="s">
        <v>506</v>
      </c>
      <c r="L15" s="67" t="s">
        <v>511</v>
      </c>
      <c r="M15" s="231">
        <v>500070332</v>
      </c>
      <c r="N15" t="s">
        <v>643</v>
      </c>
      <c r="O15" s="315">
        <v>36</v>
      </c>
      <c r="P15">
        <v>1370</v>
      </c>
      <c r="Q15" t="s">
        <v>644</v>
      </c>
      <c r="R15" t="s">
        <v>405</v>
      </c>
      <c r="S15" s="89" t="s">
        <v>409</v>
      </c>
      <c r="T15" t="str">
        <f t="shared" si="0"/>
        <v>Arrêté ministériel POLLEC 2021_ du 13-12-2021</v>
      </c>
    </row>
    <row r="16" spans="1:20" x14ac:dyDescent="0.25">
      <c r="A16" s="325" t="str">
        <f>_xlfn.CONCAT(t_projet_21[[#This Row],[Sélectionner Commune/Supra]]," ",t_projet_21[[#This Row],[Thématique]])</f>
        <v>Ecaussinnes 5 - Préfinancement audit logement</v>
      </c>
      <c r="B16" t="s">
        <v>334</v>
      </c>
      <c r="C16" s="88" t="s">
        <v>454</v>
      </c>
      <c r="D16" s="94">
        <v>60000</v>
      </c>
      <c r="E16" s="94">
        <f>t_projet_21[[#This Row],[Montant du subside ]]*0.8</f>
        <v>48000</v>
      </c>
      <c r="F16" s="94" t="s">
        <v>716</v>
      </c>
      <c r="G16" s="94" t="s">
        <v>681</v>
      </c>
      <c r="H16" s="67" t="s">
        <v>748</v>
      </c>
      <c r="I16" s="67" t="s">
        <v>477</v>
      </c>
      <c r="J16" s="67" t="s">
        <v>507</v>
      </c>
      <c r="K16" s="67" t="s">
        <v>649</v>
      </c>
      <c r="L16" s="67" t="s">
        <v>508</v>
      </c>
      <c r="M16" s="231">
        <v>500070347</v>
      </c>
      <c r="N16" t="s">
        <v>552</v>
      </c>
      <c r="O16" s="315" t="s">
        <v>570</v>
      </c>
      <c r="P16" t="s">
        <v>592</v>
      </c>
      <c r="Q16" t="s">
        <v>334</v>
      </c>
      <c r="R16" t="s">
        <v>405</v>
      </c>
      <c r="S16" s="89" t="s">
        <v>409</v>
      </c>
      <c r="T16" t="str">
        <f t="shared" si="0"/>
        <v>Arrêté ministériel POLLEC 2021_P21_MOB2 du 13-12-2021</v>
      </c>
    </row>
    <row r="17" spans="1:20" x14ac:dyDescent="0.25">
      <c r="A17" s="324" t="str">
        <f>_xlfn.CONCAT(t_projet_21[[#This Row],[Sélectionner Commune/Supra]]," ",t_projet_21[[#This Row],[Thématique]])</f>
        <v>Eghezée 5 - Préfinancement audit logement</v>
      </c>
      <c r="B17" t="s">
        <v>335</v>
      </c>
      <c r="C17" s="88" t="s">
        <v>454</v>
      </c>
      <c r="D17" s="94">
        <v>60000</v>
      </c>
      <c r="E17" s="94">
        <f>t_projet_21[[#This Row],[Montant du subside ]]*0.8</f>
        <v>48000</v>
      </c>
      <c r="F17" s="94" t="s">
        <v>716</v>
      </c>
      <c r="G17" s="94" t="s">
        <v>658</v>
      </c>
      <c r="H17" s="67" t="s">
        <v>729</v>
      </c>
      <c r="I17" s="67" t="s">
        <v>458</v>
      </c>
      <c r="J17" s="67" t="s">
        <v>507</v>
      </c>
      <c r="K17" s="67" t="s">
        <v>649</v>
      </c>
      <c r="L17" s="67" t="s">
        <v>508</v>
      </c>
      <c r="M17" s="231">
        <v>500070347</v>
      </c>
      <c r="N17" t="s">
        <v>531</v>
      </c>
      <c r="O17" s="315" t="s">
        <v>532</v>
      </c>
      <c r="P17" t="s">
        <v>533</v>
      </c>
      <c r="Q17" t="s">
        <v>335</v>
      </c>
      <c r="R17" t="s">
        <v>405</v>
      </c>
      <c r="S17" s="89" t="s">
        <v>409</v>
      </c>
      <c r="T17" t="str">
        <f t="shared" si="0"/>
        <v>Arrêté ministériel POLLEC 2021_P21_MOB2 du 13-12-2021</v>
      </c>
    </row>
    <row r="18" spans="1:20" x14ac:dyDescent="0.25">
      <c r="A18" s="325" t="str">
        <f>_xlfn.CONCAT(t_projet_21[[#This Row],[Sélectionner Commune/Supra]]," ",t_projet_21[[#This Row],[Thématique]])</f>
        <v>Estaimpuis 13 - Mobilisation écoles énergie</v>
      </c>
      <c r="B18" t="s">
        <v>336</v>
      </c>
      <c r="C18" s="88" t="s">
        <v>454</v>
      </c>
      <c r="D18" s="94">
        <v>49984</v>
      </c>
      <c r="E18" s="94">
        <f>t_projet_21[[#This Row],[Montant du subside ]]*0.8</f>
        <v>39987.199999999997</v>
      </c>
      <c r="F18" s="94" t="s">
        <v>717</v>
      </c>
      <c r="G18" s="94" t="s">
        <v>665</v>
      </c>
      <c r="H18" s="67" t="s">
        <v>736</v>
      </c>
      <c r="I18" s="67" t="s">
        <v>465</v>
      </c>
      <c r="J18" s="67" t="s">
        <v>505</v>
      </c>
      <c r="K18" s="67" t="s">
        <v>650</v>
      </c>
      <c r="L18" s="67" t="s">
        <v>509</v>
      </c>
      <c r="M18" s="231">
        <v>500070346</v>
      </c>
      <c r="N18" t="s">
        <v>554</v>
      </c>
      <c r="O18" s="315" t="s">
        <v>555</v>
      </c>
      <c r="P18" t="s">
        <v>556</v>
      </c>
      <c r="Q18" t="s">
        <v>336</v>
      </c>
      <c r="R18" t="s">
        <v>405</v>
      </c>
      <c r="S18" s="89" t="s">
        <v>409</v>
      </c>
      <c r="T18" t="str">
        <f t="shared" si="0"/>
        <v>Arrêté ministériel POLLEC 2021_P21_MOB1 du 13-12-2021</v>
      </c>
    </row>
    <row r="19" spans="1:20" x14ac:dyDescent="0.25">
      <c r="A19" s="324" t="str">
        <f>_xlfn.CONCAT(t_projet_21[[#This Row],[Sélectionner Commune/Supra]]," ",t_projet_21[[#This Row],[Thématique]])</f>
        <v>Florenville 13 - Mobilisation écoles énergie</v>
      </c>
      <c r="B19" t="s">
        <v>338</v>
      </c>
      <c r="C19" s="88" t="s">
        <v>454</v>
      </c>
      <c r="D19" s="94">
        <v>44000</v>
      </c>
      <c r="E19" s="94">
        <f>t_projet_21[[#This Row],[Montant du subside ]]*0.8</f>
        <v>35200</v>
      </c>
      <c r="F19" s="94" t="s">
        <v>717</v>
      </c>
      <c r="G19" s="94" t="s">
        <v>695</v>
      </c>
      <c r="H19" s="67" t="s">
        <v>762</v>
      </c>
      <c r="I19" s="67" t="s">
        <v>490</v>
      </c>
      <c r="J19" s="67" t="s">
        <v>503</v>
      </c>
      <c r="K19" s="67" t="s">
        <v>650</v>
      </c>
      <c r="L19" s="67" t="s">
        <v>509</v>
      </c>
      <c r="M19" s="231">
        <v>500070346</v>
      </c>
      <c r="N19" t="s">
        <v>621</v>
      </c>
      <c r="O19" s="315" t="s">
        <v>536</v>
      </c>
      <c r="P19" t="s">
        <v>622</v>
      </c>
      <c r="Q19" t="s">
        <v>338</v>
      </c>
      <c r="R19" t="s">
        <v>405</v>
      </c>
      <c r="S19" s="89" t="s">
        <v>409</v>
      </c>
      <c r="T19" t="str">
        <f t="shared" si="0"/>
        <v>Arrêté ministériel POLLEC 2021_P21_MOB1 du 13-12-2021</v>
      </c>
    </row>
    <row r="20" spans="1:20" x14ac:dyDescent="0.25">
      <c r="A20" s="324" t="str">
        <f>_xlfn.CONCAT(t_projet_21[[#This Row],[Sélectionner Commune/Supra]]," ",t_projet_21[[#This Row],[Thématique]])</f>
        <v>Fontaine-l'Evêque 5 - Préfinancement audit logement</v>
      </c>
      <c r="B20" t="s">
        <v>339</v>
      </c>
      <c r="C20" s="88" t="s">
        <v>454</v>
      </c>
      <c r="D20" s="94">
        <v>52800</v>
      </c>
      <c r="E20" s="94">
        <f>t_projet_21[[#This Row],[Montant du subside ]]*0.8</f>
        <v>42240</v>
      </c>
      <c r="F20" s="94" t="s">
        <v>716</v>
      </c>
      <c r="G20" s="94" t="s">
        <v>697</v>
      </c>
      <c r="H20" s="67" t="s">
        <v>746</v>
      </c>
      <c r="I20" s="67" t="s">
        <v>475</v>
      </c>
      <c r="J20" s="67" t="s">
        <v>506</v>
      </c>
      <c r="K20" s="67" t="s">
        <v>649</v>
      </c>
      <c r="L20" s="67" t="s">
        <v>508</v>
      </c>
      <c r="M20" s="231">
        <v>500070347</v>
      </c>
      <c r="N20" t="s">
        <v>586</v>
      </c>
      <c r="O20" s="315" t="s">
        <v>524</v>
      </c>
      <c r="P20" t="s">
        <v>587</v>
      </c>
      <c r="Q20" t="s">
        <v>339</v>
      </c>
      <c r="R20" t="s">
        <v>405</v>
      </c>
      <c r="S20" s="89" t="s">
        <v>409</v>
      </c>
      <c r="T20" t="str">
        <f t="shared" si="0"/>
        <v>Arrêté ministériel POLLEC 2021_P21_MOB2 du 13-12-2021</v>
      </c>
    </row>
    <row r="21" spans="1:20" x14ac:dyDescent="0.25">
      <c r="A21" s="324" t="str">
        <f>_xlfn.CONCAT(t_projet_21[[#This Row],[Sélectionner Commune/Supra]]," ",t_projet_21[[#This Row],[Thématique]])</f>
        <v>Gembloux 5 - Préfinancement audit logement</v>
      </c>
      <c r="B21" t="s">
        <v>343</v>
      </c>
      <c r="C21" s="88" t="s">
        <v>454</v>
      </c>
      <c r="D21" s="94">
        <v>53680</v>
      </c>
      <c r="E21" s="94">
        <f>t_projet_21[[#This Row],[Montant du subside ]]*0.8</f>
        <v>42944</v>
      </c>
      <c r="F21" s="94" t="s">
        <v>716</v>
      </c>
      <c r="G21" s="94" t="s">
        <v>669</v>
      </c>
      <c r="H21" s="67" t="s">
        <v>738</v>
      </c>
      <c r="I21" s="67" t="s">
        <v>467</v>
      </c>
      <c r="J21" s="67" t="s">
        <v>503</v>
      </c>
      <c r="K21" s="67" t="s">
        <v>649</v>
      </c>
      <c r="L21" s="67" t="s">
        <v>508</v>
      </c>
      <c r="M21" s="231">
        <v>500070347</v>
      </c>
      <c r="N21" t="s">
        <v>563</v>
      </c>
      <c r="O21" s="315" t="s">
        <v>545</v>
      </c>
      <c r="P21" t="s">
        <v>564</v>
      </c>
      <c r="Q21" t="s">
        <v>343</v>
      </c>
      <c r="R21" t="s">
        <v>405</v>
      </c>
      <c r="S21" s="89" t="s">
        <v>409</v>
      </c>
      <c r="T21" t="str">
        <f t="shared" si="0"/>
        <v>Arrêté ministériel POLLEC 2021_P21_MOB2 du 13-12-2021</v>
      </c>
    </row>
    <row r="22" spans="1:20" x14ac:dyDescent="0.25">
      <c r="A22" s="324" t="str">
        <f>_xlfn.CONCAT(t_projet_21[[#This Row],[Sélectionner Commune/Supra]]," ",t_projet_21[[#This Row],[Thématique]])</f>
        <v>Genappe 7 - Projet énergie renouvelable</v>
      </c>
      <c r="B22" t="s">
        <v>344</v>
      </c>
      <c r="C22" s="88" t="s">
        <v>454</v>
      </c>
      <c r="D22" s="94">
        <v>45892</v>
      </c>
      <c r="E22" s="94">
        <f>t_projet_21[[#This Row],[Montant du subside ]]*0.8</f>
        <v>36713.599999999999</v>
      </c>
      <c r="F22" s="94" t="s">
        <v>721</v>
      </c>
      <c r="G22" s="94" t="s">
        <v>698</v>
      </c>
      <c r="H22" s="67" t="s">
        <v>750</v>
      </c>
      <c r="I22" s="67" t="s">
        <v>479</v>
      </c>
      <c r="J22" s="67" t="s">
        <v>503</v>
      </c>
      <c r="K22" s="67" t="s">
        <v>650</v>
      </c>
      <c r="L22" s="67" t="s">
        <v>509</v>
      </c>
      <c r="M22" s="231">
        <v>500070346</v>
      </c>
      <c r="N22" t="s">
        <v>595</v>
      </c>
      <c r="O22" s="315" t="s">
        <v>570</v>
      </c>
      <c r="P22" t="s">
        <v>596</v>
      </c>
      <c r="Q22" t="s">
        <v>344</v>
      </c>
      <c r="R22" t="s">
        <v>405</v>
      </c>
      <c r="S22" s="89" t="s">
        <v>409</v>
      </c>
      <c r="T22" t="str">
        <f t="shared" si="0"/>
        <v>Arrêté ministériel POLLEC 2021_P21_MOB1 du 13-12-2021</v>
      </c>
    </row>
    <row r="23" spans="1:20" x14ac:dyDescent="0.25">
      <c r="A23" s="325" t="str">
        <f>_xlfn.CONCAT(t_projet_21[[#This Row],[Sélectionner Commune/Supra]]," ",t_projet_21[[#This Row],[Thématique]])</f>
        <v>Gesves 3 - Mobilisation citoyenne énergie</v>
      </c>
      <c r="B23" t="s">
        <v>345</v>
      </c>
      <c r="C23" s="88" t="s">
        <v>454</v>
      </c>
      <c r="D23" s="94">
        <v>60000</v>
      </c>
      <c r="E23" s="94">
        <f>t_projet_21[[#This Row],[Montant du subside ]]*0.8</f>
        <v>48000</v>
      </c>
      <c r="F23" s="94" t="s">
        <v>718</v>
      </c>
      <c r="G23" s="94" t="s">
        <v>686</v>
      </c>
      <c r="H23" s="94" t="s">
        <v>754</v>
      </c>
      <c r="I23" s="67" t="s">
        <v>482</v>
      </c>
      <c r="J23" s="67" t="s">
        <v>503</v>
      </c>
      <c r="K23" s="67" t="s">
        <v>650</v>
      </c>
      <c r="L23" s="67" t="s">
        <v>509</v>
      </c>
      <c r="M23" s="231">
        <v>500070346</v>
      </c>
      <c r="N23" t="s">
        <v>604</v>
      </c>
      <c r="O23" s="315" t="s">
        <v>605</v>
      </c>
      <c r="P23" t="s">
        <v>606</v>
      </c>
      <c r="Q23" t="s">
        <v>345</v>
      </c>
      <c r="R23" t="s">
        <v>405</v>
      </c>
      <c r="S23" s="89" t="s">
        <v>409</v>
      </c>
      <c r="T23" t="str">
        <f t="shared" si="0"/>
        <v>Arrêté ministériel POLLEC 2021_P21_MOB1 du 13-12-2021</v>
      </c>
    </row>
    <row r="24" spans="1:20" x14ac:dyDescent="0.25">
      <c r="A24" s="325" t="str">
        <f>_xlfn.CONCAT(t_projet_21[[#This Row],[Sélectionner Commune/Supra]]," ",t_projet_21[[#This Row],[Thématique]])</f>
        <v>Grez-Doiceau 7 - Projet énergie renouvelable</v>
      </c>
      <c r="B24" t="s">
        <v>346</v>
      </c>
      <c r="C24" s="88" t="s">
        <v>454</v>
      </c>
      <c r="D24" s="94">
        <v>60000</v>
      </c>
      <c r="E24" s="94">
        <f>t_projet_21[[#This Row],[Montant du subside ]]*0.8</f>
        <v>48000</v>
      </c>
      <c r="F24" s="94" t="s">
        <v>721</v>
      </c>
      <c r="G24" s="94" t="s">
        <v>689</v>
      </c>
      <c r="H24" s="67" t="s">
        <v>756</v>
      </c>
      <c r="I24" s="67" t="s">
        <v>484</v>
      </c>
      <c r="J24" s="67" t="s">
        <v>506</v>
      </c>
      <c r="K24" s="67" t="s">
        <v>650</v>
      </c>
      <c r="L24" s="67" t="s">
        <v>509</v>
      </c>
      <c r="M24" s="231">
        <v>500070346</v>
      </c>
      <c r="N24" t="s">
        <v>609</v>
      </c>
      <c r="O24" s="315" t="s">
        <v>524</v>
      </c>
      <c r="P24" t="s">
        <v>610</v>
      </c>
      <c r="Q24" t="s">
        <v>346</v>
      </c>
      <c r="R24" t="s">
        <v>405</v>
      </c>
      <c r="S24" s="89" t="s">
        <v>409</v>
      </c>
      <c r="T24" t="str">
        <f t="shared" si="0"/>
        <v>Arrêté ministériel POLLEC 2021_P21_MOB1 du 13-12-2021</v>
      </c>
    </row>
    <row r="25" spans="1:20" x14ac:dyDescent="0.25">
      <c r="A25" s="325" t="str">
        <f>_xlfn.CONCAT(t_projet_21[[#This Row],[Sélectionner Commune/Supra]]," ",t_projet_21[[#This Row],[Thématique]])</f>
        <v>Hannut 5 - Préfinancement audit logement</v>
      </c>
      <c r="B25" t="s">
        <v>397</v>
      </c>
      <c r="C25" s="88" t="s">
        <v>454</v>
      </c>
      <c r="D25" s="94">
        <v>60000</v>
      </c>
      <c r="E25" s="94">
        <f>t_projet_21[[#This Row],[Montant du subside ]]*0.8</f>
        <v>48000</v>
      </c>
      <c r="F25" s="94" t="s">
        <v>716</v>
      </c>
      <c r="G25" s="94" t="s">
        <v>668</v>
      </c>
      <c r="H25" s="67" t="s">
        <v>406</v>
      </c>
      <c r="I25" s="67" t="s">
        <v>401</v>
      </c>
      <c r="J25" s="67" t="s">
        <v>503</v>
      </c>
      <c r="K25" s="67" t="s">
        <v>649</v>
      </c>
      <c r="L25" s="67" t="s">
        <v>508</v>
      </c>
      <c r="M25" s="231">
        <v>500070347</v>
      </c>
      <c r="N25" t="s">
        <v>560</v>
      </c>
      <c r="O25" s="315" t="s">
        <v>561</v>
      </c>
      <c r="P25" t="s">
        <v>562</v>
      </c>
      <c r="Q25" t="s">
        <v>397</v>
      </c>
      <c r="R25" t="s">
        <v>405</v>
      </c>
      <c r="S25" s="89" t="s">
        <v>409</v>
      </c>
      <c r="T25" t="str">
        <f t="shared" si="0"/>
        <v>Arrêté ministériel POLLEC 2021_P21_MOB2 du 13-12-2021</v>
      </c>
    </row>
    <row r="26" spans="1:20" x14ac:dyDescent="0.25">
      <c r="A26" s="324" t="str">
        <f>_xlfn.CONCAT(t_projet_21[[#This Row],[Sélectionner Commune/Supra]]," ",t_projet_21[[#This Row],[Thématique]])</f>
        <v>Hastière 5 - Préfinancement audit logement</v>
      </c>
      <c r="B26" t="s">
        <v>347</v>
      </c>
      <c r="C26" s="88" t="s">
        <v>454</v>
      </c>
      <c r="D26" s="94">
        <v>45760</v>
      </c>
      <c r="E26" s="94">
        <f>t_projet_21[[#This Row],[Montant du subside ]]*0.8</f>
        <v>36608</v>
      </c>
      <c r="F26" s="94" t="s">
        <v>716</v>
      </c>
      <c r="G26" s="94" t="s">
        <v>679</v>
      </c>
      <c r="H26" s="67" t="s">
        <v>745</v>
      </c>
      <c r="I26" s="67" t="s">
        <v>474</v>
      </c>
      <c r="J26" s="67" t="s">
        <v>503</v>
      </c>
      <c r="K26" s="67" t="s">
        <v>649</v>
      </c>
      <c r="L26" s="67" t="s">
        <v>508</v>
      </c>
      <c r="M26" s="231">
        <v>500070347</v>
      </c>
      <c r="N26" t="s">
        <v>584</v>
      </c>
      <c r="O26" s="315" t="s">
        <v>580</v>
      </c>
      <c r="P26" t="s">
        <v>585</v>
      </c>
      <c r="Q26" t="s">
        <v>347</v>
      </c>
      <c r="R26" t="s">
        <v>405</v>
      </c>
      <c r="S26" s="89" t="s">
        <v>409</v>
      </c>
      <c r="T26" t="str">
        <f t="shared" si="0"/>
        <v>Arrêté ministériel POLLEC 2021_P21_MOB2 du 13-12-2021</v>
      </c>
    </row>
    <row r="27" spans="1:20" x14ac:dyDescent="0.25">
      <c r="A27" s="324" t="str">
        <f>_xlfn.CONCAT(t_projet_21[[#This Row],[Sélectionner Commune/Supra]]," ",t_projet_21[[#This Row],[Thématique]])</f>
        <v>Herbeumont 4 - Chantiers participatifs auto-isolation</v>
      </c>
      <c r="B27" t="s">
        <v>348</v>
      </c>
      <c r="C27" s="88" t="s">
        <v>454</v>
      </c>
      <c r="D27" s="94">
        <v>50190.54</v>
      </c>
      <c r="E27" s="94">
        <f>t_projet_21[[#This Row],[Montant du subside ]]*0.8</f>
        <v>40152.43</v>
      </c>
      <c r="F27" s="94" t="s">
        <v>720</v>
      </c>
      <c r="G27" s="94" t="s">
        <v>706</v>
      </c>
      <c r="H27" s="67" t="s">
        <v>768</v>
      </c>
      <c r="I27" s="67" t="s">
        <v>496</v>
      </c>
      <c r="J27" s="67" t="s">
        <v>506</v>
      </c>
      <c r="K27" s="67" t="s">
        <v>650</v>
      </c>
      <c r="L27" s="67" t="s">
        <v>509</v>
      </c>
      <c r="M27" s="231">
        <v>500070346</v>
      </c>
      <c r="N27" t="s">
        <v>632</v>
      </c>
      <c r="O27" s="315" t="s">
        <v>633</v>
      </c>
      <c r="P27" t="s">
        <v>634</v>
      </c>
      <c r="Q27" t="s">
        <v>348</v>
      </c>
      <c r="R27" t="s">
        <v>405</v>
      </c>
      <c r="S27" s="89" t="s">
        <v>409</v>
      </c>
      <c r="T27" t="str">
        <f t="shared" si="0"/>
        <v>Arrêté ministériel POLLEC 2021_P21_MOB1 du 13-12-2021</v>
      </c>
    </row>
    <row r="28" spans="1:20" x14ac:dyDescent="0.25">
      <c r="A28" s="325" t="str">
        <f>_xlfn.CONCAT(t_projet_21[[#This Row],[Sélectionner Commune/Supra]]," ",t_projet_21[[#This Row],[Thématique]])</f>
        <v>Herbeumont 5 - Préfinancement audit logement</v>
      </c>
      <c r="B28" t="s">
        <v>348</v>
      </c>
      <c r="C28" s="88" t="s">
        <v>454</v>
      </c>
      <c r="D28" s="94">
        <v>44401.279999999999</v>
      </c>
      <c r="E28" s="94">
        <f>t_projet_21[[#This Row],[Montant du subside ]]*0.8</f>
        <v>35521.019999999997</v>
      </c>
      <c r="F28" s="94" t="s">
        <v>716</v>
      </c>
      <c r="G28" s="94" t="s">
        <v>705</v>
      </c>
      <c r="H28" s="67" t="s">
        <v>768</v>
      </c>
      <c r="I28" s="67" t="s">
        <v>496</v>
      </c>
      <c r="J28" s="67" t="s">
        <v>506</v>
      </c>
      <c r="K28" s="67" t="s">
        <v>649</v>
      </c>
      <c r="L28" s="67" t="s">
        <v>508</v>
      </c>
      <c r="M28" s="231">
        <v>500070347</v>
      </c>
      <c r="N28" t="s">
        <v>632</v>
      </c>
      <c r="O28" s="315" t="s">
        <v>633</v>
      </c>
      <c r="P28" t="s">
        <v>634</v>
      </c>
      <c r="Q28" t="s">
        <v>348</v>
      </c>
      <c r="R28" t="s">
        <v>405</v>
      </c>
      <c r="S28" s="89" t="s">
        <v>409</v>
      </c>
      <c r="T28" t="str">
        <f t="shared" si="0"/>
        <v>Arrêté ministériel POLLEC 2021_P21_MOB2 du 13-12-2021</v>
      </c>
    </row>
    <row r="29" spans="1:20" x14ac:dyDescent="0.25">
      <c r="A29" s="325" t="str">
        <f>_xlfn.CONCAT(t_projet_21[[#This Row],[Sélectionner Commune/Supra]]," ",t_projet_21[[#This Row],[Thématique]])</f>
        <v>IDETA 13 - Mobilisation écoles énergie</v>
      </c>
      <c r="B29" t="s">
        <v>349</v>
      </c>
      <c r="C29" s="88" t="s">
        <v>454</v>
      </c>
      <c r="D29" s="94">
        <v>100000</v>
      </c>
      <c r="E29" s="94">
        <f>t_projet_21[[#This Row],[Montant du subside ]]*0.8</f>
        <v>80000</v>
      </c>
      <c r="F29" s="94" t="s">
        <v>717</v>
      </c>
      <c r="G29" s="94" t="s">
        <v>709</v>
      </c>
      <c r="H29" s="67" t="s">
        <v>771</v>
      </c>
      <c r="I29" s="67" t="s">
        <v>499</v>
      </c>
      <c r="J29" s="67" t="s">
        <v>505</v>
      </c>
      <c r="K29" s="67" t="s">
        <v>651</v>
      </c>
      <c r="L29" s="67" t="s">
        <v>510</v>
      </c>
      <c r="M29" s="67">
        <v>500070350</v>
      </c>
      <c r="N29" t="s">
        <v>641</v>
      </c>
      <c r="O29" s="315">
        <v>35</v>
      </c>
      <c r="P29">
        <v>7500</v>
      </c>
      <c r="Q29" t="s">
        <v>350</v>
      </c>
      <c r="R29" t="s">
        <v>405</v>
      </c>
      <c r="S29" s="89" t="s">
        <v>409</v>
      </c>
      <c r="T29" t="str">
        <f t="shared" si="0"/>
        <v>Arrêté ministériel POLLEC 2021_P21_Interco du 13-12-2021</v>
      </c>
    </row>
    <row r="30" spans="1:20" x14ac:dyDescent="0.25">
      <c r="A30" s="324" t="str">
        <f>_xlfn.CONCAT(t_projet_21[[#This Row],[Sélectionner Commune/Supra]]," ",t_projet_21[[#This Row],[Thématique]])</f>
        <v>In BW 3 - Mobilisation citoyenne énergie</v>
      </c>
      <c r="B30" t="s">
        <v>447</v>
      </c>
      <c r="C30" s="88" t="s">
        <v>454</v>
      </c>
      <c r="D30" s="94">
        <v>100000</v>
      </c>
      <c r="E30" s="94">
        <f>t_projet_21[[#This Row],[Montant du subside ]]*0.8</f>
        <v>80000</v>
      </c>
      <c r="F30" s="94" t="s">
        <v>718</v>
      </c>
      <c r="G30" s="94" t="s">
        <v>690</v>
      </c>
      <c r="H30" s="67" t="s">
        <v>757</v>
      </c>
      <c r="I30" s="67" t="s">
        <v>485</v>
      </c>
      <c r="J30" s="67" t="s">
        <v>505</v>
      </c>
      <c r="K30" s="67" t="s">
        <v>651</v>
      </c>
      <c r="L30" s="67" t="s">
        <v>510</v>
      </c>
      <c r="M30" s="231">
        <v>500070350</v>
      </c>
      <c r="N30" t="s">
        <v>611</v>
      </c>
      <c r="O30" s="315">
        <v>10</v>
      </c>
      <c r="P30">
        <v>1400</v>
      </c>
      <c r="Q30" t="s">
        <v>351</v>
      </c>
      <c r="R30" t="s">
        <v>405</v>
      </c>
      <c r="S30" s="89" t="s">
        <v>409</v>
      </c>
      <c r="T30" t="str">
        <f t="shared" si="0"/>
        <v>Arrêté ministériel POLLEC 2021_P21_Interco du 13-12-2021</v>
      </c>
    </row>
    <row r="31" spans="1:20" x14ac:dyDescent="0.25">
      <c r="A31" s="325" t="str">
        <f>_xlfn.CONCAT(t_projet_21[[#This Row],[Sélectionner Commune/Supra]]," ",t_projet_21[[#This Row],[Thématique]])</f>
        <v>IPALLE 5 - Préfinancement audit logement</v>
      </c>
      <c r="B31" t="s">
        <v>449</v>
      </c>
      <c r="C31" s="88" t="s">
        <v>454</v>
      </c>
      <c r="D31" s="94">
        <v>100000</v>
      </c>
      <c r="E31" s="94">
        <f>t_projet_21[[#This Row],[Montant du subside ]]*0.8</f>
        <v>80000</v>
      </c>
      <c r="F31" s="94" t="s">
        <v>716</v>
      </c>
      <c r="G31" s="94" t="s">
        <v>699</v>
      </c>
      <c r="H31" s="67" t="s">
        <v>764</v>
      </c>
      <c r="I31" s="67" t="s">
        <v>492</v>
      </c>
      <c r="J31" s="67" t="s">
        <v>506</v>
      </c>
      <c r="K31" s="67" t="s">
        <v>651</v>
      </c>
      <c r="L31" s="67" t="s">
        <v>510</v>
      </c>
      <c r="M31" s="231">
        <v>500070350</v>
      </c>
      <c r="N31" t="s">
        <v>647</v>
      </c>
      <c r="O31" s="315">
        <v>1</v>
      </c>
      <c r="P31">
        <v>7503</v>
      </c>
      <c r="Q31" t="s">
        <v>648</v>
      </c>
      <c r="R31" t="s">
        <v>405</v>
      </c>
      <c r="S31" s="89" t="s">
        <v>409</v>
      </c>
      <c r="T31" t="str">
        <f t="shared" si="0"/>
        <v>Arrêté ministériel POLLEC 2021_P21_Interco du 13-12-2021</v>
      </c>
    </row>
    <row r="32" spans="1:20" x14ac:dyDescent="0.25">
      <c r="A32" s="325" t="str">
        <f>_xlfn.CONCAT(t_projet_21[[#This Row],[Sélectionner Commune/Supra]]," ",t_projet_21[[#This Row],[Thématique]])</f>
        <v>La Hulpe 5 - Préfinancement audit logement</v>
      </c>
      <c r="B32" t="s">
        <v>352</v>
      </c>
      <c r="C32" s="88" t="s">
        <v>454</v>
      </c>
      <c r="D32" s="94">
        <v>44000</v>
      </c>
      <c r="E32" s="94">
        <f>t_projet_21[[#This Row],[Montant du subside ]]*0.8</f>
        <v>35200</v>
      </c>
      <c r="F32" s="94" t="s">
        <v>716</v>
      </c>
      <c r="G32" s="94" t="s">
        <v>655</v>
      </c>
      <c r="H32" s="67" t="s">
        <v>726</v>
      </c>
      <c r="I32" s="67" t="s">
        <v>455</v>
      </c>
      <c r="J32" s="67" t="s">
        <v>503</v>
      </c>
      <c r="K32" s="67" t="s">
        <v>649</v>
      </c>
      <c r="L32" s="67" t="s">
        <v>508</v>
      </c>
      <c r="M32" s="231">
        <v>500070347</v>
      </c>
      <c r="N32" t="s">
        <v>521</v>
      </c>
      <c r="O32" s="315" t="s">
        <v>522</v>
      </c>
      <c r="P32" t="s">
        <v>523</v>
      </c>
      <c r="Q32" t="s">
        <v>352</v>
      </c>
      <c r="R32" t="s">
        <v>405</v>
      </c>
      <c r="S32" s="89" t="s">
        <v>409</v>
      </c>
      <c r="T32" t="str">
        <f t="shared" si="0"/>
        <v>Arrêté ministériel POLLEC 2021_P21_MOB2 du 13-12-2021</v>
      </c>
    </row>
    <row r="33" spans="1:20" x14ac:dyDescent="0.25">
      <c r="A33" s="324" t="str">
        <f>_xlfn.CONCAT(t_projet_21[[#This Row],[Sélectionner Commune/Supra]]," ",t_projet_21[[#This Row],[Thématique]])</f>
        <v>La Louvière 4 - Chantiers participatifs auto-isolation</v>
      </c>
      <c r="B33" t="s">
        <v>353</v>
      </c>
      <c r="C33" s="88" t="s">
        <v>454</v>
      </c>
      <c r="D33" s="94">
        <v>59752</v>
      </c>
      <c r="E33" s="94">
        <f>t_projet_21[[#This Row],[Montant du subside ]]*0.8</f>
        <v>47801.599999999999</v>
      </c>
      <c r="F33" s="94" t="s">
        <v>720</v>
      </c>
      <c r="G33" s="94" t="s">
        <v>700</v>
      </c>
      <c r="H33" s="67" t="s">
        <v>765</v>
      </c>
      <c r="I33" s="67" t="s">
        <v>493</v>
      </c>
      <c r="J33" s="67" t="s">
        <v>506</v>
      </c>
      <c r="K33" s="67" t="s">
        <v>650</v>
      </c>
      <c r="L33" s="67" t="s">
        <v>509</v>
      </c>
      <c r="M33" s="231">
        <v>500070346</v>
      </c>
      <c r="N33" t="s">
        <v>625</v>
      </c>
      <c r="O33" s="315" t="s">
        <v>524</v>
      </c>
      <c r="P33" t="s">
        <v>626</v>
      </c>
      <c r="Q33" t="s">
        <v>353</v>
      </c>
      <c r="R33" t="s">
        <v>405</v>
      </c>
      <c r="S33" s="89" t="s">
        <v>409</v>
      </c>
      <c r="T33" t="str">
        <f t="shared" si="0"/>
        <v>Arrêté ministériel POLLEC 2021_P21_MOB1 du 13-12-2021</v>
      </c>
    </row>
    <row r="34" spans="1:20" x14ac:dyDescent="0.25">
      <c r="A34" s="325" t="str">
        <f>_xlfn.CONCAT(t_projet_21[[#This Row],[Sélectionner Commune/Supra]]," ",t_projet_21[[#This Row],[Thématique]])</f>
        <v>La Louvière 5 - Préfinancement audit logement</v>
      </c>
      <c r="B34" t="s">
        <v>353</v>
      </c>
      <c r="C34" s="88" t="s">
        <v>454</v>
      </c>
      <c r="D34" s="94">
        <v>60000</v>
      </c>
      <c r="E34" s="94">
        <f>t_projet_21[[#This Row],[Montant du subside ]]*0.8</f>
        <v>48000</v>
      </c>
      <c r="F34" s="94" t="s">
        <v>716</v>
      </c>
      <c r="G34" s="94" t="s">
        <v>701</v>
      </c>
      <c r="H34" s="67" t="s">
        <v>765</v>
      </c>
      <c r="I34" s="67" t="s">
        <v>493</v>
      </c>
      <c r="J34" s="67" t="s">
        <v>503</v>
      </c>
      <c r="K34" s="67" t="s">
        <v>649</v>
      </c>
      <c r="L34" s="67" t="s">
        <v>508</v>
      </c>
      <c r="M34" s="231">
        <v>500070347</v>
      </c>
      <c r="N34" t="s">
        <v>625</v>
      </c>
      <c r="O34" s="315" t="s">
        <v>524</v>
      </c>
      <c r="P34" t="s">
        <v>626</v>
      </c>
      <c r="Q34" t="s">
        <v>353</v>
      </c>
      <c r="R34" t="s">
        <v>405</v>
      </c>
      <c r="S34" s="89" t="s">
        <v>409</v>
      </c>
      <c r="T34" t="str">
        <f t="shared" ref="T34:T65" si="1">CONCATENATE(R34,K34,S34)</f>
        <v>Arrêté ministériel POLLEC 2021_P21_MOB2 du 13-12-2021</v>
      </c>
    </row>
    <row r="35" spans="1:20" x14ac:dyDescent="0.25">
      <c r="A35" s="325" t="str">
        <f>_xlfn.CONCAT(t_projet_21[[#This Row],[Sélectionner Commune/Supra]]," ",t_projet_21[[#This Row],[Thématique]])</f>
        <v>Les Bons Villers 5 - Préfinancement audit logement</v>
      </c>
      <c r="B35" t="s">
        <v>354</v>
      </c>
      <c r="C35" s="88" t="s">
        <v>454</v>
      </c>
      <c r="D35" s="94">
        <v>60000</v>
      </c>
      <c r="E35" s="94">
        <f>t_projet_21[[#This Row],[Montant du subside ]]*0.8</f>
        <v>48000</v>
      </c>
      <c r="F35" s="94" t="s">
        <v>716</v>
      </c>
      <c r="G35" s="94" t="s">
        <v>696</v>
      </c>
      <c r="H35" s="67" t="s">
        <v>763</v>
      </c>
      <c r="I35" s="67" t="s">
        <v>491</v>
      </c>
      <c r="J35" s="67" t="s">
        <v>503</v>
      </c>
      <c r="K35" s="67" t="s">
        <v>649</v>
      </c>
      <c r="L35" s="67" t="s">
        <v>508</v>
      </c>
      <c r="M35" s="231">
        <v>500070347</v>
      </c>
      <c r="N35" t="s">
        <v>623</v>
      </c>
      <c r="O35" s="315" t="s">
        <v>524</v>
      </c>
      <c r="P35" t="s">
        <v>624</v>
      </c>
      <c r="Q35" t="s">
        <v>354</v>
      </c>
      <c r="R35" t="s">
        <v>405</v>
      </c>
      <c r="S35" s="89" t="s">
        <v>409</v>
      </c>
      <c r="T35" t="str">
        <f t="shared" si="1"/>
        <v>Arrêté ministériel POLLEC 2021_P21_MOB2 du 13-12-2021</v>
      </c>
    </row>
    <row r="36" spans="1:20" x14ac:dyDescent="0.25">
      <c r="A36" s="324" t="str">
        <f>_xlfn.CONCAT(t_projet_21[[#This Row],[Sélectionner Commune/Supra]]," ",t_projet_21[[#This Row],[Thématique]])</f>
        <v>Libramont-Chevigny 13 - Mobilisation écoles énergie</v>
      </c>
      <c r="B36" t="s">
        <v>355</v>
      </c>
      <c r="C36" s="88" t="s">
        <v>454</v>
      </c>
      <c r="D36" s="94">
        <v>58344</v>
      </c>
      <c r="E36" s="94">
        <f>t_projet_21[[#This Row],[Montant du subside ]]*0.8</f>
        <v>46675.199999999997</v>
      </c>
      <c r="F36" s="94" t="s">
        <v>717</v>
      </c>
      <c r="G36" s="94" t="s">
        <v>663</v>
      </c>
      <c r="H36" s="67" t="s">
        <v>734</v>
      </c>
      <c r="I36" s="67" t="s">
        <v>463</v>
      </c>
      <c r="J36" s="67" t="s">
        <v>506</v>
      </c>
      <c r="K36" s="67" t="s">
        <v>650</v>
      </c>
      <c r="L36" s="67" t="s">
        <v>509</v>
      </c>
      <c r="M36" s="231">
        <v>500070346</v>
      </c>
      <c r="N36" t="s">
        <v>547</v>
      </c>
      <c r="O36" s="315" t="s">
        <v>548</v>
      </c>
      <c r="P36" t="s">
        <v>549</v>
      </c>
      <c r="Q36" t="s">
        <v>355</v>
      </c>
      <c r="R36" t="s">
        <v>405</v>
      </c>
      <c r="S36" s="89" t="s">
        <v>409</v>
      </c>
      <c r="T36" t="str">
        <f t="shared" si="1"/>
        <v>Arrêté ministériel POLLEC 2021_P21_MOB1 du 13-12-2021</v>
      </c>
    </row>
    <row r="37" spans="1:20" x14ac:dyDescent="0.25">
      <c r="A37" s="325" t="str">
        <f>_xlfn.CONCAT(t_projet_21[[#This Row],[Sélectionner Commune/Supra]]," ",t_projet_21[[#This Row],[Thématique]])</f>
        <v>Malmedy 5 - Préfinancement audit logement</v>
      </c>
      <c r="B37" t="s">
        <v>357</v>
      </c>
      <c r="C37" s="88" t="s">
        <v>454</v>
      </c>
      <c r="D37" s="94">
        <v>60000</v>
      </c>
      <c r="E37" s="94">
        <f>t_projet_21[[#This Row],[Montant du subside ]]*0.8</f>
        <v>48000</v>
      </c>
      <c r="F37" s="94" t="s">
        <v>716</v>
      </c>
      <c r="G37" s="94" t="s">
        <v>672</v>
      </c>
      <c r="H37" s="67" t="s">
        <v>740</v>
      </c>
      <c r="I37" s="67" t="s">
        <v>469</v>
      </c>
      <c r="J37" s="67" t="s">
        <v>505</v>
      </c>
      <c r="K37" s="67" t="s">
        <v>649</v>
      </c>
      <c r="L37" s="67" t="s">
        <v>508</v>
      </c>
      <c r="M37" s="67">
        <v>500070347</v>
      </c>
      <c r="N37" t="s">
        <v>568</v>
      </c>
      <c r="O37" s="315" t="s">
        <v>524</v>
      </c>
      <c r="P37" t="s">
        <v>569</v>
      </c>
      <c r="Q37" t="s">
        <v>357</v>
      </c>
      <c r="R37" t="s">
        <v>405</v>
      </c>
      <c r="S37" s="89" t="s">
        <v>409</v>
      </c>
      <c r="T37" t="str">
        <f t="shared" si="1"/>
        <v>Arrêté ministériel POLLEC 2021_P21_MOB2 du 13-12-2021</v>
      </c>
    </row>
    <row r="38" spans="1:20" x14ac:dyDescent="0.25">
      <c r="A38" s="324" t="str">
        <f>_xlfn.CONCAT(t_projet_21[[#This Row],[Sélectionner Commune/Supra]]," ",t_projet_21[[#This Row],[Thématique]])</f>
        <v>Meix-devant-Virton 5 - Préfinancement audit logement</v>
      </c>
      <c r="B38" t="s">
        <v>358</v>
      </c>
      <c r="C38" s="88" t="s">
        <v>454</v>
      </c>
      <c r="D38" s="94">
        <v>47872</v>
      </c>
      <c r="E38" s="94">
        <f>t_projet_21[[#This Row],[Montant du subside ]]*0.8</f>
        <v>38297.599999999999</v>
      </c>
      <c r="F38" s="94" t="s">
        <v>716</v>
      </c>
      <c r="G38" s="94" t="s">
        <v>693</v>
      </c>
      <c r="H38" s="67" t="s">
        <v>761</v>
      </c>
      <c r="I38" s="67" t="s">
        <v>489</v>
      </c>
      <c r="J38" s="67" t="s">
        <v>503</v>
      </c>
      <c r="K38" s="67" t="s">
        <v>649</v>
      </c>
      <c r="L38" s="67" t="s">
        <v>508</v>
      </c>
      <c r="M38" s="231">
        <v>500070347</v>
      </c>
      <c r="N38" t="s">
        <v>619</v>
      </c>
      <c r="O38" s="315" t="s">
        <v>536</v>
      </c>
      <c r="P38" t="s">
        <v>620</v>
      </c>
      <c r="Q38" t="s">
        <v>358</v>
      </c>
      <c r="R38" t="s">
        <v>405</v>
      </c>
      <c r="S38" s="89" t="s">
        <v>409</v>
      </c>
      <c r="T38" t="str">
        <f t="shared" si="1"/>
        <v>Arrêté ministériel POLLEC 2021_P21_MOB2 du 13-12-2021</v>
      </c>
    </row>
    <row r="39" spans="1:20" x14ac:dyDescent="0.25">
      <c r="A39" s="324" t="str">
        <f>_xlfn.CONCAT(t_projet_21[[#This Row],[Sélectionner Commune/Supra]]," ",t_projet_21[[#This Row],[Thématique]])</f>
        <v>Meuse Campagnes 13 - Mobilisation écoles énergie</v>
      </c>
      <c r="B39" t="s">
        <v>453</v>
      </c>
      <c r="C39" s="88" t="s">
        <v>454</v>
      </c>
      <c r="D39" s="94">
        <v>96052</v>
      </c>
      <c r="E39" s="94">
        <f>t_projet_21[[#This Row],[Montant du subside ]]*0.8</f>
        <v>76841.600000000006</v>
      </c>
      <c r="F39" s="94" t="s">
        <v>717</v>
      </c>
      <c r="G39" s="94" t="s">
        <v>713</v>
      </c>
      <c r="H39" s="94" t="s">
        <v>774</v>
      </c>
      <c r="I39" s="67" t="s">
        <v>502</v>
      </c>
      <c r="J39" s="67" t="s">
        <v>504</v>
      </c>
      <c r="L39" s="67" t="s">
        <v>511</v>
      </c>
      <c r="M39" s="231">
        <v>500070332</v>
      </c>
      <c r="N39" t="s">
        <v>645</v>
      </c>
      <c r="O39" s="315">
        <v>11</v>
      </c>
      <c r="P39">
        <v>5300</v>
      </c>
      <c r="Q39" t="s">
        <v>646</v>
      </c>
      <c r="R39" t="s">
        <v>405</v>
      </c>
      <c r="S39" s="89" t="s">
        <v>409</v>
      </c>
      <c r="T39" t="str">
        <f t="shared" si="1"/>
        <v>Arrêté ministériel POLLEC 2021_ du 13-12-2021</v>
      </c>
    </row>
    <row r="40" spans="1:20" x14ac:dyDescent="0.25">
      <c r="A40" s="325" t="str">
        <f>_xlfn.CONCAT(t_projet_21[[#This Row],[Sélectionner Commune/Supra]]," ",t_projet_21[[#This Row],[Thématique]])</f>
        <v>Meuse Campagnes 3 - Mobilisation citoyenne énergie</v>
      </c>
      <c r="B40" t="s">
        <v>453</v>
      </c>
      <c r="C40" s="88" t="s">
        <v>454</v>
      </c>
      <c r="D40" s="94">
        <v>95920</v>
      </c>
      <c r="E40" s="94">
        <f>t_projet_21[[#This Row],[Montant du subside ]]*0.8</f>
        <v>76736</v>
      </c>
      <c r="F40" s="94" t="s">
        <v>718</v>
      </c>
      <c r="G40" s="94" t="s">
        <v>712</v>
      </c>
      <c r="H40" s="67" t="s">
        <v>774</v>
      </c>
      <c r="I40" s="67" t="s">
        <v>502</v>
      </c>
      <c r="J40" s="67" t="s">
        <v>503</v>
      </c>
      <c r="L40" s="67" t="s">
        <v>511</v>
      </c>
      <c r="M40" s="231">
        <v>500070332</v>
      </c>
      <c r="N40" t="s">
        <v>645</v>
      </c>
      <c r="O40" s="315">
        <v>11</v>
      </c>
      <c r="P40">
        <v>5300</v>
      </c>
      <c r="Q40" t="s">
        <v>646</v>
      </c>
      <c r="R40" t="s">
        <v>405</v>
      </c>
      <c r="S40" s="89" t="s">
        <v>409</v>
      </c>
      <c r="T40" t="str">
        <f t="shared" si="1"/>
        <v>Arrêté ministériel POLLEC 2021_ du 13-12-2021</v>
      </c>
    </row>
    <row r="41" spans="1:20" x14ac:dyDescent="0.25">
      <c r="A41" s="324" t="str">
        <f>_xlfn.CONCAT(t_projet_21[[#This Row],[Sélectionner Commune/Supra]]," ",t_projet_21[[#This Row],[Thématique]])</f>
        <v>Musson 5 - Préfinancement audit logement</v>
      </c>
      <c r="B41" t="s">
        <v>359</v>
      </c>
      <c r="C41" s="88" t="s">
        <v>454</v>
      </c>
      <c r="D41" s="94">
        <v>60000</v>
      </c>
      <c r="E41" s="94">
        <f>t_projet_21[[#This Row],[Montant du subside ]]*0.8</f>
        <v>48000</v>
      </c>
      <c r="F41" s="94" t="s">
        <v>716</v>
      </c>
      <c r="G41" s="94" t="s">
        <v>694</v>
      </c>
      <c r="H41" s="67" t="s">
        <v>759</v>
      </c>
      <c r="I41" s="67" t="s">
        <v>487</v>
      </c>
      <c r="J41" s="67" t="s">
        <v>507</v>
      </c>
      <c r="K41" s="67" t="s">
        <v>649</v>
      </c>
      <c r="L41" s="67" t="s">
        <v>508</v>
      </c>
      <c r="M41" s="231">
        <v>500070347</v>
      </c>
      <c r="N41" t="s">
        <v>614</v>
      </c>
      <c r="O41" s="315" t="s">
        <v>524</v>
      </c>
      <c r="P41" t="s">
        <v>615</v>
      </c>
      <c r="Q41" t="s">
        <v>359</v>
      </c>
      <c r="R41" t="s">
        <v>405</v>
      </c>
      <c r="S41" s="89" t="s">
        <v>409</v>
      </c>
      <c r="T41" t="str">
        <f t="shared" si="1"/>
        <v>Arrêté ministériel POLLEC 2021_P21_MOB2 du 13-12-2021</v>
      </c>
    </row>
    <row r="42" spans="1:20" x14ac:dyDescent="0.25">
      <c r="A42" s="324" t="str">
        <f>_xlfn.CONCAT(t_projet_21[[#This Row],[Sélectionner Commune/Supra]]," ",t_projet_21[[#This Row],[Thématique]])</f>
        <v>Neufchâteau 13 - Mobilisation écoles énergie</v>
      </c>
      <c r="B42" t="s">
        <v>360</v>
      </c>
      <c r="C42" s="88" t="s">
        <v>454</v>
      </c>
      <c r="D42" s="94">
        <v>51823.199999999997</v>
      </c>
      <c r="E42" s="94">
        <f>t_projet_21[[#This Row],[Montant du subside ]]*0.8</f>
        <v>41458.559999999998</v>
      </c>
      <c r="F42" s="94" t="s">
        <v>717</v>
      </c>
      <c r="G42" s="94" t="s">
        <v>664</v>
      </c>
      <c r="H42" s="67" t="s">
        <v>735</v>
      </c>
      <c r="I42" s="67" t="s">
        <v>464</v>
      </c>
      <c r="J42" s="67" t="s">
        <v>506</v>
      </c>
      <c r="K42" s="67" t="s">
        <v>650</v>
      </c>
      <c r="L42" s="67" t="s">
        <v>509</v>
      </c>
      <c r="M42" s="67">
        <v>500070346</v>
      </c>
      <c r="N42" t="s">
        <v>550</v>
      </c>
      <c r="O42" s="315" t="s">
        <v>524</v>
      </c>
      <c r="P42" t="s">
        <v>551</v>
      </c>
      <c r="Q42" t="s">
        <v>360</v>
      </c>
      <c r="R42" t="s">
        <v>405</v>
      </c>
      <c r="S42" s="89" t="s">
        <v>409</v>
      </c>
      <c r="T42" t="str">
        <f t="shared" si="1"/>
        <v>Arrêté ministériel POLLEC 2021_P21_MOB1 du 13-12-2021</v>
      </c>
    </row>
    <row r="43" spans="1:20" x14ac:dyDescent="0.25">
      <c r="A43" s="325" t="str">
        <f>_xlfn.CONCAT(t_projet_21[[#This Row],[Sélectionner Commune/Supra]]," ",t_projet_21[[#This Row],[Thématique]])</f>
        <v>Pays de l'Ourthe 3 - Mobilisation citoyenne énergie</v>
      </c>
      <c r="B43" t="s">
        <v>451</v>
      </c>
      <c r="C43" s="88" t="s">
        <v>454</v>
      </c>
      <c r="D43" s="94">
        <v>99616</v>
      </c>
      <c r="E43" s="94">
        <f>t_projet_21[[#This Row],[Montant du subside ]]*0.8</f>
        <v>79692.800000000003</v>
      </c>
      <c r="F43" s="94" t="s">
        <v>718</v>
      </c>
      <c r="G43" s="94" t="s">
        <v>714</v>
      </c>
      <c r="H43" s="67" t="s">
        <v>340</v>
      </c>
      <c r="I43" s="67" t="s">
        <v>500</v>
      </c>
      <c r="J43" s="67" t="s">
        <v>503</v>
      </c>
      <c r="L43" s="67" t="s">
        <v>511</v>
      </c>
      <c r="M43" s="231">
        <v>500070332</v>
      </c>
      <c r="N43" t="s">
        <v>642</v>
      </c>
      <c r="O43" s="315">
        <v>2</v>
      </c>
      <c r="P43">
        <v>6987</v>
      </c>
      <c r="Q43" t="s">
        <v>342</v>
      </c>
      <c r="R43" t="s">
        <v>405</v>
      </c>
      <c r="S43" s="89" t="s">
        <v>409</v>
      </c>
      <c r="T43" t="str">
        <f t="shared" si="1"/>
        <v>Arrêté ministériel POLLEC 2021_ du 13-12-2021</v>
      </c>
    </row>
    <row r="44" spans="1:20" x14ac:dyDescent="0.25">
      <c r="A44" s="324" t="str">
        <f>_xlfn.CONCAT(t_projet_21[[#This Row],[Sélectionner Commune/Supra]]," ",t_projet_21[[#This Row],[Thématique]])</f>
        <v>Pays de l'Ourthe 5 - Préfinancement audit logement</v>
      </c>
      <c r="B44" t="s">
        <v>451</v>
      </c>
      <c r="C44" s="88" t="s">
        <v>454</v>
      </c>
      <c r="D44" s="94">
        <v>99968</v>
      </c>
      <c r="E44" s="94">
        <f>t_projet_21[[#This Row],[Montant du subside ]]*0.8</f>
        <v>79974.399999999994</v>
      </c>
      <c r="F44" s="94" t="s">
        <v>716</v>
      </c>
      <c r="G44" s="94" t="s">
        <v>710</v>
      </c>
      <c r="H44" s="67" t="s">
        <v>772</v>
      </c>
      <c r="I44" s="67" t="s">
        <v>500</v>
      </c>
      <c r="J44" s="67" t="s">
        <v>506</v>
      </c>
      <c r="L44" s="67" t="s">
        <v>511</v>
      </c>
      <c r="M44" s="231">
        <v>500070332</v>
      </c>
      <c r="N44" t="s">
        <v>642</v>
      </c>
      <c r="O44" s="315">
        <v>2</v>
      </c>
      <c r="P44">
        <v>6987</v>
      </c>
      <c r="Q44" t="s">
        <v>342</v>
      </c>
      <c r="R44" t="s">
        <v>405</v>
      </c>
      <c r="S44" s="89" t="s">
        <v>409</v>
      </c>
      <c r="T44" t="str">
        <f t="shared" si="1"/>
        <v>Arrêté ministériel POLLEC 2021_ du 13-12-2021</v>
      </c>
    </row>
    <row r="45" spans="1:20" x14ac:dyDescent="0.25">
      <c r="A45" s="325" t="str">
        <f>_xlfn.CONCAT(t_projet_21[[#This Row],[Sélectionner Commune/Supra]]," ",t_projet_21[[#This Row],[Thématique]])</f>
        <v>Philippeville 13 - Mobilisation écoles énergie</v>
      </c>
      <c r="B45" t="s">
        <v>361</v>
      </c>
      <c r="C45" s="88" t="s">
        <v>454</v>
      </c>
      <c r="D45" s="94">
        <v>53007.68</v>
      </c>
      <c r="E45" s="94">
        <f>t_projet_21[[#This Row],[Montant du subside ]]*0.8</f>
        <v>42406.14</v>
      </c>
      <c r="F45" s="94" t="s">
        <v>717</v>
      </c>
      <c r="G45" s="94" t="s">
        <v>682</v>
      </c>
      <c r="H45" s="67" t="s">
        <v>749</v>
      </c>
      <c r="I45" s="67" t="s">
        <v>478</v>
      </c>
      <c r="J45" s="67" t="s">
        <v>506</v>
      </c>
      <c r="K45" s="67" t="s">
        <v>650</v>
      </c>
      <c r="L45" s="67" t="s">
        <v>509</v>
      </c>
      <c r="M45" s="231">
        <v>500070346</v>
      </c>
      <c r="N45" t="s">
        <v>593</v>
      </c>
      <c r="O45" s="315" t="s">
        <v>534</v>
      </c>
      <c r="P45" t="s">
        <v>594</v>
      </c>
      <c r="Q45" t="s">
        <v>361</v>
      </c>
      <c r="R45" t="s">
        <v>405</v>
      </c>
      <c r="S45" s="89" t="s">
        <v>409</v>
      </c>
      <c r="T45" t="str">
        <f t="shared" si="1"/>
        <v>Arrêté ministériel POLLEC 2021_P21_MOB1 du 13-12-2021</v>
      </c>
    </row>
    <row r="46" spans="1:20" x14ac:dyDescent="0.25">
      <c r="A46" s="324" t="str">
        <f>_xlfn.CONCAT(t_projet_21[[#This Row],[Sélectionner Commune/Supra]]," ",t_projet_21[[#This Row],[Thématique]])</f>
        <v>Pont-à-Celles 5 - Préfinancement audit logement</v>
      </c>
      <c r="B46" t="s">
        <v>448</v>
      </c>
      <c r="C46" s="88" t="s">
        <v>454</v>
      </c>
      <c r="D46" s="94">
        <v>60000</v>
      </c>
      <c r="E46" s="94">
        <f>t_projet_21[[#This Row],[Montant du subside ]]*0.8</f>
        <v>48000</v>
      </c>
      <c r="F46" s="94" t="s">
        <v>716</v>
      </c>
      <c r="G46" s="94" t="s">
        <v>691</v>
      </c>
      <c r="H46" s="67" t="s">
        <v>758</v>
      </c>
      <c r="I46" s="67" t="s">
        <v>486</v>
      </c>
      <c r="J46" s="67" t="s">
        <v>506</v>
      </c>
      <c r="K46" s="67" t="s">
        <v>649</v>
      </c>
      <c r="L46" s="67" t="s">
        <v>508</v>
      </c>
      <c r="M46" s="231">
        <v>500070347</v>
      </c>
      <c r="N46" t="s">
        <v>612</v>
      </c>
      <c r="O46" s="315" t="s">
        <v>553</v>
      </c>
      <c r="P46" t="s">
        <v>613</v>
      </c>
      <c r="Q46" t="s">
        <v>448</v>
      </c>
      <c r="R46" t="s">
        <v>405</v>
      </c>
      <c r="S46" s="89" t="s">
        <v>409</v>
      </c>
      <c r="T46" t="str">
        <f t="shared" si="1"/>
        <v>Arrêté ministériel POLLEC 2021_P21_MOB2 du 13-12-2021</v>
      </c>
    </row>
    <row r="47" spans="1:20" x14ac:dyDescent="0.25">
      <c r="A47" s="325" t="str">
        <f>_xlfn.CONCAT(t_projet_21[[#This Row],[Sélectionner Commune/Supra]]," ",t_projet_21[[#This Row],[Thématique]])</f>
        <v>Profondeville 6 - Projets participatifs (écoquartiers)</v>
      </c>
      <c r="B47" t="s">
        <v>362</v>
      </c>
      <c r="C47" s="88" t="s">
        <v>454</v>
      </c>
      <c r="D47" s="94">
        <v>60000</v>
      </c>
      <c r="E47" s="94">
        <f>t_projet_21[[#This Row],[Montant du subside ]]*0.8</f>
        <v>48000</v>
      </c>
      <c r="F47" s="94" t="s">
        <v>719</v>
      </c>
      <c r="G47" s="94" t="s">
        <v>666</v>
      </c>
      <c r="H47" s="67" t="s">
        <v>737</v>
      </c>
      <c r="I47" s="67" t="s">
        <v>466</v>
      </c>
      <c r="J47" s="67" t="s">
        <v>507</v>
      </c>
      <c r="K47" s="67" t="s">
        <v>650</v>
      </c>
      <c r="L47" s="67" t="s">
        <v>509</v>
      </c>
      <c r="M47" s="231">
        <v>500070346</v>
      </c>
      <c r="N47" t="s">
        <v>557</v>
      </c>
      <c r="O47" s="315" t="s">
        <v>545</v>
      </c>
      <c r="P47" t="s">
        <v>558</v>
      </c>
      <c r="Q47" t="s">
        <v>362</v>
      </c>
      <c r="R47" t="s">
        <v>405</v>
      </c>
      <c r="S47" s="89" t="s">
        <v>409</v>
      </c>
      <c r="T47" t="str">
        <f t="shared" si="1"/>
        <v>Arrêté ministériel POLLEC 2021_P21_MOB1 du 13-12-2021</v>
      </c>
    </row>
    <row r="48" spans="1:20" x14ac:dyDescent="0.25">
      <c r="A48" s="325" t="str">
        <f>_xlfn.CONCAT(t_projet_21[[#This Row],[Sélectionner Commune/Supra]]," ",t_projet_21[[#This Row],[Thématique]])</f>
        <v>Rouvroy 5 - Préfinancement audit logement</v>
      </c>
      <c r="B48" t="s">
        <v>364</v>
      </c>
      <c r="C48" s="88" t="s">
        <v>454</v>
      </c>
      <c r="D48" s="94">
        <v>49559.839999999997</v>
      </c>
      <c r="E48" s="94">
        <f>t_projet_21[[#This Row],[Montant du subside ]]*0.8</f>
        <v>39647.870000000003</v>
      </c>
      <c r="F48" s="94" t="s">
        <v>716</v>
      </c>
      <c r="G48" s="94" t="s">
        <v>702</v>
      </c>
      <c r="H48" s="67" t="s">
        <v>766</v>
      </c>
      <c r="I48" s="67" t="s">
        <v>494</v>
      </c>
      <c r="J48" s="67" t="s">
        <v>503</v>
      </c>
      <c r="K48" s="67" t="s">
        <v>649</v>
      </c>
      <c r="L48" s="67" t="s">
        <v>508</v>
      </c>
      <c r="M48" s="231">
        <v>500070347</v>
      </c>
      <c r="N48" t="s">
        <v>627</v>
      </c>
      <c r="O48" s="315" t="s">
        <v>628</v>
      </c>
      <c r="P48" t="s">
        <v>629</v>
      </c>
      <c r="Q48" t="s">
        <v>364</v>
      </c>
      <c r="R48" t="s">
        <v>405</v>
      </c>
      <c r="S48" s="89" t="s">
        <v>409</v>
      </c>
      <c r="T48" t="str">
        <f t="shared" si="1"/>
        <v>Arrêté ministériel POLLEC 2021_P21_MOB2 du 13-12-2021</v>
      </c>
    </row>
    <row r="49" spans="1:20" x14ac:dyDescent="0.25">
      <c r="A49" s="324" t="str">
        <f>_xlfn.CONCAT(t_projet_21[[#This Row],[Sélectionner Commune/Supra]]," ",t_projet_21[[#This Row],[Thématique]])</f>
        <v>Sambreville 4 - Chantiers participatifs auto-isolation</v>
      </c>
      <c r="B49" t="s">
        <v>365</v>
      </c>
      <c r="C49" s="88" t="s">
        <v>454</v>
      </c>
      <c r="D49" s="94">
        <v>60000</v>
      </c>
      <c r="E49" s="94">
        <f>t_projet_21[[#This Row],[Montant du subside ]]*0.8</f>
        <v>48000</v>
      </c>
      <c r="F49" s="94" t="s">
        <v>720</v>
      </c>
      <c r="G49" s="94" t="s">
        <v>703</v>
      </c>
      <c r="H49" s="67" t="s">
        <v>767</v>
      </c>
      <c r="I49" s="67" t="s">
        <v>495</v>
      </c>
      <c r="J49" s="67" t="s">
        <v>503</v>
      </c>
      <c r="K49" s="67" t="s">
        <v>650</v>
      </c>
      <c r="L49" s="67" t="s">
        <v>509</v>
      </c>
      <c r="M49" s="231">
        <v>500070346</v>
      </c>
      <c r="N49" t="s">
        <v>630</v>
      </c>
      <c r="O49" s="315" t="s">
        <v>524</v>
      </c>
      <c r="P49" t="s">
        <v>631</v>
      </c>
      <c r="Q49" t="s">
        <v>365</v>
      </c>
      <c r="R49" t="s">
        <v>405</v>
      </c>
      <c r="S49" s="89" t="s">
        <v>409</v>
      </c>
      <c r="T49" t="str">
        <f t="shared" si="1"/>
        <v>Arrêté ministériel POLLEC 2021_P21_MOB1 du 13-12-2021</v>
      </c>
    </row>
    <row r="50" spans="1:20" x14ac:dyDescent="0.25">
      <c r="A50" s="325" t="str">
        <f>_xlfn.CONCAT(t_projet_21[[#This Row],[Sélectionner Commune/Supra]]," ",t_projet_21[[#This Row],[Thématique]])</f>
        <v>Sambreville 5 - Préfinancement audit logement</v>
      </c>
      <c r="B50" t="s">
        <v>365</v>
      </c>
      <c r="C50" s="88" t="s">
        <v>454</v>
      </c>
      <c r="D50" s="94">
        <v>60000</v>
      </c>
      <c r="E50" s="94">
        <f>t_projet_21[[#This Row],[Montant du subside ]]*0.8</f>
        <v>48000</v>
      </c>
      <c r="F50" s="94" t="s">
        <v>716</v>
      </c>
      <c r="G50" s="94" t="s">
        <v>704</v>
      </c>
      <c r="H50" s="67" t="s">
        <v>767</v>
      </c>
      <c r="I50" s="67" t="s">
        <v>495</v>
      </c>
      <c r="J50" s="67" t="s">
        <v>507</v>
      </c>
      <c r="K50" s="67" t="s">
        <v>649</v>
      </c>
      <c r="L50" s="67" t="s">
        <v>508</v>
      </c>
      <c r="M50" s="231">
        <v>500070347</v>
      </c>
      <c r="N50" t="s">
        <v>630</v>
      </c>
      <c r="O50" s="315" t="s">
        <v>524</v>
      </c>
      <c r="P50" t="s">
        <v>631</v>
      </c>
      <c r="Q50" t="s">
        <v>365</v>
      </c>
      <c r="R50" t="s">
        <v>405</v>
      </c>
      <c r="S50" s="89" t="s">
        <v>409</v>
      </c>
      <c r="T50" t="str">
        <f t="shared" si="1"/>
        <v>Arrêté ministériel POLLEC 2021_P21_MOB2 du 13-12-2021</v>
      </c>
    </row>
    <row r="51" spans="1:20" x14ac:dyDescent="0.25">
      <c r="A51" s="325" t="str">
        <f>_xlfn.CONCAT(t_projet_21[[#This Row],[Sélectionner Commune/Supra]]," ",t_projet_21[[#This Row],[Thématique]])</f>
        <v>Seneffe 5 - Préfinancement audit logement</v>
      </c>
      <c r="B51" t="s">
        <v>400</v>
      </c>
      <c r="C51" s="88" t="s">
        <v>454</v>
      </c>
      <c r="D51" s="94">
        <v>60000</v>
      </c>
      <c r="E51" s="94">
        <f>t_projet_21[[#This Row],[Montant du subside ]]*0.8</f>
        <v>48000</v>
      </c>
      <c r="F51" s="94" t="s">
        <v>716</v>
      </c>
      <c r="G51" s="94" t="s">
        <v>684</v>
      </c>
      <c r="H51" s="67" t="s">
        <v>752</v>
      </c>
      <c r="I51" s="67" t="s">
        <v>404</v>
      </c>
      <c r="J51" s="67" t="s">
        <v>506</v>
      </c>
      <c r="K51" s="67" t="s">
        <v>649</v>
      </c>
      <c r="L51" s="67" t="s">
        <v>508</v>
      </c>
      <c r="M51" s="231">
        <v>500070347</v>
      </c>
      <c r="N51" t="s">
        <v>599</v>
      </c>
      <c r="O51" s="315" t="s">
        <v>559</v>
      </c>
      <c r="P51" t="s">
        <v>600</v>
      </c>
      <c r="Q51" t="s">
        <v>400</v>
      </c>
      <c r="R51" t="s">
        <v>405</v>
      </c>
      <c r="S51" s="89" t="s">
        <v>409</v>
      </c>
      <c r="T51" t="str">
        <f t="shared" si="1"/>
        <v>Arrêté ministériel POLLEC 2021_P21_MOB2 du 13-12-2021</v>
      </c>
    </row>
    <row r="52" spans="1:20" x14ac:dyDescent="0.25">
      <c r="A52" s="325" t="str">
        <f>_xlfn.CONCAT(t_projet_21[[#This Row],[Sélectionner Commune/Supra]]," ",t_projet_21[[#This Row],[Thématique]])</f>
        <v>Seraing 4 - Chantiers participatifs auto-isolation</v>
      </c>
      <c r="B52" t="s">
        <v>366</v>
      </c>
      <c r="C52" s="88" t="s">
        <v>454</v>
      </c>
      <c r="D52" s="94">
        <v>60000</v>
      </c>
      <c r="E52" s="94">
        <f>t_projet_21[[#This Row],[Montant du subside ]]*0.8</f>
        <v>48000</v>
      </c>
      <c r="F52" s="94" t="s">
        <v>720</v>
      </c>
      <c r="G52" s="94" t="s">
        <v>671</v>
      </c>
      <c r="H52" s="67" t="s">
        <v>739</v>
      </c>
      <c r="I52" s="67" t="s">
        <v>468</v>
      </c>
      <c r="J52" s="67" t="s">
        <v>506</v>
      </c>
      <c r="K52" s="67" t="s">
        <v>650</v>
      </c>
      <c r="L52" s="67" t="s">
        <v>509</v>
      </c>
      <c r="M52" s="231">
        <v>500070346</v>
      </c>
      <c r="N52" t="s">
        <v>565</v>
      </c>
      <c r="O52" s="315" t="s">
        <v>566</v>
      </c>
      <c r="P52" t="s">
        <v>567</v>
      </c>
      <c r="Q52" t="s">
        <v>366</v>
      </c>
      <c r="R52" t="s">
        <v>405</v>
      </c>
      <c r="S52" s="89" t="s">
        <v>409</v>
      </c>
      <c r="T52" t="str">
        <f t="shared" si="1"/>
        <v>Arrêté ministériel POLLEC 2021_P21_MOB1 du 13-12-2021</v>
      </c>
    </row>
    <row r="53" spans="1:20" x14ac:dyDescent="0.25">
      <c r="A53" s="324" t="str">
        <f>_xlfn.CONCAT(t_projet_21[[#This Row],[Sélectionner Commune/Supra]]," ",t_projet_21[[#This Row],[Thématique]])</f>
        <v>Seraing 5 - Préfinancement audit logement</v>
      </c>
      <c r="B53" t="s">
        <v>366</v>
      </c>
      <c r="C53" s="88" t="s">
        <v>454</v>
      </c>
      <c r="D53" s="94">
        <v>60000</v>
      </c>
      <c r="E53" s="94">
        <f>t_projet_21[[#This Row],[Montant du subside ]]*0.8</f>
        <v>48000</v>
      </c>
      <c r="F53" s="94" t="s">
        <v>716</v>
      </c>
      <c r="G53" s="94" t="s">
        <v>670</v>
      </c>
      <c r="H53" s="67" t="s">
        <v>739</v>
      </c>
      <c r="I53" s="67" t="s">
        <v>468</v>
      </c>
      <c r="J53" s="67" t="s">
        <v>506</v>
      </c>
      <c r="K53" s="67" t="s">
        <v>649</v>
      </c>
      <c r="L53" s="67" t="s">
        <v>508</v>
      </c>
      <c r="M53" s="231">
        <v>500070347</v>
      </c>
      <c r="N53" t="s">
        <v>565</v>
      </c>
      <c r="O53" s="315" t="s">
        <v>566</v>
      </c>
      <c r="P53" t="s">
        <v>567</v>
      </c>
      <c r="Q53" t="s">
        <v>366</v>
      </c>
      <c r="R53" t="s">
        <v>405</v>
      </c>
      <c r="S53" s="89" t="s">
        <v>409</v>
      </c>
      <c r="T53" t="str">
        <f t="shared" si="1"/>
        <v>Arrêté ministériel POLLEC 2021_P21_MOB2 du 13-12-2021</v>
      </c>
    </row>
    <row r="54" spans="1:20" x14ac:dyDescent="0.25">
      <c r="A54" s="325" t="str">
        <f>_xlfn.CONCAT(t_projet_21[[#This Row],[Sélectionner Commune/Supra]]," ",t_projet_21[[#This Row],[Thématique]])</f>
        <v>Soignies 5 - Préfinancement audit logement</v>
      </c>
      <c r="B54" t="s">
        <v>398</v>
      </c>
      <c r="C54" s="88" t="s">
        <v>454</v>
      </c>
      <c r="D54" s="94">
        <v>43371.68</v>
      </c>
      <c r="E54" s="94">
        <f>t_projet_21[[#This Row],[Montant du subside ]]*0.8</f>
        <v>34697.339999999997</v>
      </c>
      <c r="F54" s="94" t="s">
        <v>716</v>
      </c>
      <c r="G54" s="94" t="s">
        <v>673</v>
      </c>
      <c r="H54" s="67" t="s">
        <v>408</v>
      </c>
      <c r="I54" s="67" t="s">
        <v>402</v>
      </c>
      <c r="J54" s="67" t="s">
        <v>506</v>
      </c>
      <c r="K54" s="67" t="s">
        <v>649</v>
      </c>
      <c r="L54" s="67" t="s">
        <v>508</v>
      </c>
      <c r="M54" s="231">
        <v>500070347</v>
      </c>
      <c r="N54" t="s">
        <v>571</v>
      </c>
      <c r="O54" s="315" t="s">
        <v>572</v>
      </c>
      <c r="P54" t="s">
        <v>573</v>
      </c>
      <c r="Q54" t="s">
        <v>398</v>
      </c>
      <c r="R54" t="s">
        <v>405</v>
      </c>
      <c r="S54" s="89" t="s">
        <v>409</v>
      </c>
      <c r="T54" t="str">
        <f t="shared" si="1"/>
        <v>Arrêté ministériel POLLEC 2021_P21_MOB2 du 13-12-2021</v>
      </c>
    </row>
    <row r="55" spans="1:20" x14ac:dyDescent="0.25">
      <c r="A55" s="325" t="str">
        <f>_xlfn.CONCAT(t_projet_21[[#This Row],[Sélectionner Commune/Supra]]," ",t_projet_21[[#This Row],[Thématique]])</f>
        <v>Soumagne 5 - Préfinancement audit logement</v>
      </c>
      <c r="B55" t="s">
        <v>367</v>
      </c>
      <c r="C55" s="88" t="s">
        <v>454</v>
      </c>
      <c r="D55" s="94">
        <v>60000</v>
      </c>
      <c r="E55" s="94">
        <f>t_projet_21[[#This Row],[Montant du subside ]]*0.8</f>
        <v>48000</v>
      </c>
      <c r="F55" s="94" t="s">
        <v>716</v>
      </c>
      <c r="G55" s="94" t="s">
        <v>683</v>
      </c>
      <c r="H55" s="67" t="s">
        <v>751</v>
      </c>
      <c r="I55" s="67" t="s">
        <v>480</v>
      </c>
      <c r="J55" s="67" t="s">
        <v>503</v>
      </c>
      <c r="K55" s="67" t="s">
        <v>649</v>
      </c>
      <c r="L55" s="67" t="s">
        <v>508</v>
      </c>
      <c r="M55" s="231">
        <v>500070347</v>
      </c>
      <c r="N55" t="s">
        <v>597</v>
      </c>
      <c r="O55" s="315" t="s">
        <v>542</v>
      </c>
      <c r="P55" t="s">
        <v>598</v>
      </c>
      <c r="Q55" t="s">
        <v>367</v>
      </c>
      <c r="R55" t="s">
        <v>405</v>
      </c>
      <c r="S55" s="89" t="s">
        <v>409</v>
      </c>
      <c r="T55" t="str">
        <f t="shared" si="1"/>
        <v>Arrêté ministériel POLLEC 2021_P21_MOB2 du 13-12-2021</v>
      </c>
    </row>
    <row r="56" spans="1:20" x14ac:dyDescent="0.25">
      <c r="A56" s="325" t="str">
        <f>_xlfn.CONCAT(t_projet_21[[#This Row],[Sélectionner Commune/Supra]]," ",t_projet_21[[#This Row],[Thématique]])</f>
        <v>Spa 5 - Préfinancement audit logement</v>
      </c>
      <c r="B56" t="s">
        <v>368</v>
      </c>
      <c r="C56" s="88" t="s">
        <v>454</v>
      </c>
      <c r="D56" s="94">
        <v>60000</v>
      </c>
      <c r="E56" s="94">
        <f>t_projet_21[[#This Row],[Montant du subside ]]*0.8</f>
        <v>48000</v>
      </c>
      <c r="F56" s="94" t="s">
        <v>716</v>
      </c>
      <c r="G56" s="94" t="s">
        <v>685</v>
      </c>
      <c r="H56" s="67" t="s">
        <v>753</v>
      </c>
      <c r="I56" s="67" t="s">
        <v>481</v>
      </c>
      <c r="J56" s="67" t="s">
        <v>503</v>
      </c>
      <c r="K56" s="67" t="s">
        <v>649</v>
      </c>
      <c r="L56" s="67" t="s">
        <v>508</v>
      </c>
      <c r="M56" s="231">
        <v>500070347</v>
      </c>
      <c r="N56" t="s">
        <v>601</v>
      </c>
      <c r="O56" s="315" t="s">
        <v>602</v>
      </c>
      <c r="P56" t="s">
        <v>603</v>
      </c>
      <c r="Q56" t="s">
        <v>368</v>
      </c>
      <c r="R56" t="s">
        <v>405</v>
      </c>
      <c r="S56" s="89" t="s">
        <v>409</v>
      </c>
      <c r="T56" t="str">
        <f t="shared" si="1"/>
        <v>Arrêté ministériel POLLEC 2021_P21_MOB2 du 13-12-2021</v>
      </c>
    </row>
    <row r="57" spans="1:20" x14ac:dyDescent="0.25">
      <c r="A57" s="325" t="str">
        <f>_xlfn.CONCAT(t_projet_21[[#This Row],[Sélectionner Commune/Supra]]," ",t_projet_21[[#This Row],[Thématique]])</f>
        <v>Stavelot 5 - Préfinancement audit logement</v>
      </c>
      <c r="B57" t="s">
        <v>369</v>
      </c>
      <c r="C57" s="88" t="s">
        <v>454</v>
      </c>
      <c r="D57" s="94">
        <v>60000</v>
      </c>
      <c r="E57" s="94">
        <f>t_projet_21[[#This Row],[Montant du subside ]]*0.8</f>
        <v>48000</v>
      </c>
      <c r="F57" s="94" t="s">
        <v>716</v>
      </c>
      <c r="G57" s="94" t="s">
        <v>678</v>
      </c>
      <c r="H57" s="67" t="s">
        <v>744</v>
      </c>
      <c r="I57" s="67" t="s">
        <v>473</v>
      </c>
      <c r="J57" s="67" t="s">
        <v>504</v>
      </c>
      <c r="K57" s="67" t="s">
        <v>649</v>
      </c>
      <c r="L57" s="67" t="s">
        <v>508</v>
      </c>
      <c r="M57" s="231">
        <v>500070347</v>
      </c>
      <c r="N57" t="s">
        <v>582</v>
      </c>
      <c r="O57" s="315" t="s">
        <v>572</v>
      </c>
      <c r="P57" t="s">
        <v>583</v>
      </c>
      <c r="Q57" t="s">
        <v>369</v>
      </c>
      <c r="R57" t="s">
        <v>405</v>
      </c>
      <c r="S57" s="89" t="s">
        <v>409</v>
      </c>
      <c r="T57" t="str">
        <f t="shared" si="1"/>
        <v>Arrêté ministériel POLLEC 2021_P21_MOB2 du 13-12-2021</v>
      </c>
    </row>
    <row r="58" spans="1:20" x14ac:dyDescent="0.25">
      <c r="A58" s="324" t="str">
        <f>_xlfn.CONCAT(t_projet_21[[#This Row],[Sélectionner Commune/Supra]]," ",t_projet_21[[#This Row],[Thématique]])</f>
        <v>Vielsalm 13 - Mobilisation écoles énergie</v>
      </c>
      <c r="B58" t="s">
        <v>370</v>
      </c>
      <c r="C58" s="88" t="s">
        <v>454</v>
      </c>
      <c r="D58" s="94">
        <v>60000</v>
      </c>
      <c r="E58" s="94">
        <f>t_projet_21[[#This Row],[Montant du subside ]]*0.8</f>
        <v>48000</v>
      </c>
      <c r="F58" s="94" t="s">
        <v>717</v>
      </c>
      <c r="G58" s="94" t="s">
        <v>659</v>
      </c>
      <c r="H58" s="67" t="s">
        <v>730</v>
      </c>
      <c r="I58" s="67" t="s">
        <v>459</v>
      </c>
      <c r="J58" s="67" t="s">
        <v>503</v>
      </c>
      <c r="K58" s="67" t="s">
        <v>650</v>
      </c>
      <c r="L58" s="67" t="s">
        <v>509</v>
      </c>
      <c r="M58" s="231">
        <v>500070346</v>
      </c>
      <c r="N58" t="s">
        <v>535</v>
      </c>
      <c r="O58" s="315" t="s">
        <v>536</v>
      </c>
      <c r="P58" t="s">
        <v>537</v>
      </c>
      <c r="Q58" t="s">
        <v>370</v>
      </c>
      <c r="R58" t="s">
        <v>405</v>
      </c>
      <c r="S58" s="89" t="s">
        <v>409</v>
      </c>
      <c r="T58" t="str">
        <f t="shared" si="1"/>
        <v>Arrêté ministériel POLLEC 2021_P21_MOB1 du 13-12-2021</v>
      </c>
    </row>
    <row r="59" spans="1:20" x14ac:dyDescent="0.25">
      <c r="A59" s="325" t="str">
        <f>_xlfn.CONCAT(t_projet_21[[#This Row],[Sélectionner Commune/Supra]]," ",t_projet_21[[#This Row],[Thématique]])</f>
        <v>Villers-la-Ville 5 - Préfinancement audit logement</v>
      </c>
      <c r="B59" t="s">
        <v>371</v>
      </c>
      <c r="C59" s="88" t="s">
        <v>454</v>
      </c>
      <c r="D59" s="94">
        <v>60000</v>
      </c>
      <c r="E59" s="94">
        <f>t_projet_21[[#This Row],[Montant du subside ]]*0.8</f>
        <v>48000</v>
      </c>
      <c r="F59" s="94" t="s">
        <v>716</v>
      </c>
      <c r="G59" s="94" t="s">
        <v>692</v>
      </c>
      <c r="H59" s="67" t="s">
        <v>760</v>
      </c>
      <c r="I59" s="67" t="s">
        <v>488</v>
      </c>
      <c r="J59" s="67" t="s">
        <v>505</v>
      </c>
      <c r="K59" s="67" t="s">
        <v>649</v>
      </c>
      <c r="L59" s="67" t="s">
        <v>508</v>
      </c>
      <c r="M59" s="67">
        <v>500070347</v>
      </c>
      <c r="N59" t="s">
        <v>616</v>
      </c>
      <c r="O59" s="315" t="s">
        <v>617</v>
      </c>
      <c r="P59" t="s">
        <v>618</v>
      </c>
      <c r="Q59" t="s">
        <v>371</v>
      </c>
      <c r="R59" t="s">
        <v>405</v>
      </c>
      <c r="S59" s="89" t="s">
        <v>409</v>
      </c>
      <c r="T59" t="str">
        <f t="shared" si="1"/>
        <v>Arrêté ministériel POLLEC 2021_P21_MOB2 du 13-12-2021</v>
      </c>
    </row>
    <row r="60" spans="1:20" x14ac:dyDescent="0.25">
      <c r="A60" s="325" t="str">
        <f>_xlfn.CONCAT(t_projet_21[[#This Row],[Sélectionner Commune/Supra]]," ",t_projet_21[[#This Row],[Thématique]])</f>
        <v>Wasseiges 5 - Préfinancement audit logement</v>
      </c>
      <c r="B60" t="s">
        <v>372</v>
      </c>
      <c r="C60" s="88" t="s">
        <v>454</v>
      </c>
      <c r="D60" s="94">
        <v>58344</v>
      </c>
      <c r="E60" s="94">
        <f>t_projet_21[[#This Row],[Montant du subside ]]*0.8</f>
        <v>46675.199999999997</v>
      </c>
      <c r="F60" s="94" t="s">
        <v>716</v>
      </c>
      <c r="G60" s="94" t="s">
        <v>660</v>
      </c>
      <c r="H60" s="67" t="s">
        <v>731</v>
      </c>
      <c r="I60" s="67" t="s">
        <v>460</v>
      </c>
      <c r="J60" s="67" t="s">
        <v>505</v>
      </c>
      <c r="K60" s="67" t="s">
        <v>649</v>
      </c>
      <c r="L60" s="67" t="s">
        <v>508</v>
      </c>
      <c r="M60" s="231">
        <v>500070347</v>
      </c>
      <c r="N60" t="s">
        <v>538</v>
      </c>
      <c r="O60" s="315" t="s">
        <v>539</v>
      </c>
      <c r="P60" t="s">
        <v>540</v>
      </c>
      <c r="Q60" t="s">
        <v>372</v>
      </c>
      <c r="R60" t="s">
        <v>405</v>
      </c>
      <c r="S60" s="89" t="s">
        <v>409</v>
      </c>
      <c r="T60" t="str">
        <f t="shared" si="1"/>
        <v>Arrêté ministériel POLLEC 2021_P21_MOB2 du 13-12-2021</v>
      </c>
    </row>
    <row r="61" spans="1:20" x14ac:dyDescent="0.25">
      <c r="A61" s="360" t="str">
        <f>_xlfn.CONCAT(t_projet_21[[#This Row],[Sélectionner Commune/Supra]]," ",t_projet_21[[#This Row],[Thématique]])</f>
        <v>Welkenraedt 4 - Chantiers participatifs auto-isolation</v>
      </c>
      <c r="B61" t="s">
        <v>373</v>
      </c>
      <c r="C61" s="88" t="s">
        <v>454</v>
      </c>
      <c r="D61" s="94">
        <v>60000</v>
      </c>
      <c r="E61" s="94">
        <f>t_projet_21[[#This Row],[Montant du subside ]]*0.8</f>
        <v>48000</v>
      </c>
      <c r="F61" s="94" t="s">
        <v>720</v>
      </c>
      <c r="G61" s="94" t="s">
        <v>677</v>
      </c>
      <c r="H61" s="67" t="s">
        <v>743</v>
      </c>
      <c r="I61" s="67" t="s">
        <v>472</v>
      </c>
      <c r="J61" s="67" t="s">
        <v>506</v>
      </c>
      <c r="K61" s="67" t="s">
        <v>650</v>
      </c>
      <c r="L61" s="67" t="s">
        <v>509</v>
      </c>
      <c r="M61" s="231">
        <v>500070346</v>
      </c>
      <c r="N61" t="s">
        <v>579</v>
      </c>
      <c r="O61" s="315" t="s">
        <v>580</v>
      </c>
      <c r="P61" t="s">
        <v>581</v>
      </c>
      <c r="Q61" t="s">
        <v>373</v>
      </c>
      <c r="R61" t="s">
        <v>405</v>
      </c>
      <c r="S61" s="89" t="s">
        <v>409</v>
      </c>
      <c r="T61" t="str">
        <f t="shared" si="1"/>
        <v>Arrêté ministériel POLLEC 2021_P21_MOB1 du 13-12-2021</v>
      </c>
    </row>
  </sheetData>
  <sheetProtection sheet="1" objects="1" scenarios="1"/>
  <sortState xmlns:xlrd2="http://schemas.microsoft.com/office/spreadsheetml/2017/richdata2" ref="B2:T61">
    <sortCondition ref="R1:R61"/>
  </sortState>
  <phoneticPr fontId="53" type="noConversion"/>
  <conditionalFormatting sqref="B1:B1048576">
    <cfRule type="duplicateValues" dxfId="24" priority="1"/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3DA86-7063-4B2E-A859-7A0A24C6FDC5}">
  <dimension ref="A1:X180"/>
  <sheetViews>
    <sheetView topLeftCell="I1" zoomScale="80" zoomScaleNormal="80" workbookViewId="0">
      <selection activeCell="X1" sqref="X1:X19"/>
    </sheetView>
  </sheetViews>
  <sheetFormatPr baseColWidth="10" defaultColWidth="10.7109375" defaultRowHeight="15" x14ac:dyDescent="0.25"/>
  <cols>
    <col min="1" max="1" width="32" bestFit="1" customWidth="1"/>
    <col min="2" max="2" width="5.140625" customWidth="1"/>
    <col min="3" max="3" width="23.7109375" bestFit="1" customWidth="1"/>
    <col min="4" max="4" width="5.28515625" customWidth="1"/>
    <col min="5" max="5" width="22.28515625" bestFit="1" customWidth="1"/>
    <col min="6" max="6" width="5.7109375" customWidth="1"/>
    <col min="7" max="7" width="22.28515625" bestFit="1" customWidth="1"/>
    <col min="8" max="8" width="5" customWidth="1"/>
    <col min="9" max="9" width="21.28515625" bestFit="1" customWidth="1"/>
    <col min="10" max="10" width="5.5703125" customWidth="1"/>
    <col min="11" max="11" width="13.42578125" customWidth="1"/>
    <col min="12" max="12" width="5.42578125" customWidth="1"/>
    <col min="13" max="14" width="44.5703125" customWidth="1"/>
    <col min="15" max="15" width="4.85546875" customWidth="1"/>
    <col min="16" max="16" width="22.28515625" bestFit="1" customWidth="1"/>
    <col min="17" max="17" width="6.140625" customWidth="1"/>
    <col min="18" max="18" width="22.28515625" bestFit="1" customWidth="1"/>
    <col min="19" max="19" width="6.140625" customWidth="1"/>
    <col min="20" max="20" width="37.85546875" customWidth="1"/>
    <col min="21" max="21" width="6.140625" customWidth="1"/>
    <col min="22" max="22" width="29" customWidth="1"/>
    <col min="24" max="24" width="54.85546875" bestFit="1" customWidth="1"/>
  </cols>
  <sheetData>
    <row r="1" spans="1:24" x14ac:dyDescent="0.25">
      <c r="A1" t="s">
        <v>412</v>
      </c>
      <c r="C1" t="s">
        <v>413</v>
      </c>
      <c r="E1" t="s">
        <v>414</v>
      </c>
      <c r="G1" t="s">
        <v>415</v>
      </c>
      <c r="I1" t="s">
        <v>416</v>
      </c>
      <c r="K1" s="329" t="s">
        <v>652</v>
      </c>
      <c r="M1" t="s">
        <v>788</v>
      </c>
      <c r="N1" t="s">
        <v>789</v>
      </c>
      <c r="P1" t="s">
        <v>417</v>
      </c>
      <c r="R1" t="s">
        <v>43</v>
      </c>
      <c r="T1" t="s">
        <v>418</v>
      </c>
      <c r="V1" t="s">
        <v>411</v>
      </c>
      <c r="X1" t="s">
        <v>715</v>
      </c>
    </row>
    <row r="2" spans="1:24" s="314" customFormat="1" x14ac:dyDescent="0.25">
      <c r="A2">
        <v>67200</v>
      </c>
      <c r="B2"/>
      <c r="C2" t="s">
        <v>363</v>
      </c>
      <c r="D2"/>
      <c r="E2" t="s">
        <v>381</v>
      </c>
      <c r="F2"/>
      <c r="G2" t="s">
        <v>382</v>
      </c>
      <c r="H2"/>
      <c r="I2" t="s">
        <v>432</v>
      </c>
      <c r="J2"/>
      <c r="K2" s="328" t="s">
        <v>776</v>
      </c>
      <c r="L2"/>
      <c r="M2" t="s">
        <v>512</v>
      </c>
      <c r="N2" t="s">
        <v>515</v>
      </c>
      <c r="O2"/>
      <c r="P2" t="s">
        <v>10</v>
      </c>
      <c r="Q2"/>
      <c r="R2" t="s">
        <v>10</v>
      </c>
      <c r="S2"/>
      <c r="T2" t="s">
        <v>386</v>
      </c>
      <c r="U2"/>
      <c r="V2" t="s">
        <v>653</v>
      </c>
      <c r="X2" t="s">
        <v>718</v>
      </c>
    </row>
    <row r="3" spans="1:24" x14ac:dyDescent="0.25">
      <c r="A3">
        <v>134400</v>
      </c>
      <c r="C3" t="s">
        <v>319</v>
      </c>
      <c r="E3" t="s">
        <v>376</v>
      </c>
      <c r="G3" t="s">
        <v>377</v>
      </c>
      <c r="I3" t="s">
        <v>433</v>
      </c>
      <c r="K3" s="330" t="s">
        <v>777</v>
      </c>
      <c r="M3" t="s">
        <v>513</v>
      </c>
      <c r="N3" t="s">
        <v>516</v>
      </c>
      <c r="P3" t="s">
        <v>378</v>
      </c>
      <c r="R3" t="s">
        <v>379</v>
      </c>
      <c r="T3" t="s">
        <v>380</v>
      </c>
      <c r="X3" t="s">
        <v>720</v>
      </c>
    </row>
    <row r="4" spans="1:24" x14ac:dyDescent="0.25">
      <c r="A4">
        <v>33600</v>
      </c>
      <c r="C4" t="s">
        <v>341</v>
      </c>
      <c r="E4" t="s">
        <v>10</v>
      </c>
      <c r="G4" t="s">
        <v>10</v>
      </c>
      <c r="I4" t="s">
        <v>383</v>
      </c>
      <c r="K4" s="321" t="s">
        <v>10</v>
      </c>
      <c r="M4" t="s">
        <v>514</v>
      </c>
      <c r="N4" t="s">
        <v>517</v>
      </c>
      <c r="P4" t="s">
        <v>384</v>
      </c>
      <c r="R4" t="s">
        <v>385</v>
      </c>
      <c r="T4" t="s">
        <v>375</v>
      </c>
      <c r="X4" t="s">
        <v>716</v>
      </c>
    </row>
    <row r="5" spans="1:24" x14ac:dyDescent="0.25">
      <c r="A5">
        <v>22400</v>
      </c>
      <c r="C5" t="s">
        <v>329</v>
      </c>
      <c r="I5" t="s">
        <v>131</v>
      </c>
      <c r="K5" s="321"/>
      <c r="M5" s="321" t="s">
        <v>10</v>
      </c>
      <c r="N5" t="s">
        <v>519</v>
      </c>
      <c r="R5" t="s">
        <v>387</v>
      </c>
      <c r="X5" t="s">
        <v>719</v>
      </c>
    </row>
    <row r="6" spans="1:24" ht="23.65" customHeight="1" x14ac:dyDescent="0.25">
      <c r="A6" t="s">
        <v>10</v>
      </c>
      <c r="C6" t="s">
        <v>374</v>
      </c>
      <c r="K6" s="321"/>
      <c r="N6" t="s">
        <v>518</v>
      </c>
      <c r="R6" t="s">
        <v>388</v>
      </c>
      <c r="X6" t="s">
        <v>721</v>
      </c>
    </row>
    <row r="7" spans="1:24" x14ac:dyDescent="0.25">
      <c r="C7" t="s">
        <v>321</v>
      </c>
      <c r="N7" s="321" t="s">
        <v>10</v>
      </c>
      <c r="R7" t="s">
        <v>389</v>
      </c>
      <c r="X7" t="s">
        <v>722</v>
      </c>
    </row>
    <row r="8" spans="1:24" x14ac:dyDescent="0.25">
      <c r="C8" t="s">
        <v>323</v>
      </c>
      <c r="R8" t="s">
        <v>390</v>
      </c>
      <c r="X8" t="s">
        <v>717</v>
      </c>
    </row>
    <row r="9" spans="1:24" x14ac:dyDescent="0.25">
      <c r="C9" t="s">
        <v>324</v>
      </c>
      <c r="R9" t="s">
        <v>391</v>
      </c>
      <c r="X9" t="s">
        <v>10</v>
      </c>
    </row>
    <row r="10" spans="1:24" x14ac:dyDescent="0.25">
      <c r="C10" t="s">
        <v>333</v>
      </c>
      <c r="N10" s="321"/>
      <c r="R10" t="s">
        <v>392</v>
      </c>
    </row>
    <row r="11" spans="1:24" x14ac:dyDescent="0.25">
      <c r="C11" t="s">
        <v>337</v>
      </c>
      <c r="R11" t="s">
        <v>393</v>
      </c>
    </row>
    <row r="12" spans="1:24" x14ac:dyDescent="0.25">
      <c r="C12" t="s">
        <v>356</v>
      </c>
      <c r="R12" t="s">
        <v>394</v>
      </c>
    </row>
    <row r="13" spans="1:24" x14ac:dyDescent="0.25">
      <c r="R13" t="s">
        <v>395</v>
      </c>
    </row>
    <row r="14" spans="1:24" x14ac:dyDescent="0.25">
      <c r="R14" t="s">
        <v>396</v>
      </c>
    </row>
    <row r="176" spans="3:3" x14ac:dyDescent="0.25">
      <c r="C176" t="s">
        <v>356</v>
      </c>
    </row>
    <row r="177" spans="3:3" x14ac:dyDescent="0.25">
      <c r="C177" t="s">
        <v>321</v>
      </c>
    </row>
    <row r="178" spans="3:3" x14ac:dyDescent="0.25">
      <c r="C178" t="s">
        <v>356</v>
      </c>
    </row>
    <row r="179" spans="3:3" x14ac:dyDescent="0.25">
      <c r="C179" t="s">
        <v>321</v>
      </c>
    </row>
    <row r="180" spans="3:3" x14ac:dyDescent="0.25">
      <c r="C180" t="s">
        <v>321</v>
      </c>
    </row>
  </sheetData>
  <sheetProtection sheet="1" selectLockedCells="1" selectUnlockedCells="1"/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IDENTIF">
    <tabColor rgb="FFFFFF00"/>
  </sheetPr>
  <dimension ref="A1:AE64"/>
  <sheetViews>
    <sheetView showGridLines="0" tabSelected="1" zoomScale="90" zoomScaleNormal="90" zoomScaleSheetLayoutView="80" zoomScalePageLayoutView="75" workbookViewId="0">
      <selection activeCell="F21" sqref="F21"/>
    </sheetView>
  </sheetViews>
  <sheetFormatPr baseColWidth="10" defaultColWidth="10.7109375" defaultRowHeight="15" x14ac:dyDescent="0.25"/>
  <cols>
    <col min="1" max="1" width="58.28515625" style="272" customWidth="1"/>
    <col min="2" max="2" width="54.85546875" style="271" customWidth="1"/>
    <col min="3" max="3" width="23.5703125" style="271" customWidth="1"/>
    <col min="4" max="4" width="19.28515625" style="271" customWidth="1"/>
    <col min="5" max="5" width="15.28515625" style="271" customWidth="1"/>
    <col min="6" max="6" width="39.7109375" style="271" customWidth="1"/>
    <col min="7" max="7" width="3.42578125" style="257" customWidth="1"/>
    <col min="8" max="8" width="3.28515625" style="257" customWidth="1"/>
    <col min="9" max="9" width="3.5703125" style="257" customWidth="1"/>
    <col min="10" max="10" width="0.7109375" style="257" customWidth="1"/>
    <col min="11" max="11" width="3.28515625" style="257" customWidth="1"/>
    <col min="12" max="12" width="1.7109375" style="257" customWidth="1"/>
    <col min="13" max="13" width="2" style="257" customWidth="1"/>
    <col min="14" max="14" width="4.7109375" style="257" customWidth="1"/>
    <col min="15" max="16" width="1.7109375" style="257" customWidth="1"/>
    <col min="17" max="17" width="3.28515625" style="257" customWidth="1"/>
    <col min="18" max="18" width="1.7109375" style="258" customWidth="1"/>
    <col min="19" max="27" width="10.7109375" style="258"/>
    <col min="28" max="16384" width="10.7109375" style="271"/>
  </cols>
  <sheetData>
    <row r="1" spans="1:31" s="239" customFormat="1" ht="29.25" customHeight="1" x14ac:dyDescent="0.25">
      <c r="A1" s="319" t="s">
        <v>8</v>
      </c>
      <c r="B1" s="320"/>
      <c r="C1" s="320"/>
      <c r="D1" s="237"/>
      <c r="E1" s="237"/>
      <c r="F1" s="238"/>
      <c r="R1" s="240"/>
      <c r="S1" s="240"/>
      <c r="T1" s="241"/>
      <c r="U1" s="241"/>
      <c r="V1" s="241"/>
      <c r="W1" s="241"/>
      <c r="X1" s="241"/>
      <c r="Y1" s="241"/>
      <c r="Z1" s="241"/>
      <c r="AA1" s="241"/>
      <c r="AB1" s="242"/>
      <c r="AC1" s="242"/>
      <c r="AD1" s="242"/>
      <c r="AE1" s="242"/>
    </row>
    <row r="2" spans="1:31" s="243" customFormat="1" ht="29.25" customHeight="1" x14ac:dyDescent="0.25"/>
    <row r="3" spans="1:31" s="243" customFormat="1" ht="29.25" customHeight="1" x14ac:dyDescent="0.25">
      <c r="A3" s="402" t="s">
        <v>14</v>
      </c>
      <c r="B3" s="402"/>
    </row>
    <row r="4" spans="1:31" s="243" customFormat="1" ht="29.25" customHeight="1" x14ac:dyDescent="0.25">
      <c r="A4" s="316" t="s">
        <v>16</v>
      </c>
      <c r="B4" s="232" t="s">
        <v>17</v>
      </c>
      <c r="D4" s="405" t="s">
        <v>29</v>
      </c>
      <c r="E4" s="405"/>
      <c r="F4" s="405"/>
    </row>
    <row r="5" spans="1:31" s="243" customFormat="1" ht="18.75" customHeight="1" x14ac:dyDescent="0.25">
      <c r="A5" s="316" t="s">
        <v>19</v>
      </c>
      <c r="B5" s="100" t="e">
        <f>VLOOKUP(_xlfn.CONCAT(IDENTIF_NOM_REQUERANT," ",IDENTIF_TH_PROJET),t_projet_21[],9,FALSE)</f>
        <v>#N/A</v>
      </c>
      <c r="D5" s="406" t="s">
        <v>31</v>
      </c>
      <c r="E5" s="407"/>
      <c r="F5" s="114" t="e">
        <f>VLOOKUP(_xlfn.CONCAT(IDENTIF_NOM_REQUERANT," ",IDENTIF_TH_PROJET),t_projet_21[],14,FALSE)</f>
        <v>#N/A</v>
      </c>
    </row>
    <row r="6" spans="1:31" s="243" customFormat="1" ht="18.75" customHeight="1" x14ac:dyDescent="0.25">
      <c r="A6" s="316" t="s">
        <v>21</v>
      </c>
      <c r="B6" s="100" t="e">
        <f>VLOOKUP(_xlfn.CONCAT(IDENTIF_NOM_REQUERANT," ",IDENTIF_TH_PROJET),t_projet_21[],8,FALSE)</f>
        <v>#N/A</v>
      </c>
      <c r="D6" s="317"/>
      <c r="E6" s="318" t="s">
        <v>520</v>
      </c>
      <c r="F6" s="114" t="e">
        <f>VLOOKUP(_xlfn.CONCAT(IDENTIF_NOM_REQUERANT," ",IDENTIF_TH_PROJET),t_projet_21[],15,FALSE)</f>
        <v>#N/A</v>
      </c>
    </row>
    <row r="7" spans="1:31" s="243" customFormat="1" ht="18.75" customHeight="1" x14ac:dyDescent="0.25">
      <c r="A7" s="316" t="s">
        <v>23</v>
      </c>
      <c r="B7" s="95"/>
      <c r="D7" s="406" t="s">
        <v>33</v>
      </c>
      <c r="E7" s="407"/>
      <c r="F7" s="114" t="e">
        <f>VLOOKUP(_xlfn.CONCAT(IDENTIF_NOM_REQUERANT," ",IDENTIF_TH_PROJET),t_projet_21[],16,FALSE)</f>
        <v>#N/A</v>
      </c>
    </row>
    <row r="8" spans="1:31" s="243" customFormat="1" ht="18.75" customHeight="1" x14ac:dyDescent="0.25">
      <c r="A8" s="316" t="s">
        <v>25</v>
      </c>
      <c r="B8" s="95"/>
      <c r="D8" s="406" t="s">
        <v>35</v>
      </c>
      <c r="E8" s="407"/>
      <c r="F8" s="114" t="e">
        <f>VLOOKUP(_xlfn.CONCAT(IDENTIF_NOM_REQUERANT," ",IDENTIF_TH_PROJET),t_projet_21[],17,FALSE)</f>
        <v>#N/A</v>
      </c>
    </row>
    <row r="9" spans="1:31" s="243" customFormat="1" ht="18.75" customHeight="1" x14ac:dyDescent="0.25">
      <c r="A9" s="316" t="s">
        <v>27</v>
      </c>
      <c r="B9" s="95"/>
    </row>
    <row r="10" spans="1:31" s="243" customFormat="1" ht="24.75" customHeight="1" x14ac:dyDescent="0.25">
      <c r="A10" s="244" t="s">
        <v>431</v>
      </c>
      <c r="B10" s="98" t="s">
        <v>10</v>
      </c>
    </row>
    <row r="11" spans="1:31" s="243" customFormat="1" ht="18.75" customHeight="1" x14ac:dyDescent="0.25">
      <c r="A11" s="245" t="s">
        <v>28</v>
      </c>
      <c r="B11" s="99"/>
    </row>
    <row r="12" spans="1:31" s="243" customFormat="1" ht="29.25" customHeight="1" x14ac:dyDescent="0.25"/>
    <row r="13" spans="1:31" s="239" customFormat="1" ht="51" customHeight="1" x14ac:dyDescent="0.25">
      <c r="A13" s="403" t="s">
        <v>783</v>
      </c>
      <c r="B13" s="404"/>
      <c r="C13" s="246"/>
      <c r="D13" s="243"/>
      <c r="E13" s="243"/>
      <c r="F13" s="243"/>
      <c r="R13" s="247"/>
      <c r="S13" s="241"/>
      <c r="T13" s="241"/>
      <c r="U13" s="241"/>
      <c r="V13" s="241"/>
      <c r="W13" s="241"/>
      <c r="X13" s="241"/>
      <c r="Y13" s="241"/>
      <c r="Z13" s="241"/>
      <c r="AA13" s="241"/>
      <c r="AB13" s="242"/>
      <c r="AC13" s="242"/>
      <c r="AD13" s="242"/>
      <c r="AE13" s="242"/>
    </row>
    <row r="14" spans="1:31" s="239" customFormat="1" ht="18.75" x14ac:dyDescent="0.25">
      <c r="A14" s="248" t="s">
        <v>724</v>
      </c>
      <c r="B14" s="101" t="s">
        <v>10</v>
      </c>
      <c r="C14" s="246"/>
      <c r="D14" s="404" t="s">
        <v>423</v>
      </c>
      <c r="E14" s="404"/>
      <c r="F14" s="404"/>
      <c r="R14" s="247"/>
      <c r="S14" s="241"/>
      <c r="T14" s="241"/>
      <c r="U14" s="241"/>
      <c r="V14" s="241"/>
      <c r="W14" s="241"/>
      <c r="X14" s="241"/>
      <c r="Y14" s="241"/>
      <c r="Z14" s="241"/>
      <c r="AA14" s="241"/>
      <c r="AB14" s="242"/>
      <c r="AC14" s="242"/>
      <c r="AD14" s="242"/>
      <c r="AE14" s="242"/>
    </row>
    <row r="15" spans="1:31" s="239" customFormat="1" x14ac:dyDescent="0.25">
      <c r="A15" s="248" t="s">
        <v>725</v>
      </c>
      <c r="B15" s="249" t="e">
        <f>VLOOKUP(_xlfn.CONCAT(IDENTIF_NOM_REQUERANT," ",IDENTIF_TH_PROJET),t_projet_21[],7,FALSE)</f>
        <v>#N/A</v>
      </c>
      <c r="C15" s="246"/>
      <c r="D15" s="250"/>
      <c r="E15" s="251" t="s">
        <v>9</v>
      </c>
      <c r="F15" s="114" t="s">
        <v>10</v>
      </c>
      <c r="R15" s="247"/>
      <c r="S15" s="241"/>
      <c r="T15" s="241"/>
      <c r="U15" s="241"/>
      <c r="V15" s="241"/>
      <c r="W15" s="241"/>
      <c r="X15" s="241"/>
      <c r="Y15" s="241"/>
      <c r="Z15" s="241"/>
      <c r="AA15" s="241"/>
      <c r="AB15" s="242"/>
      <c r="AC15" s="242"/>
      <c r="AD15" s="242"/>
      <c r="AE15" s="242"/>
    </row>
    <row r="16" spans="1:31" s="239" customFormat="1" x14ac:dyDescent="0.25">
      <c r="A16" s="252" t="s">
        <v>775</v>
      </c>
      <c r="B16" s="253">
        <v>44562</v>
      </c>
      <c r="C16" s="246"/>
      <c r="D16" s="254"/>
      <c r="E16" s="251" t="s">
        <v>11</v>
      </c>
      <c r="F16" s="96"/>
      <c r="R16" s="247"/>
      <c r="S16" s="241"/>
      <c r="T16" s="241"/>
      <c r="U16" s="241"/>
      <c r="V16" s="241"/>
      <c r="W16" s="241"/>
      <c r="X16" s="241"/>
      <c r="Y16" s="241"/>
      <c r="Z16" s="241"/>
      <c r="AA16" s="241"/>
      <c r="AB16" s="242"/>
      <c r="AC16" s="242"/>
      <c r="AD16" s="242"/>
      <c r="AE16" s="242"/>
    </row>
    <row r="17" spans="1:31" s="258" customFormat="1" x14ac:dyDescent="0.25">
      <c r="A17" s="252" t="s">
        <v>784</v>
      </c>
      <c r="B17" s="253">
        <v>46022</v>
      </c>
      <c r="C17" s="246"/>
      <c r="D17" s="254"/>
      <c r="E17" s="255" t="s">
        <v>12</v>
      </c>
      <c r="F17" s="9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</row>
    <row r="18" spans="1:31" s="243" customFormat="1" ht="13.5" customHeight="1" x14ac:dyDescent="0.25">
      <c r="A18" s="248" t="s">
        <v>13</v>
      </c>
      <c r="B18" s="249">
        <v>0.8</v>
      </c>
      <c r="D18" s="401" t="s">
        <v>422</v>
      </c>
      <c r="E18" s="401"/>
      <c r="F18" s="256">
        <f>(YEAR(IDENTIF_FIN_DC)-YEAR(IDENTIF_DEB_DC))*12+MONTH(IDENTIF_FIN_DC)-MONTH(IDENTIF_DEB_DC)+1</f>
        <v>1</v>
      </c>
    </row>
    <row r="19" spans="1:31" s="239" customFormat="1" ht="56.65" customHeight="1" x14ac:dyDescent="0.25">
      <c r="A19" s="259"/>
      <c r="B19" s="259"/>
      <c r="C19" s="246"/>
      <c r="D19" s="243"/>
      <c r="E19" s="243"/>
      <c r="F19" s="243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2"/>
      <c r="AC19" s="242"/>
      <c r="AD19" s="242"/>
      <c r="AE19" s="242"/>
    </row>
    <row r="20" spans="1:31" s="239" customFormat="1" ht="18.75" x14ac:dyDescent="0.25">
      <c r="A20" s="403" t="s">
        <v>430</v>
      </c>
      <c r="B20" s="404"/>
      <c r="C20" s="246"/>
      <c r="D20" s="405" t="s">
        <v>15</v>
      </c>
      <c r="E20" s="405"/>
      <c r="F20" s="405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2"/>
      <c r="AC20" s="242"/>
      <c r="AD20" s="242"/>
      <c r="AE20" s="242"/>
    </row>
    <row r="21" spans="1:31" s="239" customFormat="1" x14ac:dyDescent="0.25">
      <c r="A21" s="260" t="s">
        <v>30</v>
      </c>
      <c r="B21" s="273" t="e">
        <f>VLOOKUP(_xlfn.CONCAT(IDENTIF_NOM_REQUERANT," ",IDENTIF_TH_PROJET),t_projet_21[],4,FALSE)</f>
        <v>#N/A</v>
      </c>
      <c r="C21" s="246"/>
      <c r="D21" s="399" t="s">
        <v>18</v>
      </c>
      <c r="E21" s="400"/>
      <c r="F21" s="101" t="s">
        <v>10</v>
      </c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2"/>
      <c r="AC21" s="242"/>
      <c r="AD21" s="242"/>
      <c r="AE21" s="242"/>
    </row>
    <row r="22" spans="1:31" s="239" customFormat="1" x14ac:dyDescent="0.25">
      <c r="A22" s="261" t="s">
        <v>429</v>
      </c>
      <c r="B22" s="273" t="e">
        <f>VLOOKUP(_xlfn.CONCAT(IDENTIF_NOM_REQUERANT," ",IDENTIF_TH_PROJET),t_projet_21[],5,FALSE)</f>
        <v>#N/A</v>
      </c>
      <c r="C22" s="246"/>
      <c r="D22" s="399" t="s">
        <v>20</v>
      </c>
      <c r="E22" s="400"/>
      <c r="F22" s="10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2"/>
      <c r="AC22" s="242"/>
      <c r="AD22" s="242"/>
      <c r="AE22" s="242"/>
    </row>
    <row r="23" spans="1:31" s="239" customFormat="1" ht="21.4" customHeight="1" x14ac:dyDescent="0.25">
      <c r="A23" s="261" t="s">
        <v>32</v>
      </c>
      <c r="B23" s="273" t="e">
        <f>VLOOKUP(_xlfn.CONCAT(IDENTIF_NOM_REQUERANT," ",IDENTIF_TH_PROJET),t_projet_21[],20,FALSE)</f>
        <v>#N/A</v>
      </c>
      <c r="C23" s="246"/>
      <c r="D23" s="399" t="s">
        <v>22</v>
      </c>
      <c r="E23" s="400"/>
      <c r="F23" s="101"/>
    </row>
    <row r="24" spans="1:31" s="239" customFormat="1" x14ac:dyDescent="0.25">
      <c r="A24" s="262" t="s">
        <v>34</v>
      </c>
      <c r="B24" s="273" t="e">
        <f>VLOOKUP(_xlfn.CONCAT(IDENTIF_NOM_REQUERANT," ",IDENTIF_TH_PROJET),t_projet_21[],12,FALSE)</f>
        <v>#N/A</v>
      </c>
      <c r="C24" s="246"/>
      <c r="D24" s="399" t="s">
        <v>24</v>
      </c>
      <c r="E24" s="400"/>
      <c r="F24" s="107"/>
    </row>
    <row r="25" spans="1:31" s="239" customFormat="1" x14ac:dyDescent="0.25">
      <c r="A25" s="262" t="s">
        <v>427</v>
      </c>
      <c r="B25" s="327" t="e">
        <f>VLOOKUP(_xlfn.CONCAT(IDENTIF_NOM_REQUERANT," ",IDENTIF_TH_PROJET),t_projet_21[],13,FALSE)</f>
        <v>#N/A</v>
      </c>
      <c r="C25" s="246"/>
      <c r="D25" s="399" t="s">
        <v>26</v>
      </c>
      <c r="E25" s="400"/>
      <c r="F25" s="101"/>
    </row>
    <row r="26" spans="1:31" s="239" customFormat="1" x14ac:dyDescent="0.25">
      <c r="C26" s="246"/>
      <c r="D26" s="246"/>
      <c r="E26" s="246"/>
      <c r="F26" s="246"/>
    </row>
    <row r="27" spans="1:31" s="239" customFormat="1" x14ac:dyDescent="0.25">
      <c r="C27" s="246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2"/>
      <c r="AC27" s="242"/>
      <c r="AD27" s="242"/>
      <c r="AE27" s="242"/>
    </row>
    <row r="28" spans="1:31" s="239" customFormat="1" ht="61.9" customHeight="1" x14ac:dyDescent="0.25">
      <c r="C28" s="246"/>
      <c r="D28" s="246"/>
      <c r="E28" s="246"/>
      <c r="F28" s="246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2"/>
      <c r="AC28" s="242"/>
      <c r="AD28" s="242"/>
      <c r="AE28" s="242"/>
    </row>
    <row r="29" spans="1:31" s="239" customFormat="1" ht="14.65" customHeight="1" x14ac:dyDescent="0.25">
      <c r="C29" s="246"/>
      <c r="D29" s="246"/>
      <c r="E29" s="246"/>
      <c r="F29" s="246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2"/>
      <c r="AC29" s="242"/>
      <c r="AD29" s="242"/>
      <c r="AE29" s="242"/>
    </row>
    <row r="30" spans="1:31" s="239" customFormat="1" ht="44.65" customHeight="1" x14ac:dyDescent="0.25">
      <c r="A30" s="264"/>
      <c r="B30" s="265"/>
      <c r="C30" s="24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7"/>
      <c r="S30" s="267"/>
      <c r="T30" s="267"/>
      <c r="U30" s="267"/>
      <c r="V30" s="267"/>
      <c r="W30" s="267"/>
      <c r="X30" s="267"/>
      <c r="Y30" s="267"/>
      <c r="Z30" s="267"/>
      <c r="AA30" s="267"/>
    </row>
    <row r="31" spans="1:31" s="258" customFormat="1" ht="20.65" customHeight="1" x14ac:dyDescent="0.25">
      <c r="A31" s="239"/>
      <c r="B31" s="239"/>
      <c r="C31" s="246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</row>
    <row r="32" spans="1:31" s="258" customFormat="1" ht="19.899999999999999" customHeight="1" x14ac:dyDescent="0.25">
      <c r="C32" s="246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</row>
    <row r="33" spans="1:17" s="258" customFormat="1" ht="20.65" customHeight="1" x14ac:dyDescent="0.25">
      <c r="C33" s="246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</row>
    <row r="34" spans="1:17" s="258" customFormat="1" x14ac:dyDescent="0.25"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</row>
    <row r="35" spans="1:17" s="258" customFormat="1" x14ac:dyDescent="0.25"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</row>
    <row r="36" spans="1:17" s="258" customFormat="1" x14ac:dyDescent="0.25">
      <c r="A36" s="268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</row>
    <row r="37" spans="1:17" s="258" customFormat="1" x14ac:dyDescent="0.25">
      <c r="A37" s="268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</row>
    <row r="38" spans="1:17" s="258" customFormat="1" x14ac:dyDescent="0.25">
      <c r="A38" s="268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</row>
    <row r="39" spans="1:17" s="258" customFormat="1" x14ac:dyDescent="0.25">
      <c r="A39" s="268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</row>
    <row r="40" spans="1:17" s="258" customFormat="1" x14ac:dyDescent="0.25">
      <c r="A40" s="268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</row>
    <row r="41" spans="1:17" s="258" customFormat="1" x14ac:dyDescent="0.25">
      <c r="A41" s="268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</row>
    <row r="42" spans="1:17" s="258" customFormat="1" x14ac:dyDescent="0.25">
      <c r="A42" s="268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</row>
    <row r="43" spans="1:17" s="258" customFormat="1" x14ac:dyDescent="0.25">
      <c r="A43" s="268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</row>
    <row r="44" spans="1:17" s="258" customFormat="1" x14ac:dyDescent="0.25">
      <c r="A44" s="268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</row>
    <row r="45" spans="1:17" s="258" customFormat="1" x14ac:dyDescent="0.25">
      <c r="A45" s="268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</row>
    <row r="46" spans="1:17" s="258" customFormat="1" x14ac:dyDescent="0.25">
      <c r="A46" s="268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</row>
    <row r="47" spans="1:17" s="258" customFormat="1" x14ac:dyDescent="0.25">
      <c r="A47" s="268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</row>
    <row r="48" spans="1:17" s="258" customFormat="1" x14ac:dyDescent="0.25">
      <c r="A48" s="268"/>
      <c r="D48" s="270"/>
      <c r="E48" s="270"/>
      <c r="F48" s="270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</row>
    <row r="49" spans="1:17" s="258" customFormat="1" x14ac:dyDescent="0.25">
      <c r="A49" s="269"/>
      <c r="B49" s="270"/>
      <c r="C49" s="270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</row>
    <row r="50" spans="1:17" s="258" customFormat="1" x14ac:dyDescent="0.25"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</row>
    <row r="51" spans="1:17" s="258" customFormat="1" x14ac:dyDescent="0.25"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</row>
    <row r="52" spans="1:17" s="258" customFormat="1" x14ac:dyDescent="0.25"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</row>
    <row r="53" spans="1:17" s="258" customFormat="1" x14ac:dyDescent="0.25"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</row>
    <row r="54" spans="1:17" s="258" customFormat="1" x14ac:dyDescent="0.25"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</row>
    <row r="55" spans="1:17" s="258" customFormat="1" x14ac:dyDescent="0.25">
      <c r="D55" s="271"/>
      <c r="E55" s="271"/>
      <c r="F55" s="271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</row>
    <row r="56" spans="1:17" x14ac:dyDescent="0.25">
      <c r="A56" s="271"/>
    </row>
    <row r="57" spans="1:17" x14ac:dyDescent="0.25">
      <c r="A57" s="271"/>
    </row>
    <row r="58" spans="1:17" x14ac:dyDescent="0.25">
      <c r="A58" s="271"/>
    </row>
    <row r="59" spans="1:17" x14ac:dyDescent="0.25">
      <c r="A59" s="271"/>
    </row>
    <row r="60" spans="1:17" x14ac:dyDescent="0.25">
      <c r="A60" s="271"/>
    </row>
    <row r="61" spans="1:17" x14ac:dyDescent="0.25">
      <c r="A61" s="271"/>
    </row>
    <row r="62" spans="1:17" x14ac:dyDescent="0.25">
      <c r="A62" s="271"/>
    </row>
    <row r="63" spans="1:17" x14ac:dyDescent="0.25">
      <c r="A63" s="271"/>
      <c r="D63" s="270"/>
      <c r="E63" s="270"/>
      <c r="F63" s="270"/>
    </row>
    <row r="64" spans="1:17" x14ac:dyDescent="0.25">
      <c r="A64" s="269"/>
      <c r="B64" s="270"/>
      <c r="C64" s="270"/>
    </row>
  </sheetData>
  <sheetProtection algorithmName="SHA-512" hashValue="81H9tV7kY8V8JbKpBqkhRNQHlvZQjrgLek9X1LBs8132WW0IilwKdc9BJaa1EFIU0M5OtscTabV3LGhHPaje3A==" saltValue="Z660eftsPH3DAF8OIbvuCg==" spinCount="100000" sheet="1" formatCells="0" formatColumns="0" formatRows="0"/>
  <customSheetViews>
    <customSheetView guid="{C3F58662-020B-4E56-B390-38D4A953D070}" scale="80" showGridLines="0" printArea="1">
      <selection activeCell="I31" sqref="I31"/>
      <rowBreaks count="2" manualBreakCount="2">
        <brk id="27" max="8" man="1"/>
        <brk id="51" max="8" man="1"/>
      </rowBreaks>
      <pageMargins left="0" right="0" top="0" bottom="0" header="0" footer="0"/>
      <pageSetup paperSize="9" scale="73" fitToHeight="3" orientation="landscape" horizontalDpi="0" verticalDpi="0" r:id="rId1"/>
      <headerFooter>
        <oddHeader>&amp;F</oddHeader>
        <oddFooter>&amp;C&amp;A&amp;R&amp;P/&amp;N</oddFooter>
      </headerFooter>
    </customSheetView>
  </customSheetViews>
  <mergeCells count="15">
    <mergeCell ref="D25:E25"/>
    <mergeCell ref="D18:E18"/>
    <mergeCell ref="A3:B3"/>
    <mergeCell ref="A20:B20"/>
    <mergeCell ref="D20:F20"/>
    <mergeCell ref="D21:E21"/>
    <mergeCell ref="D22:E22"/>
    <mergeCell ref="D23:E23"/>
    <mergeCell ref="D24:E24"/>
    <mergeCell ref="D4:F4"/>
    <mergeCell ref="A13:B13"/>
    <mergeCell ref="D14:F14"/>
    <mergeCell ref="D5:E5"/>
    <mergeCell ref="D7:E7"/>
    <mergeCell ref="D8:E8"/>
  </mergeCells>
  <conditionalFormatting sqref="F18">
    <cfRule type="cellIs" dxfId="43" priority="1" operator="greaterThan">
      <formula>24</formula>
    </cfRule>
  </conditionalFormatting>
  <dataValidations count="4">
    <dataValidation type="date" errorStyle="warning" allowBlank="1" showInputMessage="1" showErrorMessage="1" error="La période couverte par la convention ne couvre pas la période de la DC présentée" sqref="F16" xr:uid="{00000000-0002-0000-0200-000000000000}">
      <formula1>B16</formula1>
      <formula2>B17</formula2>
    </dataValidation>
    <dataValidation type="date" errorStyle="warning" allowBlank="1" showInputMessage="1" showErrorMessage="1" error="La période couverte par la convention ne couvre pas la période de la DC présentée" sqref="F17" xr:uid="{00000000-0002-0000-0200-000001000000}">
      <formula1>B16</formula1>
      <formula2>B17</formula2>
    </dataValidation>
    <dataValidation type="list" allowBlank="1" showInputMessage="1" showErrorMessage="1" sqref="B14" xr:uid="{96412CA7-012F-40F3-948D-9FB1777A8A0B}">
      <formula1>l_thematiques</formula1>
    </dataValidation>
    <dataValidation type="list" allowBlank="1" showInputMessage="1" showErrorMessage="1" sqref="F15" xr:uid="{8C2B07F4-C2FB-4B77-8343-0705A632AF50}">
      <formula1>l_ri_rf</formula1>
    </dataValidation>
  </dataValidations>
  <pageMargins left="0" right="0" top="0.47244094488188981" bottom="0.19685039370078741" header="0.17" footer="0.19685039370078741"/>
  <pageSetup paperSize="9" scale="67" fitToHeight="3" orientation="landscape" r:id="rId2"/>
  <headerFooter>
    <oddHeader>&amp;F</oddHeader>
    <oddFooter>&amp;C&amp;A&amp;R&amp;P/&amp;N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7" r:id="rId5" name="Button 3">
              <controlPr defaultSize="0" print="0" autoFill="0" autoPict="0" macro="[0]!AFFICHER_FEUILLE">
                <anchor moveWithCells="1" sizeWithCells="1">
                  <from>
                    <xdr:col>1</xdr:col>
                    <xdr:colOff>666750</xdr:colOff>
                    <xdr:row>135</xdr:row>
                    <xdr:rowOff>104775</xdr:rowOff>
                  </from>
                  <to>
                    <xdr:col>2</xdr:col>
                    <xdr:colOff>1162050</xdr:colOff>
                    <xdr:row>137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MASQUER LES FEUILLES 6 à 9">
              <controlPr defaultSize="0" print="0" autoFill="0" autoPict="0" macro="[0]!Masquer_FEUILLES">
                <anchor moveWithCells="1" sizeWithCells="1">
                  <from>
                    <xdr:col>0</xdr:col>
                    <xdr:colOff>228600</xdr:colOff>
                    <xdr:row>135</xdr:row>
                    <xdr:rowOff>95250</xdr:rowOff>
                  </from>
                  <to>
                    <xdr:col>1</xdr:col>
                    <xdr:colOff>409575</xdr:colOff>
                    <xdr:row>137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Button 6">
              <controlPr defaultSize="0" print="0" autoFill="0" autoPict="0" macro="[0]!VEROUILLER_IDENTIFICATION">
                <anchor moveWithCells="1" sizeWithCells="1">
                  <from>
                    <xdr:col>2</xdr:col>
                    <xdr:colOff>1371600</xdr:colOff>
                    <xdr:row>135</xdr:row>
                    <xdr:rowOff>133350</xdr:rowOff>
                  </from>
                  <to>
                    <xdr:col>4</xdr:col>
                    <xdr:colOff>438150</xdr:colOff>
                    <xdr:row>137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200-000009000000}">
          <x14:formula1>
            <xm:f>LISTE!$G$2:$G$3</xm:f>
          </x14:formula1>
          <xm:sqref>B10</xm:sqref>
        </x14:dataValidation>
        <x14:dataValidation type="list" allowBlank="1" showInputMessage="1" showErrorMessage="1" xr:uid="{7B7EB1D7-3B04-48BC-BB24-508106A03E8D}">
          <x14:formula1>
            <xm:f>LISTE!$E$2:$E$3</xm:f>
          </x14:formula1>
          <xm:sqref>F21</xm:sqref>
        </x14:dataValidation>
        <x14:dataValidation type="list" allowBlank="1" showInputMessage="1" showErrorMessage="1" xr:uid="{8E75B0BC-C71A-48A0-9ED7-173123BF04AD}">
          <x14:formula1>
            <xm:f>'infos bénéficiaires'!$B:$B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RAIS_PERSO">
    <tabColor rgb="FFFFFF00"/>
  </sheetPr>
  <dimension ref="A1:BN589"/>
  <sheetViews>
    <sheetView showGridLines="0" topLeftCell="A2" zoomScale="70" zoomScaleNormal="70" zoomScaleSheetLayoutView="40" workbookViewId="0">
      <selection activeCell="K21" sqref="K21"/>
    </sheetView>
  </sheetViews>
  <sheetFormatPr baseColWidth="10" defaultColWidth="25" defaultRowHeight="12.75" x14ac:dyDescent="0.25"/>
  <cols>
    <col min="1" max="1" width="16.7109375" style="280" customWidth="1"/>
    <col min="2" max="2" width="19.42578125" style="280" bestFit="1" customWidth="1"/>
    <col min="3" max="3" width="16.28515625" style="280" customWidth="1"/>
    <col min="4" max="4" width="17.28515625" style="280" customWidth="1"/>
    <col min="5" max="5" width="15.7109375" style="280" customWidth="1"/>
    <col min="6" max="6" width="17.28515625" style="280" customWidth="1"/>
    <col min="7" max="7" width="15.28515625" style="280" customWidth="1"/>
    <col min="8" max="8" width="15" style="280" customWidth="1"/>
    <col min="9" max="9" width="15.85546875" style="280" customWidth="1"/>
    <col min="10" max="10" width="15.7109375" style="280" customWidth="1"/>
    <col min="11" max="11" width="14.5703125" style="280" customWidth="1"/>
    <col min="12" max="12" width="33.28515625" style="280" customWidth="1"/>
    <col min="13" max="13" width="17.140625" style="281" hidden="1" customWidth="1"/>
    <col min="14" max="15" width="13.42578125" style="280" hidden="1" customWidth="1"/>
    <col min="16" max="16" width="13.28515625" style="280" hidden="1" customWidth="1"/>
    <col min="17" max="17" width="15.28515625" style="280" hidden="1" customWidth="1"/>
    <col min="18" max="18" width="16.5703125" style="280" hidden="1" customWidth="1"/>
    <col min="19" max="19" width="14.42578125" style="280" hidden="1" customWidth="1"/>
    <col min="20" max="20" width="20.7109375" style="280" hidden="1" customWidth="1"/>
    <col min="21" max="21" width="62.85546875" style="280" hidden="1" customWidth="1"/>
    <col min="22" max="27" width="25" style="280" customWidth="1"/>
    <col min="28" max="56" width="25" style="280" hidden="1" customWidth="1"/>
    <col min="57" max="57" width="25" style="282" hidden="1" customWidth="1"/>
    <col min="58" max="66" width="25" style="280" hidden="1" customWidth="1"/>
    <col min="67" max="16384" width="25" style="280"/>
  </cols>
  <sheetData>
    <row r="1" spans="1:59" ht="148.5" customHeight="1" x14ac:dyDescent="0.25">
      <c r="A1" s="278" t="s">
        <v>36</v>
      </c>
      <c r="B1" s="279" t="s">
        <v>37</v>
      </c>
      <c r="C1" s="279" t="s">
        <v>38</v>
      </c>
      <c r="D1" s="279" t="s">
        <v>419</v>
      </c>
      <c r="E1" s="279" t="s">
        <v>39</v>
      </c>
    </row>
    <row r="2" spans="1:59" x14ac:dyDescent="0.25">
      <c r="A2" s="213"/>
      <c r="B2" s="213"/>
      <c r="C2" s="213"/>
      <c r="D2" s="213"/>
      <c r="E2" s="213"/>
    </row>
    <row r="3" spans="1:59" x14ac:dyDescent="0.25">
      <c r="A3" s="213"/>
      <c r="B3" s="213"/>
      <c r="C3" s="213"/>
      <c r="D3" s="213"/>
      <c r="E3" s="213"/>
    </row>
    <row r="4" spans="1:59" x14ac:dyDescent="0.25">
      <c r="A4" s="213"/>
      <c r="B4" s="213"/>
      <c r="C4" s="213"/>
      <c r="D4" s="213"/>
      <c r="E4" s="213"/>
    </row>
    <row r="5" spans="1:59" x14ac:dyDescent="0.25">
      <c r="A5" s="213"/>
      <c r="B5" s="213"/>
      <c r="C5" s="213"/>
      <c r="D5" s="213"/>
      <c r="E5" s="213"/>
    </row>
    <row r="6" spans="1:59" x14ac:dyDescent="0.25">
      <c r="A6" s="213"/>
      <c r="B6" s="213"/>
      <c r="C6" s="213"/>
      <c r="D6" s="213"/>
      <c r="E6" s="213"/>
    </row>
    <row r="7" spans="1:59" ht="15" x14ac:dyDescent="0.25">
      <c r="E7" s="283">
        <f>SUM(E2:E6)</f>
        <v>0</v>
      </c>
    </row>
    <row r="8" spans="1:59" ht="10.9" customHeight="1" thickBot="1" x14ac:dyDescent="0.3"/>
    <row r="9" spans="1:59" ht="23.25" x14ac:dyDescent="0.25">
      <c r="A9" s="410" t="s">
        <v>40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Y9" s="284"/>
      <c r="Z9" s="282"/>
      <c r="AA9" s="284"/>
      <c r="AB9" s="284"/>
      <c r="AC9" s="284"/>
      <c r="AD9" s="284"/>
    </row>
    <row r="10" spans="1:59" ht="115.15" customHeight="1" x14ac:dyDescent="0.25">
      <c r="A10" s="409" t="s">
        <v>785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8" t="s">
        <v>41</v>
      </c>
      <c r="N10" s="408"/>
      <c r="O10" s="408"/>
      <c r="P10" s="408"/>
      <c r="Q10" s="408"/>
      <c r="R10" s="408"/>
      <c r="S10" s="408"/>
      <c r="T10" s="408"/>
      <c r="U10" s="408"/>
    </row>
    <row r="11" spans="1:59" s="292" customFormat="1" ht="47.65" customHeight="1" x14ac:dyDescent="0.25">
      <c r="A11" s="285" t="s">
        <v>42</v>
      </c>
      <c r="B11" s="285" t="s">
        <v>43</v>
      </c>
      <c r="C11" s="285" t="s">
        <v>44</v>
      </c>
      <c r="D11" s="285" t="s">
        <v>63</v>
      </c>
      <c r="E11" s="286" t="s">
        <v>45</v>
      </c>
      <c r="F11" s="285" t="s">
        <v>46</v>
      </c>
      <c r="G11" s="285" t="s">
        <v>47</v>
      </c>
      <c r="H11" s="285" t="s">
        <v>420</v>
      </c>
      <c r="I11" s="285" t="s">
        <v>48</v>
      </c>
      <c r="J11" s="285" t="s">
        <v>49</v>
      </c>
      <c r="K11" s="287" t="s">
        <v>50</v>
      </c>
      <c r="L11" s="286" t="s">
        <v>51</v>
      </c>
      <c r="M11" s="288" t="s">
        <v>52</v>
      </c>
      <c r="N11" s="285" t="s">
        <v>53</v>
      </c>
      <c r="O11" s="285" t="s">
        <v>47</v>
      </c>
      <c r="P11" s="285" t="s">
        <v>421</v>
      </c>
      <c r="Q11" s="285" t="s">
        <v>48</v>
      </c>
      <c r="R11" s="285" t="s">
        <v>49</v>
      </c>
      <c r="S11" s="289" t="s">
        <v>54</v>
      </c>
      <c r="T11" s="285" t="s">
        <v>55</v>
      </c>
      <c r="U11" s="290" t="s">
        <v>56</v>
      </c>
      <c r="V11" s="291" t="s">
        <v>57</v>
      </c>
      <c r="BE11" s="284"/>
      <c r="BF11" s="293"/>
    </row>
    <row r="12" spans="1:59" x14ac:dyDescent="0.25">
      <c r="A12" s="214" t="s">
        <v>58</v>
      </c>
      <c r="B12" s="214" t="s">
        <v>59</v>
      </c>
      <c r="C12" s="215"/>
      <c r="D12" s="216"/>
      <c r="E12" s="217">
        <v>0</v>
      </c>
      <c r="F12" s="218"/>
      <c r="G12" s="218"/>
      <c r="H12" s="218"/>
      <c r="I12" s="218"/>
      <c r="J12" s="218"/>
      <c r="K12" s="294">
        <f>(SUM($F12:$I12)-J12)*$E12</f>
        <v>0</v>
      </c>
      <c r="L12" s="219"/>
      <c r="M12" s="274">
        <f t="shared" ref="M12:M59" si="0">IF(E12="","",E12)</f>
        <v>0</v>
      </c>
      <c r="N12" s="275">
        <f t="shared" ref="N12:N59" si="1">F12</f>
        <v>0</v>
      </c>
      <c r="O12" s="275">
        <f t="shared" ref="O12:R59" si="2">G12</f>
        <v>0</v>
      </c>
      <c r="P12" s="275">
        <f t="shared" ref="P12:R49" si="3">H12</f>
        <v>0</v>
      </c>
      <c r="Q12" s="275">
        <f t="shared" si="3"/>
        <v>0</v>
      </c>
      <c r="R12" s="275">
        <f t="shared" si="3"/>
        <v>0</v>
      </c>
      <c r="S12" s="295">
        <f t="shared" ref="S12:S59" si="4">(SUM($N12:$Q12)-R12)*$M12</f>
        <v>0</v>
      </c>
      <c r="T12" s="296">
        <f>IF($K12="","",$S12-$K12)</f>
        <v>0</v>
      </c>
      <c r="U12" s="276"/>
      <c r="V12" s="291">
        <f>IF(LEN(U12)&gt;0,1,0)</f>
        <v>0</v>
      </c>
      <c r="W12" s="292"/>
      <c r="BE12" s="293" t="e">
        <f>IF(A12="","",INDEX(PERSO_TAB1,MATCH(A12,PERSO_TAB1_NOM_PRENOM,0),MATCH(#REF!,PERSO_TAB1_ENTETE,0)))</f>
        <v>#NAME?</v>
      </c>
      <c r="BF12" s="293" t="e">
        <f>INDEX(PERSO_TAB1,MATCH($A12,PERSO_TAB1_NOM_PRENOM,0),MATCH(#REF!,PERSO_TAB1_ENTETE,0))</f>
        <v>#NAME?</v>
      </c>
      <c r="BG12" s="284"/>
    </row>
    <row r="13" spans="1:59" ht="16.5" customHeight="1" x14ac:dyDescent="0.25">
      <c r="A13" s="214" t="s">
        <v>58</v>
      </c>
      <c r="B13" s="214" t="s">
        <v>59</v>
      </c>
      <c r="C13" s="214"/>
      <c r="D13" s="220"/>
      <c r="E13" s="217">
        <v>0</v>
      </c>
      <c r="F13" s="221"/>
      <c r="G13" s="218"/>
      <c r="H13" s="221"/>
      <c r="I13" s="221"/>
      <c r="J13" s="221"/>
      <c r="K13" s="294">
        <f t="shared" ref="K13:K59" si="5">(SUM($F13:$I13)-J13)*$E13</f>
        <v>0</v>
      </c>
      <c r="L13" s="222"/>
      <c r="M13" s="274">
        <f t="shared" si="0"/>
        <v>0</v>
      </c>
      <c r="N13" s="275">
        <f t="shared" si="1"/>
        <v>0</v>
      </c>
      <c r="O13" s="275">
        <f t="shared" si="2"/>
        <v>0</v>
      </c>
      <c r="P13" s="275">
        <f t="shared" si="3"/>
        <v>0</v>
      </c>
      <c r="Q13" s="275">
        <f t="shared" si="3"/>
        <v>0</v>
      </c>
      <c r="R13" s="275">
        <f t="shared" si="3"/>
        <v>0</v>
      </c>
      <c r="S13" s="295">
        <f t="shared" si="4"/>
        <v>0</v>
      </c>
      <c r="T13" s="296">
        <f t="shared" ref="T13:T59" si="6">IF($K13="","",$S13-$K13)</f>
        <v>0</v>
      </c>
      <c r="U13" s="277"/>
      <c r="V13" s="291">
        <f>IF(LEN(U13)&gt;0,1,0)</f>
        <v>0</v>
      </c>
      <c r="W13" s="292"/>
      <c r="BE13" s="293" t="e">
        <f>IF(A13="","",INDEX(PERSO_TAB1,MATCH(A13,PERSO_TAB1_NOM_PRENOM,0),MATCH(#REF!,PERSO_TAB1_ENTETE,0)))</f>
        <v>#NAME?</v>
      </c>
      <c r="BF13" s="293" t="e">
        <f>INDEX(PERSO_TAB1,MATCH($A13,PERSO_TAB1_NOM_PRENOM,0),MATCH(#REF!,PERSO_TAB1_ENTETE,0))</f>
        <v>#NAME?</v>
      </c>
      <c r="BG13" s="282"/>
    </row>
    <row r="14" spans="1:59" ht="16.5" customHeight="1" x14ac:dyDescent="0.25">
      <c r="A14" s="214" t="s">
        <v>58</v>
      </c>
      <c r="B14" s="214" t="s">
        <v>59</v>
      </c>
      <c r="C14" s="214"/>
      <c r="D14" s="220"/>
      <c r="E14" s="217">
        <v>0</v>
      </c>
      <c r="F14" s="221"/>
      <c r="G14" s="218"/>
      <c r="H14" s="221"/>
      <c r="I14" s="221"/>
      <c r="J14" s="221"/>
      <c r="K14" s="294">
        <f t="shared" si="5"/>
        <v>0</v>
      </c>
      <c r="L14" s="222"/>
      <c r="M14" s="274">
        <f t="shared" si="0"/>
        <v>0</v>
      </c>
      <c r="N14" s="275">
        <f t="shared" si="1"/>
        <v>0</v>
      </c>
      <c r="O14" s="275">
        <f t="shared" si="2"/>
        <v>0</v>
      </c>
      <c r="P14" s="275">
        <f t="shared" si="3"/>
        <v>0</v>
      </c>
      <c r="Q14" s="275">
        <f t="shared" si="3"/>
        <v>0</v>
      </c>
      <c r="R14" s="275">
        <f t="shared" si="3"/>
        <v>0</v>
      </c>
      <c r="S14" s="295">
        <f t="shared" si="4"/>
        <v>0</v>
      </c>
      <c r="T14" s="296">
        <f t="shared" si="6"/>
        <v>0</v>
      </c>
      <c r="U14" s="277"/>
      <c r="V14" s="291"/>
      <c r="W14" s="292"/>
      <c r="BE14" s="293"/>
      <c r="BF14" s="293"/>
      <c r="BG14" s="282"/>
    </row>
    <row r="15" spans="1:59" ht="16.5" customHeight="1" x14ac:dyDescent="0.25">
      <c r="A15" s="214" t="s">
        <v>58</v>
      </c>
      <c r="B15" s="214" t="s">
        <v>59</v>
      </c>
      <c r="C15" s="214"/>
      <c r="D15" s="220"/>
      <c r="E15" s="217">
        <v>0</v>
      </c>
      <c r="F15" s="221"/>
      <c r="G15" s="218"/>
      <c r="H15" s="221"/>
      <c r="I15" s="221"/>
      <c r="J15" s="221"/>
      <c r="K15" s="294">
        <f t="shared" si="5"/>
        <v>0</v>
      </c>
      <c r="L15" s="222"/>
      <c r="M15" s="274">
        <f t="shared" si="0"/>
        <v>0</v>
      </c>
      <c r="N15" s="275">
        <f t="shared" si="1"/>
        <v>0</v>
      </c>
      <c r="O15" s="275">
        <f t="shared" si="2"/>
        <v>0</v>
      </c>
      <c r="P15" s="275">
        <f t="shared" si="3"/>
        <v>0</v>
      </c>
      <c r="Q15" s="275">
        <f t="shared" si="3"/>
        <v>0</v>
      </c>
      <c r="R15" s="275">
        <f t="shared" si="3"/>
        <v>0</v>
      </c>
      <c r="S15" s="295">
        <f t="shared" si="4"/>
        <v>0</v>
      </c>
      <c r="T15" s="296">
        <f t="shared" si="6"/>
        <v>0</v>
      </c>
      <c r="U15" s="277"/>
      <c r="V15" s="291"/>
      <c r="W15" s="292"/>
      <c r="BE15" s="293"/>
      <c r="BF15" s="293"/>
      <c r="BG15" s="282"/>
    </row>
    <row r="16" spans="1:59" ht="16.5" customHeight="1" x14ac:dyDescent="0.25">
      <c r="A16" s="214" t="s">
        <v>58</v>
      </c>
      <c r="B16" s="214" t="s">
        <v>59</v>
      </c>
      <c r="C16" s="214"/>
      <c r="D16" s="220"/>
      <c r="E16" s="217">
        <v>0</v>
      </c>
      <c r="F16" s="221"/>
      <c r="G16" s="218"/>
      <c r="H16" s="221"/>
      <c r="I16" s="221"/>
      <c r="J16" s="221"/>
      <c r="K16" s="294">
        <f t="shared" si="5"/>
        <v>0</v>
      </c>
      <c r="L16" s="222"/>
      <c r="M16" s="274">
        <f t="shared" si="0"/>
        <v>0</v>
      </c>
      <c r="N16" s="275">
        <f t="shared" si="1"/>
        <v>0</v>
      </c>
      <c r="O16" s="275">
        <f t="shared" si="2"/>
        <v>0</v>
      </c>
      <c r="P16" s="275">
        <f t="shared" si="3"/>
        <v>0</v>
      </c>
      <c r="Q16" s="275">
        <f t="shared" si="3"/>
        <v>0</v>
      </c>
      <c r="R16" s="275">
        <f t="shared" si="3"/>
        <v>0</v>
      </c>
      <c r="S16" s="295">
        <f t="shared" si="4"/>
        <v>0</v>
      </c>
      <c r="T16" s="296">
        <f t="shared" si="6"/>
        <v>0</v>
      </c>
      <c r="U16" s="277"/>
      <c r="V16" s="291"/>
      <c r="W16" s="292"/>
      <c r="BE16" s="293"/>
      <c r="BF16" s="293"/>
      <c r="BG16" s="282"/>
    </row>
    <row r="17" spans="1:59" ht="16.5" customHeight="1" x14ac:dyDescent="0.25">
      <c r="A17" s="214" t="s">
        <v>58</v>
      </c>
      <c r="B17" s="214" t="s">
        <v>59</v>
      </c>
      <c r="C17" s="214"/>
      <c r="D17" s="220"/>
      <c r="E17" s="217">
        <v>0</v>
      </c>
      <c r="F17" s="221"/>
      <c r="G17" s="218"/>
      <c r="H17" s="221"/>
      <c r="I17" s="221"/>
      <c r="J17" s="221"/>
      <c r="K17" s="294">
        <f t="shared" si="5"/>
        <v>0</v>
      </c>
      <c r="L17" s="222"/>
      <c r="M17" s="274">
        <f t="shared" si="0"/>
        <v>0</v>
      </c>
      <c r="N17" s="275">
        <f t="shared" si="1"/>
        <v>0</v>
      </c>
      <c r="O17" s="275">
        <f t="shared" si="2"/>
        <v>0</v>
      </c>
      <c r="P17" s="275">
        <f t="shared" si="3"/>
        <v>0</v>
      </c>
      <c r="Q17" s="275">
        <f t="shared" si="3"/>
        <v>0</v>
      </c>
      <c r="R17" s="275">
        <f t="shared" si="3"/>
        <v>0</v>
      </c>
      <c r="S17" s="295">
        <f t="shared" si="4"/>
        <v>0</v>
      </c>
      <c r="T17" s="296">
        <f t="shared" si="6"/>
        <v>0</v>
      </c>
      <c r="U17" s="277"/>
      <c r="V17" s="291"/>
      <c r="W17" s="292"/>
      <c r="BE17" s="293"/>
      <c r="BF17" s="293"/>
      <c r="BG17" s="282"/>
    </row>
    <row r="18" spans="1:59" ht="16.5" customHeight="1" x14ac:dyDescent="0.25">
      <c r="A18" s="214" t="s">
        <v>58</v>
      </c>
      <c r="B18" s="214" t="s">
        <v>59</v>
      </c>
      <c r="C18" s="214"/>
      <c r="D18" s="220"/>
      <c r="E18" s="217">
        <v>0</v>
      </c>
      <c r="F18" s="221"/>
      <c r="G18" s="218"/>
      <c r="H18" s="221"/>
      <c r="I18" s="221"/>
      <c r="J18" s="221"/>
      <c r="K18" s="294">
        <f t="shared" si="5"/>
        <v>0</v>
      </c>
      <c r="L18" s="222"/>
      <c r="M18" s="274">
        <f t="shared" si="0"/>
        <v>0</v>
      </c>
      <c r="N18" s="275">
        <f t="shared" si="1"/>
        <v>0</v>
      </c>
      <c r="O18" s="275">
        <f t="shared" si="2"/>
        <v>0</v>
      </c>
      <c r="P18" s="275">
        <f t="shared" si="3"/>
        <v>0</v>
      </c>
      <c r="Q18" s="275">
        <f t="shared" si="3"/>
        <v>0</v>
      </c>
      <c r="R18" s="275">
        <f t="shared" si="3"/>
        <v>0</v>
      </c>
      <c r="S18" s="295">
        <f t="shared" si="4"/>
        <v>0</v>
      </c>
      <c r="T18" s="296">
        <f t="shared" si="6"/>
        <v>0</v>
      </c>
      <c r="U18" s="277"/>
      <c r="V18" s="291"/>
      <c r="W18" s="292"/>
      <c r="BE18" s="293"/>
      <c r="BF18" s="293"/>
      <c r="BG18" s="282"/>
    </row>
    <row r="19" spans="1:59" ht="16.5" customHeight="1" x14ac:dyDescent="0.25">
      <c r="A19" s="214" t="s">
        <v>58</v>
      </c>
      <c r="B19" s="214" t="s">
        <v>59</v>
      </c>
      <c r="C19" s="214"/>
      <c r="D19" s="220"/>
      <c r="E19" s="217">
        <v>0</v>
      </c>
      <c r="F19" s="221"/>
      <c r="G19" s="218"/>
      <c r="H19" s="221"/>
      <c r="I19" s="221"/>
      <c r="J19" s="221"/>
      <c r="K19" s="294">
        <f t="shared" si="5"/>
        <v>0</v>
      </c>
      <c r="L19" s="222"/>
      <c r="M19" s="274">
        <f t="shared" si="0"/>
        <v>0</v>
      </c>
      <c r="N19" s="275">
        <f t="shared" si="1"/>
        <v>0</v>
      </c>
      <c r="O19" s="275">
        <f t="shared" si="2"/>
        <v>0</v>
      </c>
      <c r="P19" s="275">
        <f t="shared" si="3"/>
        <v>0</v>
      </c>
      <c r="Q19" s="275">
        <f t="shared" si="3"/>
        <v>0</v>
      </c>
      <c r="R19" s="275">
        <f t="shared" si="3"/>
        <v>0</v>
      </c>
      <c r="S19" s="295">
        <f t="shared" si="4"/>
        <v>0</v>
      </c>
      <c r="T19" s="296">
        <f t="shared" si="6"/>
        <v>0</v>
      </c>
      <c r="U19" s="277"/>
      <c r="V19" s="291"/>
      <c r="W19" s="292"/>
      <c r="BE19" s="293"/>
      <c r="BF19" s="293"/>
      <c r="BG19" s="282"/>
    </row>
    <row r="20" spans="1:59" ht="16.5" customHeight="1" x14ac:dyDescent="0.25">
      <c r="A20" s="214" t="s">
        <v>58</v>
      </c>
      <c r="B20" s="214" t="s">
        <v>59</v>
      </c>
      <c r="C20" s="214"/>
      <c r="D20" s="220"/>
      <c r="E20" s="217">
        <v>0</v>
      </c>
      <c r="F20" s="221"/>
      <c r="G20" s="218"/>
      <c r="H20" s="221"/>
      <c r="I20" s="221"/>
      <c r="J20" s="221"/>
      <c r="K20" s="294">
        <f t="shared" si="5"/>
        <v>0</v>
      </c>
      <c r="L20" s="222"/>
      <c r="M20" s="274">
        <f t="shared" si="0"/>
        <v>0</v>
      </c>
      <c r="N20" s="275">
        <f t="shared" si="1"/>
        <v>0</v>
      </c>
      <c r="O20" s="275">
        <f t="shared" si="2"/>
        <v>0</v>
      </c>
      <c r="P20" s="275">
        <f t="shared" si="3"/>
        <v>0</v>
      </c>
      <c r="Q20" s="275">
        <f t="shared" si="3"/>
        <v>0</v>
      </c>
      <c r="R20" s="275">
        <f t="shared" si="3"/>
        <v>0</v>
      </c>
      <c r="S20" s="295">
        <f t="shared" si="4"/>
        <v>0</v>
      </c>
      <c r="T20" s="296">
        <f t="shared" si="6"/>
        <v>0</v>
      </c>
      <c r="U20" s="277"/>
      <c r="V20" s="291">
        <f t="shared" ref="V20:V59" si="7">IF(LEN(U20)&gt;0,1,0)</f>
        <v>0</v>
      </c>
      <c r="W20" s="292"/>
      <c r="BE20" s="293" t="e">
        <f>IF(A20="","",INDEX(PERSO_TAB1,MATCH(A20,PERSO_TAB1_NOM_PRENOM,0),MATCH(#REF!,PERSO_TAB1_ENTETE,0)))</f>
        <v>#NAME?</v>
      </c>
      <c r="BF20" s="293" t="e">
        <f>INDEX(PERSO_TAB1,MATCH($A20,PERSO_TAB1_NOM_PRENOM,0),MATCH(#REF!,PERSO_TAB1_ENTETE,0))</f>
        <v>#NAME?</v>
      </c>
      <c r="BG20" s="282"/>
    </row>
    <row r="21" spans="1:59" ht="16.5" customHeight="1" x14ac:dyDescent="0.25">
      <c r="A21" s="214" t="s">
        <v>58</v>
      </c>
      <c r="B21" s="214" t="s">
        <v>59</v>
      </c>
      <c r="C21" s="214"/>
      <c r="D21" s="220"/>
      <c r="E21" s="217">
        <v>0</v>
      </c>
      <c r="F21" s="221"/>
      <c r="G21" s="218"/>
      <c r="H21" s="221"/>
      <c r="I21" s="221"/>
      <c r="J21" s="221"/>
      <c r="K21" s="294">
        <f t="shared" si="5"/>
        <v>0</v>
      </c>
      <c r="L21" s="222"/>
      <c r="M21" s="274">
        <f t="shared" si="0"/>
        <v>0</v>
      </c>
      <c r="N21" s="275">
        <f t="shared" si="1"/>
        <v>0</v>
      </c>
      <c r="O21" s="275">
        <f t="shared" si="2"/>
        <v>0</v>
      </c>
      <c r="P21" s="275">
        <f t="shared" si="3"/>
        <v>0</v>
      </c>
      <c r="Q21" s="275">
        <f t="shared" si="3"/>
        <v>0</v>
      </c>
      <c r="R21" s="275">
        <f t="shared" si="3"/>
        <v>0</v>
      </c>
      <c r="S21" s="295">
        <f t="shared" si="4"/>
        <v>0</v>
      </c>
      <c r="T21" s="296">
        <f t="shared" si="6"/>
        <v>0</v>
      </c>
      <c r="U21" s="277"/>
      <c r="V21" s="291">
        <f t="shared" si="7"/>
        <v>0</v>
      </c>
      <c r="W21" s="292"/>
      <c r="BE21" s="293" t="e">
        <f>IF(A21="","",INDEX(PERSO_TAB1,MATCH(A21,PERSO_TAB1_NOM_PRENOM,0),MATCH(#REF!,PERSO_TAB1_ENTETE,0)))</f>
        <v>#NAME?</v>
      </c>
      <c r="BF21" s="293" t="e">
        <f>INDEX(PERSO_TAB1,MATCH($A21,PERSO_TAB1_NOM_PRENOM,0),MATCH(#REF!,PERSO_TAB1_ENTETE,0))</f>
        <v>#NAME?</v>
      </c>
      <c r="BG21" s="282"/>
    </row>
    <row r="22" spans="1:59" ht="16.5" customHeight="1" x14ac:dyDescent="0.25">
      <c r="A22" s="214" t="s">
        <v>58</v>
      </c>
      <c r="B22" s="214" t="s">
        <v>59</v>
      </c>
      <c r="C22" s="214"/>
      <c r="D22" s="220"/>
      <c r="E22" s="217">
        <v>0</v>
      </c>
      <c r="F22" s="221"/>
      <c r="G22" s="218"/>
      <c r="H22" s="221"/>
      <c r="I22" s="221"/>
      <c r="J22" s="221"/>
      <c r="K22" s="294">
        <f t="shared" si="5"/>
        <v>0</v>
      </c>
      <c r="L22" s="222"/>
      <c r="M22" s="274">
        <f t="shared" si="0"/>
        <v>0</v>
      </c>
      <c r="N22" s="275">
        <f t="shared" si="1"/>
        <v>0</v>
      </c>
      <c r="O22" s="275">
        <f t="shared" si="2"/>
        <v>0</v>
      </c>
      <c r="P22" s="275">
        <f t="shared" si="3"/>
        <v>0</v>
      </c>
      <c r="Q22" s="275">
        <f t="shared" si="3"/>
        <v>0</v>
      </c>
      <c r="R22" s="275">
        <f t="shared" si="3"/>
        <v>0</v>
      </c>
      <c r="S22" s="295">
        <f t="shared" si="4"/>
        <v>0</v>
      </c>
      <c r="T22" s="296">
        <f t="shared" si="6"/>
        <v>0</v>
      </c>
      <c r="U22" s="277"/>
      <c r="V22" s="291">
        <f t="shared" si="7"/>
        <v>0</v>
      </c>
      <c r="W22" s="292"/>
      <c r="BE22" s="293" t="e">
        <f>IF(A22="","",INDEX(PERSO_TAB1,MATCH(A22,PERSO_TAB1_NOM_PRENOM,0),MATCH(#REF!,PERSO_TAB1_ENTETE,0)))</f>
        <v>#NAME?</v>
      </c>
      <c r="BF22" s="293" t="e">
        <f>INDEX(PERSO_TAB1,MATCH($A22,PERSO_TAB1_NOM_PRENOM,0),MATCH(#REF!,PERSO_TAB1_ENTETE,0))</f>
        <v>#NAME?</v>
      </c>
      <c r="BG22" s="282"/>
    </row>
    <row r="23" spans="1:59" ht="16.5" customHeight="1" x14ac:dyDescent="0.25">
      <c r="A23" s="214" t="s">
        <v>58</v>
      </c>
      <c r="B23" s="214" t="s">
        <v>59</v>
      </c>
      <c r="C23" s="214"/>
      <c r="D23" s="220"/>
      <c r="E23" s="217">
        <v>0</v>
      </c>
      <c r="F23" s="221"/>
      <c r="G23" s="218"/>
      <c r="H23" s="221"/>
      <c r="I23" s="221"/>
      <c r="J23" s="221"/>
      <c r="K23" s="294">
        <f t="shared" si="5"/>
        <v>0</v>
      </c>
      <c r="L23" s="222"/>
      <c r="M23" s="274">
        <f t="shared" si="0"/>
        <v>0</v>
      </c>
      <c r="N23" s="275">
        <f t="shared" si="1"/>
        <v>0</v>
      </c>
      <c r="O23" s="275">
        <f t="shared" si="2"/>
        <v>0</v>
      </c>
      <c r="P23" s="275">
        <f t="shared" si="3"/>
        <v>0</v>
      </c>
      <c r="Q23" s="275">
        <f t="shared" si="3"/>
        <v>0</v>
      </c>
      <c r="R23" s="275">
        <f t="shared" si="3"/>
        <v>0</v>
      </c>
      <c r="S23" s="295">
        <f t="shared" si="4"/>
        <v>0</v>
      </c>
      <c r="T23" s="296">
        <f t="shared" si="6"/>
        <v>0</v>
      </c>
      <c r="U23" s="277"/>
      <c r="V23" s="291">
        <f t="shared" si="7"/>
        <v>0</v>
      </c>
      <c r="W23" s="292"/>
      <c r="BE23" s="293" t="e">
        <f>IF(A23="","",INDEX(PERSO_TAB1,MATCH(A23,PERSO_TAB1_NOM_PRENOM,0),MATCH(#REF!,PERSO_TAB1_ENTETE,0)))</f>
        <v>#NAME?</v>
      </c>
      <c r="BF23" s="293" t="e">
        <f>INDEX(PERSO_TAB1,MATCH($A23,PERSO_TAB1_NOM_PRENOM,0),MATCH(#REF!,PERSO_TAB1_ENTETE,0))</f>
        <v>#NAME?</v>
      </c>
      <c r="BG23" s="282"/>
    </row>
    <row r="24" spans="1:59" ht="16.5" customHeight="1" x14ac:dyDescent="0.25">
      <c r="A24" s="214" t="s">
        <v>58</v>
      </c>
      <c r="B24" s="214" t="s">
        <v>59</v>
      </c>
      <c r="C24" s="214"/>
      <c r="D24" s="220"/>
      <c r="E24" s="217">
        <v>0</v>
      </c>
      <c r="F24" s="221"/>
      <c r="G24" s="218"/>
      <c r="H24" s="221"/>
      <c r="I24" s="221"/>
      <c r="J24" s="221"/>
      <c r="K24" s="294">
        <f t="shared" si="5"/>
        <v>0</v>
      </c>
      <c r="L24" s="222"/>
      <c r="M24" s="274">
        <f t="shared" si="0"/>
        <v>0</v>
      </c>
      <c r="N24" s="275">
        <f t="shared" si="1"/>
        <v>0</v>
      </c>
      <c r="O24" s="275">
        <f t="shared" si="2"/>
        <v>0</v>
      </c>
      <c r="P24" s="275">
        <f t="shared" si="3"/>
        <v>0</v>
      </c>
      <c r="Q24" s="275">
        <f t="shared" si="3"/>
        <v>0</v>
      </c>
      <c r="R24" s="275">
        <f t="shared" si="3"/>
        <v>0</v>
      </c>
      <c r="S24" s="295">
        <f t="shared" si="4"/>
        <v>0</v>
      </c>
      <c r="T24" s="296">
        <f t="shared" si="6"/>
        <v>0</v>
      </c>
      <c r="U24" s="277"/>
      <c r="V24" s="291">
        <f t="shared" si="7"/>
        <v>0</v>
      </c>
      <c r="W24" s="292"/>
      <c r="BE24" s="293" t="e">
        <f>IF(A24="","",INDEX(PERSO_TAB1,MATCH(A24,PERSO_TAB1_NOM_PRENOM,0),MATCH(#REF!,PERSO_TAB1_ENTETE,0)))</f>
        <v>#NAME?</v>
      </c>
      <c r="BF24" s="293" t="e">
        <f>INDEX(PERSO_TAB1,MATCH($A24,PERSO_TAB1_NOM_PRENOM,0),MATCH(#REF!,PERSO_TAB1_ENTETE,0))</f>
        <v>#NAME?</v>
      </c>
      <c r="BG24" s="282"/>
    </row>
    <row r="25" spans="1:59" ht="16.5" customHeight="1" x14ac:dyDescent="0.25">
      <c r="A25" s="214" t="s">
        <v>58</v>
      </c>
      <c r="B25" s="214" t="s">
        <v>59</v>
      </c>
      <c r="C25" s="214"/>
      <c r="D25" s="220"/>
      <c r="E25" s="217">
        <v>0</v>
      </c>
      <c r="F25" s="221"/>
      <c r="G25" s="218"/>
      <c r="H25" s="221"/>
      <c r="I25" s="221"/>
      <c r="J25" s="221"/>
      <c r="K25" s="294">
        <f t="shared" si="5"/>
        <v>0</v>
      </c>
      <c r="L25" s="222"/>
      <c r="M25" s="274">
        <f t="shared" si="0"/>
        <v>0</v>
      </c>
      <c r="N25" s="275">
        <f t="shared" si="1"/>
        <v>0</v>
      </c>
      <c r="O25" s="275">
        <f t="shared" si="2"/>
        <v>0</v>
      </c>
      <c r="P25" s="275">
        <f t="shared" si="3"/>
        <v>0</v>
      </c>
      <c r="Q25" s="275">
        <f t="shared" si="3"/>
        <v>0</v>
      </c>
      <c r="R25" s="275">
        <f t="shared" si="3"/>
        <v>0</v>
      </c>
      <c r="S25" s="295">
        <f t="shared" si="4"/>
        <v>0</v>
      </c>
      <c r="T25" s="296">
        <f t="shared" si="6"/>
        <v>0</v>
      </c>
      <c r="U25" s="277"/>
      <c r="V25" s="291">
        <f t="shared" si="7"/>
        <v>0</v>
      </c>
      <c r="W25" s="292"/>
      <c r="BE25" s="293" t="e">
        <f>IF(A25="","",INDEX(PERSO_TAB1,MATCH(A25,PERSO_TAB1_NOM_PRENOM,0),MATCH(#REF!,PERSO_TAB1_ENTETE,0)))</f>
        <v>#NAME?</v>
      </c>
      <c r="BF25" s="293" t="e">
        <f>INDEX(PERSO_TAB1,MATCH($A25,PERSO_TAB1_NOM_PRENOM,0),MATCH(#REF!,PERSO_TAB1_ENTETE,0))</f>
        <v>#NAME?</v>
      </c>
      <c r="BG25" s="282"/>
    </row>
    <row r="26" spans="1:59" ht="16.5" customHeight="1" x14ac:dyDescent="0.25">
      <c r="A26" s="214" t="s">
        <v>58</v>
      </c>
      <c r="B26" s="214" t="s">
        <v>59</v>
      </c>
      <c r="C26" s="214"/>
      <c r="D26" s="220"/>
      <c r="E26" s="217">
        <v>0</v>
      </c>
      <c r="F26" s="221"/>
      <c r="G26" s="218"/>
      <c r="H26" s="221"/>
      <c r="I26" s="221"/>
      <c r="J26" s="221"/>
      <c r="K26" s="294">
        <f t="shared" si="5"/>
        <v>0</v>
      </c>
      <c r="L26" s="222"/>
      <c r="M26" s="274">
        <f t="shared" si="0"/>
        <v>0</v>
      </c>
      <c r="N26" s="275">
        <f t="shared" si="1"/>
        <v>0</v>
      </c>
      <c r="O26" s="275">
        <f t="shared" si="2"/>
        <v>0</v>
      </c>
      <c r="P26" s="275">
        <f t="shared" si="3"/>
        <v>0</v>
      </c>
      <c r="Q26" s="275">
        <f t="shared" si="3"/>
        <v>0</v>
      </c>
      <c r="R26" s="275">
        <f t="shared" si="3"/>
        <v>0</v>
      </c>
      <c r="S26" s="295">
        <f t="shared" si="4"/>
        <v>0</v>
      </c>
      <c r="T26" s="296">
        <f t="shared" si="6"/>
        <v>0</v>
      </c>
      <c r="U26" s="277"/>
      <c r="V26" s="291">
        <f t="shared" si="7"/>
        <v>0</v>
      </c>
      <c r="W26" s="292"/>
      <c r="AB26" s="297"/>
      <c r="AC26" s="298"/>
      <c r="AD26" s="298"/>
      <c r="AE26" s="281"/>
      <c r="BE26" s="293" t="e">
        <f>IF(A26="","",INDEX(PERSO_TAB1,MATCH(A26,PERSO_TAB1_NOM_PRENOM,0),MATCH(#REF!,PERSO_TAB1_ENTETE,0)))</f>
        <v>#NAME?</v>
      </c>
      <c r="BF26" s="293" t="e">
        <f>INDEX(PERSO_TAB1,MATCH($A26,PERSO_TAB1_NOM_PRENOM,0),MATCH(#REF!,PERSO_TAB1_ENTETE,0))</f>
        <v>#NAME?</v>
      </c>
      <c r="BG26" s="282"/>
    </row>
    <row r="27" spans="1:59" ht="16.5" customHeight="1" x14ac:dyDescent="0.25">
      <c r="A27" s="214" t="s">
        <v>58</v>
      </c>
      <c r="B27" s="214" t="s">
        <v>59</v>
      </c>
      <c r="C27" s="214"/>
      <c r="D27" s="220"/>
      <c r="E27" s="217">
        <v>0</v>
      </c>
      <c r="F27" s="221"/>
      <c r="G27" s="218"/>
      <c r="H27" s="221"/>
      <c r="I27" s="221"/>
      <c r="J27" s="221"/>
      <c r="K27" s="294">
        <f t="shared" si="5"/>
        <v>0</v>
      </c>
      <c r="L27" s="222"/>
      <c r="M27" s="274">
        <f t="shared" si="0"/>
        <v>0</v>
      </c>
      <c r="N27" s="275">
        <f t="shared" si="1"/>
        <v>0</v>
      </c>
      <c r="O27" s="275">
        <f t="shared" si="2"/>
        <v>0</v>
      </c>
      <c r="P27" s="275">
        <f t="shared" si="3"/>
        <v>0</v>
      </c>
      <c r="Q27" s="275">
        <f t="shared" si="3"/>
        <v>0</v>
      </c>
      <c r="R27" s="275">
        <f t="shared" si="3"/>
        <v>0</v>
      </c>
      <c r="S27" s="295">
        <f t="shared" si="4"/>
        <v>0</v>
      </c>
      <c r="T27" s="296">
        <f t="shared" si="6"/>
        <v>0</v>
      </c>
      <c r="U27" s="277"/>
      <c r="V27" s="291">
        <f t="shared" si="7"/>
        <v>0</v>
      </c>
      <c r="W27" s="292"/>
      <c r="AB27" s="297"/>
      <c r="AC27" s="298"/>
      <c r="AD27" s="298"/>
      <c r="AE27" s="281"/>
      <c r="BE27" s="293" t="e">
        <f>IF(A27="","",INDEX(PERSO_TAB1,MATCH(A27,PERSO_TAB1_NOM_PRENOM,0),MATCH(#REF!,PERSO_TAB1_ENTETE,0)))</f>
        <v>#NAME?</v>
      </c>
      <c r="BF27" s="293" t="e">
        <f>INDEX(PERSO_TAB1,MATCH($A27,PERSO_TAB1_NOM_PRENOM,0),MATCH(#REF!,PERSO_TAB1_ENTETE,0))</f>
        <v>#NAME?</v>
      </c>
      <c r="BG27" s="282"/>
    </row>
    <row r="28" spans="1:59" ht="16.5" customHeight="1" x14ac:dyDescent="0.25">
      <c r="A28" s="214" t="s">
        <v>58</v>
      </c>
      <c r="B28" s="214" t="s">
        <v>59</v>
      </c>
      <c r="C28" s="214"/>
      <c r="D28" s="220"/>
      <c r="E28" s="217">
        <v>0</v>
      </c>
      <c r="F28" s="221"/>
      <c r="G28" s="218"/>
      <c r="H28" s="221"/>
      <c r="I28" s="221"/>
      <c r="J28" s="221"/>
      <c r="K28" s="294">
        <f t="shared" si="5"/>
        <v>0</v>
      </c>
      <c r="L28" s="222"/>
      <c r="M28" s="274">
        <f t="shared" si="0"/>
        <v>0</v>
      </c>
      <c r="N28" s="275">
        <f t="shared" si="1"/>
        <v>0</v>
      </c>
      <c r="O28" s="275">
        <f t="shared" si="2"/>
        <v>0</v>
      </c>
      <c r="P28" s="275">
        <f t="shared" si="3"/>
        <v>0</v>
      </c>
      <c r="Q28" s="275">
        <f t="shared" si="3"/>
        <v>0</v>
      </c>
      <c r="R28" s="275">
        <f t="shared" si="3"/>
        <v>0</v>
      </c>
      <c r="S28" s="295">
        <f t="shared" si="4"/>
        <v>0</v>
      </c>
      <c r="T28" s="296">
        <f t="shared" si="6"/>
        <v>0</v>
      </c>
      <c r="U28" s="277"/>
      <c r="V28" s="291">
        <f t="shared" si="7"/>
        <v>0</v>
      </c>
      <c r="W28" s="292"/>
      <c r="AB28" s="297"/>
      <c r="AC28" s="298"/>
      <c r="AD28" s="298"/>
      <c r="AE28" s="281"/>
      <c r="BE28" s="293" t="e">
        <f>IF(A28="","",INDEX(PERSO_TAB1,MATCH(A28,PERSO_TAB1_NOM_PRENOM,0),MATCH(#REF!,PERSO_TAB1_ENTETE,0)))</f>
        <v>#NAME?</v>
      </c>
      <c r="BF28" s="293" t="e">
        <f>INDEX(PERSO_TAB1,MATCH($A28,PERSO_TAB1_NOM_PRENOM,0),MATCH(#REF!,PERSO_TAB1_ENTETE,0))</f>
        <v>#NAME?</v>
      </c>
      <c r="BG28" s="282"/>
    </row>
    <row r="29" spans="1:59" ht="16.5" customHeight="1" x14ac:dyDescent="0.25">
      <c r="A29" s="214" t="s">
        <v>58</v>
      </c>
      <c r="B29" s="214" t="s">
        <v>59</v>
      </c>
      <c r="C29" s="214"/>
      <c r="D29" s="220"/>
      <c r="E29" s="217">
        <v>0</v>
      </c>
      <c r="F29" s="221"/>
      <c r="G29" s="218"/>
      <c r="H29" s="221"/>
      <c r="I29" s="221"/>
      <c r="J29" s="221"/>
      <c r="K29" s="294">
        <f t="shared" si="5"/>
        <v>0</v>
      </c>
      <c r="L29" s="222"/>
      <c r="M29" s="274">
        <f t="shared" si="0"/>
        <v>0</v>
      </c>
      <c r="N29" s="275">
        <f t="shared" si="1"/>
        <v>0</v>
      </c>
      <c r="O29" s="275">
        <f t="shared" si="2"/>
        <v>0</v>
      </c>
      <c r="P29" s="275">
        <f t="shared" si="3"/>
        <v>0</v>
      </c>
      <c r="Q29" s="275">
        <f t="shared" si="3"/>
        <v>0</v>
      </c>
      <c r="R29" s="275">
        <f t="shared" si="3"/>
        <v>0</v>
      </c>
      <c r="S29" s="295">
        <f t="shared" si="4"/>
        <v>0</v>
      </c>
      <c r="T29" s="296">
        <f t="shared" si="6"/>
        <v>0</v>
      </c>
      <c r="U29" s="277"/>
      <c r="V29" s="291">
        <f t="shared" si="7"/>
        <v>0</v>
      </c>
      <c r="W29" s="292"/>
      <c r="AB29" s="297"/>
      <c r="AC29" s="298"/>
      <c r="AD29" s="298"/>
      <c r="AE29" s="281"/>
      <c r="BE29" s="293" t="e">
        <f>IF(A29="","",INDEX(PERSO_TAB1,MATCH(A29,PERSO_TAB1_NOM_PRENOM,0),MATCH(#REF!,PERSO_TAB1_ENTETE,0)))</f>
        <v>#NAME?</v>
      </c>
      <c r="BF29" s="293" t="e">
        <f>INDEX(PERSO_TAB1,MATCH($A29,PERSO_TAB1_NOM_PRENOM,0),MATCH(#REF!,PERSO_TAB1_ENTETE,0))</f>
        <v>#NAME?</v>
      </c>
      <c r="BG29" s="282"/>
    </row>
    <row r="30" spans="1:59" ht="16.5" customHeight="1" x14ac:dyDescent="0.25">
      <c r="A30" s="214" t="s">
        <v>58</v>
      </c>
      <c r="B30" s="214" t="s">
        <v>59</v>
      </c>
      <c r="C30" s="214"/>
      <c r="D30" s="220"/>
      <c r="E30" s="217">
        <v>0</v>
      </c>
      <c r="F30" s="221"/>
      <c r="G30" s="218"/>
      <c r="H30" s="221"/>
      <c r="I30" s="221"/>
      <c r="J30" s="221"/>
      <c r="K30" s="294">
        <f t="shared" si="5"/>
        <v>0</v>
      </c>
      <c r="L30" s="222"/>
      <c r="M30" s="274">
        <f t="shared" si="0"/>
        <v>0</v>
      </c>
      <c r="N30" s="275">
        <f t="shared" si="1"/>
        <v>0</v>
      </c>
      <c r="O30" s="275">
        <f t="shared" si="2"/>
        <v>0</v>
      </c>
      <c r="P30" s="275">
        <f t="shared" si="3"/>
        <v>0</v>
      </c>
      <c r="Q30" s="275">
        <f t="shared" si="3"/>
        <v>0</v>
      </c>
      <c r="R30" s="275">
        <f t="shared" si="3"/>
        <v>0</v>
      </c>
      <c r="S30" s="295">
        <f t="shared" si="4"/>
        <v>0</v>
      </c>
      <c r="T30" s="296">
        <f t="shared" si="6"/>
        <v>0</v>
      </c>
      <c r="U30" s="277"/>
      <c r="V30" s="291">
        <f t="shared" si="7"/>
        <v>0</v>
      </c>
      <c r="W30" s="292"/>
      <c r="AB30" s="297"/>
      <c r="AC30" s="298"/>
      <c r="AD30" s="298"/>
      <c r="AE30" s="281"/>
      <c r="BE30" s="293" t="e">
        <f>IF(A30="","",INDEX(PERSO_TAB1,MATCH(A30,PERSO_TAB1_NOM_PRENOM,0),MATCH(#REF!,PERSO_TAB1_ENTETE,0)))</f>
        <v>#NAME?</v>
      </c>
      <c r="BF30" s="293" t="e">
        <f>INDEX(PERSO_TAB1,MATCH($A30,PERSO_TAB1_NOM_PRENOM,0),MATCH(#REF!,PERSO_TAB1_ENTETE,0))</f>
        <v>#NAME?</v>
      </c>
      <c r="BG30" s="282"/>
    </row>
    <row r="31" spans="1:59" ht="16.5" customHeight="1" x14ac:dyDescent="0.25">
      <c r="A31" s="214" t="s">
        <v>58</v>
      </c>
      <c r="B31" s="214" t="s">
        <v>59</v>
      </c>
      <c r="C31" s="214"/>
      <c r="D31" s="220"/>
      <c r="E31" s="217">
        <v>0</v>
      </c>
      <c r="F31" s="221"/>
      <c r="G31" s="218"/>
      <c r="H31" s="221"/>
      <c r="I31" s="221"/>
      <c r="J31" s="221"/>
      <c r="K31" s="294">
        <f t="shared" si="5"/>
        <v>0</v>
      </c>
      <c r="L31" s="222"/>
      <c r="M31" s="274">
        <f t="shared" si="0"/>
        <v>0</v>
      </c>
      <c r="N31" s="275">
        <f t="shared" si="1"/>
        <v>0</v>
      </c>
      <c r="O31" s="275">
        <f t="shared" si="2"/>
        <v>0</v>
      </c>
      <c r="P31" s="275">
        <f t="shared" si="3"/>
        <v>0</v>
      </c>
      <c r="Q31" s="275">
        <f t="shared" si="3"/>
        <v>0</v>
      </c>
      <c r="R31" s="275">
        <f t="shared" si="3"/>
        <v>0</v>
      </c>
      <c r="S31" s="295">
        <f t="shared" si="4"/>
        <v>0</v>
      </c>
      <c r="T31" s="296">
        <f t="shared" si="6"/>
        <v>0</v>
      </c>
      <c r="U31" s="277"/>
      <c r="V31" s="291">
        <f t="shared" si="7"/>
        <v>0</v>
      </c>
      <c r="W31" s="292"/>
      <c r="BE31" s="293" t="e">
        <f>IF(A31="","",INDEX(PERSO_TAB1,MATCH(A31,PERSO_TAB1_NOM_PRENOM,0),MATCH(#REF!,PERSO_TAB1_ENTETE,0)))</f>
        <v>#NAME?</v>
      </c>
      <c r="BF31" s="293" t="e">
        <f>INDEX(PERSO_TAB1,MATCH($A31,PERSO_TAB1_NOM_PRENOM,0),MATCH(#REF!,PERSO_TAB1_ENTETE,0))</f>
        <v>#NAME?</v>
      </c>
      <c r="BG31" s="282"/>
    </row>
    <row r="32" spans="1:59" ht="16.5" customHeight="1" x14ac:dyDescent="0.25">
      <c r="A32" s="214" t="s">
        <v>58</v>
      </c>
      <c r="B32" s="214" t="s">
        <v>59</v>
      </c>
      <c r="C32" s="214"/>
      <c r="D32" s="220"/>
      <c r="E32" s="217">
        <v>0</v>
      </c>
      <c r="F32" s="221"/>
      <c r="G32" s="218"/>
      <c r="H32" s="221"/>
      <c r="I32" s="221"/>
      <c r="J32" s="221"/>
      <c r="K32" s="294">
        <f t="shared" si="5"/>
        <v>0</v>
      </c>
      <c r="L32" s="222"/>
      <c r="M32" s="274">
        <f t="shared" si="0"/>
        <v>0</v>
      </c>
      <c r="N32" s="275">
        <f t="shared" si="1"/>
        <v>0</v>
      </c>
      <c r="O32" s="275">
        <f t="shared" si="2"/>
        <v>0</v>
      </c>
      <c r="P32" s="275">
        <f t="shared" si="3"/>
        <v>0</v>
      </c>
      <c r="Q32" s="275">
        <f t="shared" si="3"/>
        <v>0</v>
      </c>
      <c r="R32" s="275">
        <f t="shared" si="3"/>
        <v>0</v>
      </c>
      <c r="S32" s="295">
        <f t="shared" si="4"/>
        <v>0</v>
      </c>
      <c r="T32" s="296">
        <f t="shared" si="6"/>
        <v>0</v>
      </c>
      <c r="U32" s="277"/>
      <c r="V32" s="291">
        <f t="shared" si="7"/>
        <v>0</v>
      </c>
      <c r="W32" s="292"/>
      <c r="BE32" s="293" t="e">
        <f>IF(A32="","",INDEX(PERSO_TAB1,MATCH(A32,PERSO_TAB1_NOM_PRENOM,0),MATCH(#REF!,PERSO_TAB1_ENTETE,0)))</f>
        <v>#NAME?</v>
      </c>
      <c r="BF32" s="293" t="e">
        <f>INDEX(PERSO_TAB1,MATCH($A32,PERSO_TAB1_NOM_PRENOM,0),MATCH(#REF!,PERSO_TAB1_ENTETE,0))</f>
        <v>#NAME?</v>
      </c>
      <c r="BG32" s="282"/>
    </row>
    <row r="33" spans="1:59" ht="16.5" customHeight="1" x14ac:dyDescent="0.25">
      <c r="A33" s="214" t="s">
        <v>58</v>
      </c>
      <c r="B33" s="214" t="s">
        <v>59</v>
      </c>
      <c r="C33" s="214"/>
      <c r="D33" s="220"/>
      <c r="E33" s="217">
        <v>0</v>
      </c>
      <c r="F33" s="221"/>
      <c r="G33" s="218"/>
      <c r="H33" s="221"/>
      <c r="I33" s="221"/>
      <c r="J33" s="221"/>
      <c r="K33" s="294">
        <f t="shared" si="5"/>
        <v>0</v>
      </c>
      <c r="L33" s="222"/>
      <c r="M33" s="274">
        <f t="shared" si="0"/>
        <v>0</v>
      </c>
      <c r="N33" s="275">
        <f t="shared" si="1"/>
        <v>0</v>
      </c>
      <c r="O33" s="275">
        <f t="shared" si="2"/>
        <v>0</v>
      </c>
      <c r="P33" s="275">
        <f t="shared" si="3"/>
        <v>0</v>
      </c>
      <c r="Q33" s="275">
        <f t="shared" si="3"/>
        <v>0</v>
      </c>
      <c r="R33" s="275">
        <f t="shared" si="3"/>
        <v>0</v>
      </c>
      <c r="S33" s="295">
        <f t="shared" si="4"/>
        <v>0</v>
      </c>
      <c r="T33" s="296">
        <f t="shared" si="6"/>
        <v>0</v>
      </c>
      <c r="U33" s="277"/>
      <c r="V33" s="291">
        <f t="shared" si="7"/>
        <v>0</v>
      </c>
      <c r="W33" s="292"/>
      <c r="BE33" s="293" t="e">
        <f>IF(A33="","",INDEX(PERSO_TAB1,MATCH(A33,PERSO_TAB1_NOM_PRENOM,0),MATCH(#REF!,PERSO_TAB1_ENTETE,0)))</f>
        <v>#NAME?</v>
      </c>
      <c r="BF33" s="293" t="e">
        <f>INDEX(PERSO_TAB1,MATCH($A33,PERSO_TAB1_NOM_PRENOM,0),MATCH(#REF!,PERSO_TAB1_ENTETE,0))</f>
        <v>#NAME?</v>
      </c>
      <c r="BG33" s="282"/>
    </row>
    <row r="34" spans="1:59" ht="16.5" customHeight="1" x14ac:dyDescent="0.25">
      <c r="A34" s="214" t="s">
        <v>58</v>
      </c>
      <c r="B34" s="214" t="s">
        <v>59</v>
      </c>
      <c r="C34" s="214"/>
      <c r="D34" s="220"/>
      <c r="E34" s="217">
        <v>0</v>
      </c>
      <c r="F34" s="221"/>
      <c r="G34" s="218"/>
      <c r="H34" s="221"/>
      <c r="I34" s="221"/>
      <c r="J34" s="221"/>
      <c r="K34" s="294">
        <f t="shared" si="5"/>
        <v>0</v>
      </c>
      <c r="L34" s="222"/>
      <c r="M34" s="274">
        <f t="shared" si="0"/>
        <v>0</v>
      </c>
      <c r="N34" s="275">
        <f t="shared" si="1"/>
        <v>0</v>
      </c>
      <c r="O34" s="275">
        <f t="shared" si="2"/>
        <v>0</v>
      </c>
      <c r="P34" s="275">
        <f t="shared" si="3"/>
        <v>0</v>
      </c>
      <c r="Q34" s="275">
        <f t="shared" si="3"/>
        <v>0</v>
      </c>
      <c r="R34" s="275">
        <f t="shared" si="3"/>
        <v>0</v>
      </c>
      <c r="S34" s="295">
        <f t="shared" si="4"/>
        <v>0</v>
      </c>
      <c r="T34" s="296">
        <f t="shared" si="6"/>
        <v>0</v>
      </c>
      <c r="U34" s="277"/>
      <c r="V34" s="291">
        <f t="shared" si="7"/>
        <v>0</v>
      </c>
      <c r="W34" s="292"/>
      <c r="BE34" s="293" t="e">
        <f>IF(A34="","",INDEX(PERSO_TAB1,MATCH(A34,PERSO_TAB1_NOM_PRENOM,0),MATCH(#REF!,PERSO_TAB1_ENTETE,0)))</f>
        <v>#NAME?</v>
      </c>
      <c r="BF34" s="293" t="e">
        <f>INDEX(PERSO_TAB1,MATCH($A34,PERSO_TAB1_NOM_PRENOM,0),MATCH(#REF!,PERSO_TAB1_ENTETE,0))</f>
        <v>#NAME?</v>
      </c>
      <c r="BG34" s="282"/>
    </row>
    <row r="35" spans="1:59" ht="16.5" customHeight="1" x14ac:dyDescent="0.25">
      <c r="A35" s="214" t="s">
        <v>58</v>
      </c>
      <c r="B35" s="214" t="s">
        <v>59</v>
      </c>
      <c r="C35" s="214"/>
      <c r="D35" s="220"/>
      <c r="E35" s="217">
        <v>0</v>
      </c>
      <c r="F35" s="221"/>
      <c r="G35" s="218"/>
      <c r="H35" s="221"/>
      <c r="I35" s="221"/>
      <c r="J35" s="221"/>
      <c r="K35" s="294">
        <f t="shared" si="5"/>
        <v>0</v>
      </c>
      <c r="L35" s="222"/>
      <c r="M35" s="274">
        <f t="shared" si="0"/>
        <v>0</v>
      </c>
      <c r="N35" s="275">
        <f t="shared" si="1"/>
        <v>0</v>
      </c>
      <c r="O35" s="275">
        <f t="shared" si="2"/>
        <v>0</v>
      </c>
      <c r="P35" s="275">
        <f t="shared" si="3"/>
        <v>0</v>
      </c>
      <c r="Q35" s="275">
        <f t="shared" si="3"/>
        <v>0</v>
      </c>
      <c r="R35" s="275">
        <f t="shared" si="3"/>
        <v>0</v>
      </c>
      <c r="S35" s="295">
        <f t="shared" si="4"/>
        <v>0</v>
      </c>
      <c r="T35" s="296">
        <f t="shared" si="6"/>
        <v>0</v>
      </c>
      <c r="U35" s="277"/>
      <c r="V35" s="291">
        <f t="shared" si="7"/>
        <v>0</v>
      </c>
      <c r="W35" s="292"/>
      <c r="BE35" s="293" t="e">
        <f>IF(A35="","",INDEX(PERSO_TAB1,MATCH(A35,PERSO_TAB1_NOM_PRENOM,0),MATCH(#REF!,PERSO_TAB1_ENTETE,0)))</f>
        <v>#NAME?</v>
      </c>
      <c r="BF35" s="293" t="e">
        <f>INDEX(PERSO_TAB1,MATCH($A35,PERSO_TAB1_NOM_PRENOM,0),MATCH(#REF!,PERSO_TAB1_ENTETE,0))</f>
        <v>#NAME?</v>
      </c>
      <c r="BG35" s="282"/>
    </row>
    <row r="36" spans="1:59" ht="16.5" customHeight="1" x14ac:dyDescent="0.25">
      <c r="A36" s="214" t="s">
        <v>58</v>
      </c>
      <c r="B36" s="214" t="s">
        <v>59</v>
      </c>
      <c r="C36" s="214"/>
      <c r="D36" s="220"/>
      <c r="E36" s="217">
        <v>0</v>
      </c>
      <c r="F36" s="221"/>
      <c r="G36" s="218"/>
      <c r="H36" s="221"/>
      <c r="I36" s="221"/>
      <c r="J36" s="221"/>
      <c r="K36" s="294">
        <f t="shared" si="5"/>
        <v>0</v>
      </c>
      <c r="L36" s="222"/>
      <c r="M36" s="274">
        <f t="shared" si="0"/>
        <v>0</v>
      </c>
      <c r="N36" s="275">
        <f t="shared" si="1"/>
        <v>0</v>
      </c>
      <c r="O36" s="275">
        <f t="shared" si="2"/>
        <v>0</v>
      </c>
      <c r="P36" s="275">
        <f t="shared" si="3"/>
        <v>0</v>
      </c>
      <c r="Q36" s="275">
        <f t="shared" si="3"/>
        <v>0</v>
      </c>
      <c r="R36" s="275">
        <f t="shared" si="3"/>
        <v>0</v>
      </c>
      <c r="S36" s="295">
        <f t="shared" si="4"/>
        <v>0</v>
      </c>
      <c r="T36" s="296">
        <f t="shared" si="6"/>
        <v>0</v>
      </c>
      <c r="U36" s="277"/>
      <c r="V36" s="291">
        <f t="shared" si="7"/>
        <v>0</v>
      </c>
      <c r="W36" s="292"/>
      <c r="BE36" s="293" t="e">
        <f>IF(A36="","",INDEX(PERSO_TAB1,MATCH(A36,PERSO_TAB1_NOM_PRENOM,0),MATCH(#REF!,PERSO_TAB1_ENTETE,0)))</f>
        <v>#NAME?</v>
      </c>
      <c r="BF36" s="293" t="e">
        <f>INDEX(PERSO_TAB1,MATCH($A36,PERSO_TAB1_NOM_PRENOM,0),MATCH(#REF!,PERSO_TAB1_ENTETE,0))</f>
        <v>#NAME?</v>
      </c>
      <c r="BG36" s="282"/>
    </row>
    <row r="37" spans="1:59" ht="16.5" customHeight="1" x14ac:dyDescent="0.25">
      <c r="A37" s="214" t="s">
        <v>58</v>
      </c>
      <c r="B37" s="214" t="s">
        <v>59</v>
      </c>
      <c r="C37" s="214"/>
      <c r="D37" s="220"/>
      <c r="E37" s="217">
        <v>0</v>
      </c>
      <c r="F37" s="221"/>
      <c r="G37" s="218"/>
      <c r="H37" s="221"/>
      <c r="I37" s="221"/>
      <c r="J37" s="221"/>
      <c r="K37" s="294">
        <f t="shared" si="5"/>
        <v>0</v>
      </c>
      <c r="L37" s="222"/>
      <c r="M37" s="274">
        <f t="shared" si="0"/>
        <v>0</v>
      </c>
      <c r="N37" s="275">
        <f t="shared" si="1"/>
        <v>0</v>
      </c>
      <c r="O37" s="275">
        <f t="shared" si="2"/>
        <v>0</v>
      </c>
      <c r="P37" s="275">
        <f t="shared" si="3"/>
        <v>0</v>
      </c>
      <c r="Q37" s="275">
        <f t="shared" si="3"/>
        <v>0</v>
      </c>
      <c r="R37" s="275">
        <f t="shared" si="3"/>
        <v>0</v>
      </c>
      <c r="S37" s="295">
        <f t="shared" si="4"/>
        <v>0</v>
      </c>
      <c r="T37" s="296">
        <f t="shared" si="6"/>
        <v>0</v>
      </c>
      <c r="U37" s="277"/>
      <c r="V37" s="291">
        <f t="shared" si="7"/>
        <v>0</v>
      </c>
      <c r="W37" s="292"/>
      <c r="BE37" s="293" t="e">
        <f>IF(A37="","",INDEX(PERSO_TAB1,MATCH(A37,PERSO_TAB1_NOM_PRENOM,0),MATCH(#REF!,PERSO_TAB1_ENTETE,0)))</f>
        <v>#NAME?</v>
      </c>
      <c r="BF37" s="293" t="e">
        <f>INDEX(PERSO_TAB1,MATCH($A37,PERSO_TAB1_NOM_PRENOM,0),MATCH(#REF!,PERSO_TAB1_ENTETE,0))</f>
        <v>#NAME?</v>
      </c>
      <c r="BG37" s="282"/>
    </row>
    <row r="38" spans="1:59" ht="16.5" customHeight="1" x14ac:dyDescent="0.25">
      <c r="A38" s="214" t="s">
        <v>58</v>
      </c>
      <c r="B38" s="214" t="s">
        <v>59</v>
      </c>
      <c r="C38" s="214"/>
      <c r="D38" s="220"/>
      <c r="E38" s="217">
        <v>0</v>
      </c>
      <c r="F38" s="221"/>
      <c r="G38" s="218"/>
      <c r="H38" s="221"/>
      <c r="I38" s="221"/>
      <c r="J38" s="221"/>
      <c r="K38" s="294">
        <f t="shared" si="5"/>
        <v>0</v>
      </c>
      <c r="L38" s="222"/>
      <c r="M38" s="274">
        <f t="shared" si="0"/>
        <v>0</v>
      </c>
      <c r="N38" s="275">
        <f t="shared" si="1"/>
        <v>0</v>
      </c>
      <c r="O38" s="275">
        <f t="shared" si="2"/>
        <v>0</v>
      </c>
      <c r="P38" s="275">
        <f t="shared" si="3"/>
        <v>0</v>
      </c>
      <c r="Q38" s="275">
        <f t="shared" si="3"/>
        <v>0</v>
      </c>
      <c r="R38" s="275">
        <f t="shared" si="3"/>
        <v>0</v>
      </c>
      <c r="S38" s="295">
        <f t="shared" si="4"/>
        <v>0</v>
      </c>
      <c r="T38" s="296">
        <f t="shared" si="6"/>
        <v>0</v>
      </c>
      <c r="U38" s="277"/>
      <c r="V38" s="291">
        <f t="shared" si="7"/>
        <v>0</v>
      </c>
      <c r="W38" s="292"/>
      <c r="BE38" s="293" t="e">
        <f>IF(A38="","",INDEX(PERSO_TAB1,MATCH(A38,PERSO_TAB1_NOM_PRENOM,0),MATCH(#REF!,PERSO_TAB1_ENTETE,0)))</f>
        <v>#NAME?</v>
      </c>
      <c r="BF38" s="293" t="e">
        <f>INDEX(PERSO_TAB1,MATCH($A38,PERSO_TAB1_NOM_PRENOM,0),MATCH(#REF!,PERSO_TAB1_ENTETE,0))</f>
        <v>#NAME?</v>
      </c>
      <c r="BG38" s="282"/>
    </row>
    <row r="39" spans="1:59" ht="16.5" customHeight="1" x14ac:dyDescent="0.25">
      <c r="A39" s="214" t="s">
        <v>58</v>
      </c>
      <c r="B39" s="214" t="s">
        <v>59</v>
      </c>
      <c r="C39" s="214"/>
      <c r="D39" s="220"/>
      <c r="E39" s="217">
        <v>0</v>
      </c>
      <c r="F39" s="221"/>
      <c r="G39" s="218"/>
      <c r="H39" s="221"/>
      <c r="I39" s="221"/>
      <c r="J39" s="221"/>
      <c r="K39" s="294">
        <f t="shared" si="5"/>
        <v>0</v>
      </c>
      <c r="L39" s="222"/>
      <c r="M39" s="274">
        <f t="shared" si="0"/>
        <v>0</v>
      </c>
      <c r="N39" s="275">
        <f t="shared" si="1"/>
        <v>0</v>
      </c>
      <c r="O39" s="275">
        <f t="shared" si="2"/>
        <v>0</v>
      </c>
      <c r="P39" s="275">
        <f t="shared" si="3"/>
        <v>0</v>
      </c>
      <c r="Q39" s="275">
        <f t="shared" si="3"/>
        <v>0</v>
      </c>
      <c r="R39" s="275">
        <f t="shared" si="3"/>
        <v>0</v>
      </c>
      <c r="S39" s="295">
        <f t="shared" si="4"/>
        <v>0</v>
      </c>
      <c r="T39" s="296">
        <f t="shared" si="6"/>
        <v>0</v>
      </c>
      <c r="U39" s="277"/>
      <c r="V39" s="291">
        <f t="shared" si="7"/>
        <v>0</v>
      </c>
      <c r="W39" s="292"/>
      <c r="BE39" s="293" t="e">
        <f>IF(A39="","",INDEX(PERSO_TAB1,MATCH(A39,PERSO_TAB1_NOM_PRENOM,0),MATCH(#REF!,PERSO_TAB1_ENTETE,0)))</f>
        <v>#NAME?</v>
      </c>
      <c r="BF39" s="293" t="e">
        <f>INDEX(PERSO_TAB1,MATCH($A39,PERSO_TAB1_NOM_PRENOM,0),MATCH(#REF!,PERSO_TAB1_ENTETE,0))</f>
        <v>#NAME?</v>
      </c>
      <c r="BG39" s="282"/>
    </row>
    <row r="40" spans="1:59" ht="16.5" customHeight="1" x14ac:dyDescent="0.25">
      <c r="A40" s="214" t="s">
        <v>58</v>
      </c>
      <c r="B40" s="214" t="s">
        <v>59</v>
      </c>
      <c r="C40" s="214"/>
      <c r="D40" s="220"/>
      <c r="E40" s="217">
        <v>0</v>
      </c>
      <c r="F40" s="221"/>
      <c r="G40" s="218"/>
      <c r="H40" s="221"/>
      <c r="I40" s="221"/>
      <c r="J40" s="221"/>
      <c r="K40" s="294">
        <f t="shared" si="5"/>
        <v>0</v>
      </c>
      <c r="L40" s="222"/>
      <c r="M40" s="274">
        <f t="shared" si="0"/>
        <v>0</v>
      </c>
      <c r="N40" s="275">
        <f t="shared" si="1"/>
        <v>0</v>
      </c>
      <c r="O40" s="275">
        <f t="shared" si="2"/>
        <v>0</v>
      </c>
      <c r="P40" s="275">
        <f t="shared" si="3"/>
        <v>0</v>
      </c>
      <c r="Q40" s="275">
        <f t="shared" si="3"/>
        <v>0</v>
      </c>
      <c r="R40" s="275">
        <f t="shared" si="3"/>
        <v>0</v>
      </c>
      <c r="S40" s="295">
        <f t="shared" si="4"/>
        <v>0</v>
      </c>
      <c r="T40" s="296">
        <f t="shared" si="6"/>
        <v>0</v>
      </c>
      <c r="U40" s="277"/>
      <c r="V40" s="291"/>
      <c r="W40" s="292"/>
      <c r="BE40" s="293"/>
      <c r="BF40" s="293"/>
      <c r="BG40" s="282"/>
    </row>
    <row r="41" spans="1:59" ht="16.5" customHeight="1" x14ac:dyDescent="0.25">
      <c r="A41" s="214" t="s">
        <v>58</v>
      </c>
      <c r="B41" s="214" t="s">
        <v>59</v>
      </c>
      <c r="C41" s="214"/>
      <c r="D41" s="220"/>
      <c r="E41" s="217">
        <v>0</v>
      </c>
      <c r="F41" s="221"/>
      <c r="G41" s="218"/>
      <c r="H41" s="221"/>
      <c r="I41" s="221"/>
      <c r="J41" s="221"/>
      <c r="K41" s="294">
        <f t="shared" si="5"/>
        <v>0</v>
      </c>
      <c r="L41" s="222"/>
      <c r="M41" s="274">
        <f t="shared" si="0"/>
        <v>0</v>
      </c>
      <c r="N41" s="275">
        <f t="shared" si="1"/>
        <v>0</v>
      </c>
      <c r="O41" s="275">
        <f t="shared" si="2"/>
        <v>0</v>
      </c>
      <c r="P41" s="275">
        <f t="shared" si="3"/>
        <v>0</v>
      </c>
      <c r="Q41" s="275">
        <f t="shared" si="3"/>
        <v>0</v>
      </c>
      <c r="R41" s="275">
        <f t="shared" si="3"/>
        <v>0</v>
      </c>
      <c r="S41" s="295">
        <f t="shared" si="4"/>
        <v>0</v>
      </c>
      <c r="T41" s="296">
        <f t="shared" si="6"/>
        <v>0</v>
      </c>
      <c r="U41" s="277"/>
      <c r="V41" s="291"/>
      <c r="W41" s="292"/>
      <c r="BE41" s="293"/>
      <c r="BF41" s="293"/>
      <c r="BG41" s="282"/>
    </row>
    <row r="42" spans="1:59" ht="16.5" customHeight="1" x14ac:dyDescent="0.25">
      <c r="A42" s="214" t="s">
        <v>58</v>
      </c>
      <c r="B42" s="214" t="s">
        <v>59</v>
      </c>
      <c r="C42" s="214"/>
      <c r="D42" s="220"/>
      <c r="E42" s="217">
        <v>0</v>
      </c>
      <c r="F42" s="221"/>
      <c r="G42" s="218"/>
      <c r="H42" s="221"/>
      <c r="I42" s="221"/>
      <c r="J42" s="221"/>
      <c r="K42" s="294">
        <f t="shared" si="5"/>
        <v>0</v>
      </c>
      <c r="L42" s="222"/>
      <c r="M42" s="274">
        <f t="shared" si="0"/>
        <v>0</v>
      </c>
      <c r="N42" s="275">
        <f t="shared" si="1"/>
        <v>0</v>
      </c>
      <c r="O42" s="275">
        <f t="shared" si="2"/>
        <v>0</v>
      </c>
      <c r="P42" s="275">
        <f t="shared" si="3"/>
        <v>0</v>
      </c>
      <c r="Q42" s="275">
        <f t="shared" si="3"/>
        <v>0</v>
      </c>
      <c r="R42" s="275">
        <f t="shared" si="3"/>
        <v>0</v>
      </c>
      <c r="S42" s="295">
        <f t="shared" si="4"/>
        <v>0</v>
      </c>
      <c r="T42" s="296">
        <f t="shared" si="6"/>
        <v>0</v>
      </c>
      <c r="U42" s="277"/>
      <c r="V42" s="291"/>
      <c r="W42" s="292"/>
      <c r="BE42" s="293"/>
      <c r="BF42" s="293"/>
      <c r="BG42" s="282"/>
    </row>
    <row r="43" spans="1:59" ht="16.5" customHeight="1" x14ac:dyDescent="0.25">
      <c r="A43" s="214" t="s">
        <v>58</v>
      </c>
      <c r="B43" s="214" t="s">
        <v>59</v>
      </c>
      <c r="C43" s="214"/>
      <c r="D43" s="220"/>
      <c r="E43" s="217">
        <v>0</v>
      </c>
      <c r="F43" s="221"/>
      <c r="G43" s="218"/>
      <c r="H43" s="221"/>
      <c r="I43" s="221"/>
      <c r="J43" s="221"/>
      <c r="K43" s="294">
        <f t="shared" si="5"/>
        <v>0</v>
      </c>
      <c r="L43" s="222"/>
      <c r="M43" s="274">
        <f t="shared" si="0"/>
        <v>0</v>
      </c>
      <c r="N43" s="275">
        <f t="shared" si="1"/>
        <v>0</v>
      </c>
      <c r="O43" s="275">
        <f t="shared" si="2"/>
        <v>0</v>
      </c>
      <c r="P43" s="275">
        <f t="shared" si="3"/>
        <v>0</v>
      </c>
      <c r="Q43" s="275">
        <f t="shared" si="3"/>
        <v>0</v>
      </c>
      <c r="R43" s="275">
        <f t="shared" si="3"/>
        <v>0</v>
      </c>
      <c r="S43" s="295">
        <f t="shared" si="4"/>
        <v>0</v>
      </c>
      <c r="T43" s="296">
        <f t="shared" si="6"/>
        <v>0</v>
      </c>
      <c r="U43" s="277"/>
      <c r="V43" s="291"/>
      <c r="W43" s="292"/>
      <c r="BE43" s="293"/>
      <c r="BF43" s="293"/>
      <c r="BG43" s="282"/>
    </row>
    <row r="44" spans="1:59" ht="16.5" customHeight="1" x14ac:dyDescent="0.25">
      <c r="A44" s="214" t="s">
        <v>58</v>
      </c>
      <c r="B44" s="214" t="s">
        <v>59</v>
      </c>
      <c r="C44" s="214"/>
      <c r="D44" s="220"/>
      <c r="E44" s="217">
        <v>0</v>
      </c>
      <c r="F44" s="221"/>
      <c r="G44" s="218"/>
      <c r="H44" s="221"/>
      <c r="I44" s="221"/>
      <c r="J44" s="221"/>
      <c r="K44" s="294">
        <f t="shared" si="5"/>
        <v>0</v>
      </c>
      <c r="L44" s="222"/>
      <c r="M44" s="274">
        <f t="shared" si="0"/>
        <v>0</v>
      </c>
      <c r="N44" s="275">
        <f t="shared" si="1"/>
        <v>0</v>
      </c>
      <c r="O44" s="275">
        <f t="shared" si="2"/>
        <v>0</v>
      </c>
      <c r="P44" s="275">
        <f t="shared" si="3"/>
        <v>0</v>
      </c>
      <c r="Q44" s="275">
        <f t="shared" si="3"/>
        <v>0</v>
      </c>
      <c r="R44" s="275">
        <f t="shared" si="3"/>
        <v>0</v>
      </c>
      <c r="S44" s="295">
        <f t="shared" si="4"/>
        <v>0</v>
      </c>
      <c r="T44" s="296">
        <f t="shared" si="6"/>
        <v>0</v>
      </c>
      <c r="U44" s="277"/>
      <c r="V44" s="291"/>
      <c r="W44" s="292"/>
      <c r="BE44" s="293"/>
      <c r="BF44" s="293"/>
      <c r="BG44" s="282"/>
    </row>
    <row r="45" spans="1:59" ht="16.5" customHeight="1" x14ac:dyDescent="0.25">
      <c r="A45" s="214" t="s">
        <v>58</v>
      </c>
      <c r="B45" s="214" t="s">
        <v>59</v>
      </c>
      <c r="C45" s="214"/>
      <c r="D45" s="220"/>
      <c r="E45" s="217">
        <v>0</v>
      </c>
      <c r="F45" s="221"/>
      <c r="G45" s="218"/>
      <c r="H45" s="221"/>
      <c r="I45" s="221"/>
      <c r="J45" s="221"/>
      <c r="K45" s="294">
        <f t="shared" si="5"/>
        <v>0</v>
      </c>
      <c r="L45" s="222"/>
      <c r="M45" s="274">
        <f t="shared" si="0"/>
        <v>0</v>
      </c>
      <c r="N45" s="275">
        <f t="shared" si="1"/>
        <v>0</v>
      </c>
      <c r="O45" s="275">
        <f t="shared" si="2"/>
        <v>0</v>
      </c>
      <c r="P45" s="275">
        <f t="shared" si="3"/>
        <v>0</v>
      </c>
      <c r="Q45" s="275">
        <f t="shared" si="3"/>
        <v>0</v>
      </c>
      <c r="R45" s="275">
        <f t="shared" si="3"/>
        <v>0</v>
      </c>
      <c r="S45" s="295">
        <f t="shared" si="4"/>
        <v>0</v>
      </c>
      <c r="T45" s="296">
        <f t="shared" si="6"/>
        <v>0</v>
      </c>
      <c r="U45" s="277"/>
      <c r="V45" s="291"/>
      <c r="W45" s="292"/>
      <c r="BE45" s="293"/>
      <c r="BF45" s="293"/>
      <c r="BG45" s="282"/>
    </row>
    <row r="46" spans="1:59" ht="16.5" customHeight="1" x14ac:dyDescent="0.25">
      <c r="A46" s="214" t="s">
        <v>58</v>
      </c>
      <c r="B46" s="214" t="s">
        <v>59</v>
      </c>
      <c r="C46" s="214"/>
      <c r="D46" s="220"/>
      <c r="E46" s="217">
        <v>0</v>
      </c>
      <c r="F46" s="221"/>
      <c r="G46" s="218"/>
      <c r="H46" s="221"/>
      <c r="I46" s="221"/>
      <c r="J46" s="221"/>
      <c r="K46" s="294">
        <f t="shared" si="5"/>
        <v>0</v>
      </c>
      <c r="L46" s="222"/>
      <c r="M46" s="274">
        <f t="shared" si="0"/>
        <v>0</v>
      </c>
      <c r="N46" s="275">
        <f t="shared" si="1"/>
        <v>0</v>
      </c>
      <c r="O46" s="275">
        <f t="shared" si="2"/>
        <v>0</v>
      </c>
      <c r="P46" s="275">
        <f t="shared" si="3"/>
        <v>0</v>
      </c>
      <c r="Q46" s="275">
        <f t="shared" si="3"/>
        <v>0</v>
      </c>
      <c r="R46" s="275">
        <f t="shared" si="3"/>
        <v>0</v>
      </c>
      <c r="S46" s="295">
        <f t="shared" si="4"/>
        <v>0</v>
      </c>
      <c r="T46" s="296">
        <f t="shared" si="6"/>
        <v>0</v>
      </c>
      <c r="U46" s="277"/>
      <c r="V46" s="291"/>
      <c r="W46" s="292"/>
      <c r="BE46" s="293"/>
      <c r="BF46" s="293"/>
      <c r="BG46" s="282"/>
    </row>
    <row r="47" spans="1:59" ht="16.5" customHeight="1" x14ac:dyDescent="0.25">
      <c r="A47" s="214" t="s">
        <v>58</v>
      </c>
      <c r="B47" s="214" t="s">
        <v>59</v>
      </c>
      <c r="C47" s="214"/>
      <c r="D47" s="220"/>
      <c r="E47" s="217">
        <v>0</v>
      </c>
      <c r="F47" s="221"/>
      <c r="G47" s="218"/>
      <c r="H47" s="221"/>
      <c r="I47" s="221"/>
      <c r="J47" s="221"/>
      <c r="K47" s="294">
        <f t="shared" si="5"/>
        <v>0</v>
      </c>
      <c r="L47" s="222"/>
      <c r="M47" s="274">
        <f t="shared" si="0"/>
        <v>0</v>
      </c>
      <c r="N47" s="275">
        <f t="shared" si="1"/>
        <v>0</v>
      </c>
      <c r="O47" s="275">
        <f t="shared" si="2"/>
        <v>0</v>
      </c>
      <c r="P47" s="275">
        <f t="shared" si="3"/>
        <v>0</v>
      </c>
      <c r="Q47" s="275">
        <f t="shared" si="3"/>
        <v>0</v>
      </c>
      <c r="R47" s="275">
        <f t="shared" si="3"/>
        <v>0</v>
      </c>
      <c r="S47" s="295">
        <f t="shared" si="4"/>
        <v>0</v>
      </c>
      <c r="T47" s="296">
        <f t="shared" si="6"/>
        <v>0</v>
      </c>
      <c r="U47" s="277"/>
      <c r="V47" s="291">
        <f t="shared" si="7"/>
        <v>0</v>
      </c>
      <c r="W47" s="292"/>
      <c r="BE47" s="293" t="e">
        <f>IF(A47="","",INDEX(PERSO_TAB1,MATCH(A47,PERSO_TAB1_NOM_PRENOM,0),MATCH(#REF!,PERSO_TAB1_ENTETE,0)))</f>
        <v>#NAME?</v>
      </c>
      <c r="BF47" s="293" t="e">
        <f>INDEX(PERSO_TAB1,MATCH($A47,PERSO_TAB1_NOM_PRENOM,0),MATCH(#REF!,PERSO_TAB1_ENTETE,0))</f>
        <v>#NAME?</v>
      </c>
      <c r="BG47" s="282"/>
    </row>
    <row r="48" spans="1:59" ht="16.5" customHeight="1" x14ac:dyDescent="0.25">
      <c r="A48" s="214" t="s">
        <v>58</v>
      </c>
      <c r="B48" s="214" t="s">
        <v>59</v>
      </c>
      <c r="C48" s="214"/>
      <c r="D48" s="220"/>
      <c r="E48" s="217">
        <v>0</v>
      </c>
      <c r="F48" s="221"/>
      <c r="G48" s="218"/>
      <c r="H48" s="221"/>
      <c r="I48" s="221"/>
      <c r="J48" s="221"/>
      <c r="K48" s="294">
        <f t="shared" si="5"/>
        <v>0</v>
      </c>
      <c r="L48" s="222"/>
      <c r="M48" s="274">
        <f t="shared" si="0"/>
        <v>0</v>
      </c>
      <c r="N48" s="275">
        <f t="shared" si="1"/>
        <v>0</v>
      </c>
      <c r="O48" s="275">
        <f t="shared" si="2"/>
        <v>0</v>
      </c>
      <c r="P48" s="275">
        <f t="shared" si="3"/>
        <v>0</v>
      </c>
      <c r="Q48" s="275">
        <f t="shared" si="3"/>
        <v>0</v>
      </c>
      <c r="R48" s="275">
        <f t="shared" si="3"/>
        <v>0</v>
      </c>
      <c r="S48" s="295">
        <f t="shared" si="4"/>
        <v>0</v>
      </c>
      <c r="T48" s="296">
        <f t="shared" si="6"/>
        <v>0</v>
      </c>
      <c r="U48" s="277"/>
      <c r="V48" s="291">
        <f t="shared" si="7"/>
        <v>0</v>
      </c>
      <c r="W48" s="292"/>
      <c r="BE48" s="293" t="e">
        <f>IF(A48="","",INDEX(PERSO_TAB1,MATCH(A48,PERSO_TAB1_NOM_PRENOM,0),MATCH(#REF!,PERSO_TAB1_ENTETE,0)))</f>
        <v>#NAME?</v>
      </c>
      <c r="BF48" s="293" t="e">
        <f>INDEX(PERSO_TAB1,MATCH($A48,PERSO_TAB1_NOM_PRENOM,0),MATCH(#REF!,PERSO_TAB1_ENTETE,0))</f>
        <v>#NAME?</v>
      </c>
      <c r="BG48" s="282"/>
    </row>
    <row r="49" spans="1:59" ht="16.5" customHeight="1" x14ac:dyDescent="0.25">
      <c r="A49" s="214" t="s">
        <v>58</v>
      </c>
      <c r="B49" s="214" t="s">
        <v>59</v>
      </c>
      <c r="C49" s="214"/>
      <c r="D49" s="220"/>
      <c r="E49" s="217">
        <v>0</v>
      </c>
      <c r="F49" s="221"/>
      <c r="G49" s="218"/>
      <c r="H49" s="221"/>
      <c r="I49" s="221"/>
      <c r="J49" s="221"/>
      <c r="K49" s="294">
        <f t="shared" si="5"/>
        <v>0</v>
      </c>
      <c r="L49" s="222"/>
      <c r="M49" s="274">
        <f t="shared" si="0"/>
        <v>0</v>
      </c>
      <c r="N49" s="275">
        <f t="shared" si="1"/>
        <v>0</v>
      </c>
      <c r="O49" s="275">
        <f t="shared" si="2"/>
        <v>0</v>
      </c>
      <c r="P49" s="275">
        <f t="shared" si="3"/>
        <v>0</v>
      </c>
      <c r="Q49" s="275">
        <f t="shared" si="3"/>
        <v>0</v>
      </c>
      <c r="R49" s="275">
        <f t="shared" si="3"/>
        <v>0</v>
      </c>
      <c r="S49" s="295">
        <f t="shared" si="4"/>
        <v>0</v>
      </c>
      <c r="T49" s="296">
        <f t="shared" si="6"/>
        <v>0</v>
      </c>
      <c r="U49" s="277"/>
      <c r="V49" s="291">
        <f t="shared" si="7"/>
        <v>0</v>
      </c>
      <c r="W49" s="292"/>
      <c r="BE49" s="293" t="e">
        <f>IF(A49="","",INDEX(PERSO_TAB1,MATCH(A49,PERSO_TAB1_NOM_PRENOM,0),MATCH(#REF!,PERSO_TAB1_ENTETE,0)))</f>
        <v>#NAME?</v>
      </c>
      <c r="BF49" s="293" t="e">
        <f>INDEX(PERSO_TAB1,MATCH($A49,PERSO_TAB1_NOM_PRENOM,0),MATCH(#REF!,PERSO_TAB1_ENTETE,0))</f>
        <v>#NAME?</v>
      </c>
      <c r="BG49" s="282"/>
    </row>
    <row r="50" spans="1:59" ht="16.5" customHeight="1" x14ac:dyDescent="0.25">
      <c r="A50" s="214" t="s">
        <v>58</v>
      </c>
      <c r="B50" s="214" t="s">
        <v>59</v>
      </c>
      <c r="C50" s="214"/>
      <c r="D50" s="220"/>
      <c r="E50" s="217">
        <v>0</v>
      </c>
      <c r="F50" s="221"/>
      <c r="G50" s="218"/>
      <c r="H50" s="221"/>
      <c r="I50" s="221"/>
      <c r="J50" s="221"/>
      <c r="K50" s="294">
        <f t="shared" si="5"/>
        <v>0</v>
      </c>
      <c r="L50" s="222"/>
      <c r="M50" s="274">
        <f t="shared" si="0"/>
        <v>0</v>
      </c>
      <c r="N50" s="275">
        <f t="shared" si="1"/>
        <v>0</v>
      </c>
      <c r="O50" s="275">
        <f t="shared" si="2"/>
        <v>0</v>
      </c>
      <c r="P50" s="275">
        <f t="shared" si="2"/>
        <v>0</v>
      </c>
      <c r="Q50" s="275">
        <f t="shared" si="2"/>
        <v>0</v>
      </c>
      <c r="R50" s="275">
        <f t="shared" si="2"/>
        <v>0</v>
      </c>
      <c r="S50" s="295">
        <f t="shared" si="4"/>
        <v>0</v>
      </c>
      <c r="T50" s="296">
        <f t="shared" si="6"/>
        <v>0</v>
      </c>
      <c r="U50" s="277"/>
      <c r="V50" s="291">
        <f t="shared" si="7"/>
        <v>0</v>
      </c>
      <c r="BE50" s="293" t="e">
        <f>IF(A50="","",INDEX(PERSO_TAB1,MATCH(A50,PERSO_TAB1_NOM_PRENOM,0),MATCH(#REF!,PERSO_TAB1_ENTETE,0)))</f>
        <v>#NAME?</v>
      </c>
      <c r="BF50" s="293" t="e">
        <f>INDEX(PERSO_TAB1,MATCH($A50,PERSO_TAB1_NOM_PRENOM,0),MATCH(#REF!,PERSO_TAB1_ENTETE,0))</f>
        <v>#NAME?</v>
      </c>
      <c r="BG50" s="282"/>
    </row>
    <row r="51" spans="1:59" ht="16.5" customHeight="1" x14ac:dyDescent="0.25">
      <c r="A51" s="214" t="s">
        <v>58</v>
      </c>
      <c r="B51" s="214" t="s">
        <v>59</v>
      </c>
      <c r="C51" s="214"/>
      <c r="D51" s="220"/>
      <c r="E51" s="217">
        <v>0</v>
      </c>
      <c r="F51" s="221"/>
      <c r="G51" s="218"/>
      <c r="H51" s="221"/>
      <c r="I51" s="221"/>
      <c r="J51" s="221"/>
      <c r="K51" s="294">
        <f t="shared" si="5"/>
        <v>0</v>
      </c>
      <c r="L51" s="222"/>
      <c r="M51" s="274">
        <f t="shared" si="0"/>
        <v>0</v>
      </c>
      <c r="N51" s="275">
        <f t="shared" si="1"/>
        <v>0</v>
      </c>
      <c r="O51" s="275">
        <f t="shared" si="2"/>
        <v>0</v>
      </c>
      <c r="P51" s="275">
        <f t="shared" si="2"/>
        <v>0</v>
      </c>
      <c r="Q51" s="275">
        <f t="shared" si="2"/>
        <v>0</v>
      </c>
      <c r="R51" s="275">
        <f t="shared" si="2"/>
        <v>0</v>
      </c>
      <c r="S51" s="295">
        <f t="shared" si="4"/>
        <v>0</v>
      </c>
      <c r="T51" s="296">
        <f t="shared" si="6"/>
        <v>0</v>
      </c>
      <c r="U51" s="277"/>
      <c r="V51" s="291">
        <f t="shared" si="7"/>
        <v>0</v>
      </c>
      <c r="BE51" s="293" t="e">
        <f>IF(A51="","",INDEX(PERSO_TAB1,MATCH(A51,PERSO_TAB1_NOM_PRENOM,0),MATCH(#REF!,PERSO_TAB1_ENTETE,0)))</f>
        <v>#NAME?</v>
      </c>
      <c r="BF51" s="293" t="e">
        <f>INDEX(PERSO_TAB1,MATCH($A51,PERSO_TAB1_NOM_PRENOM,0),MATCH(#REF!,PERSO_TAB1_ENTETE,0))</f>
        <v>#NAME?</v>
      </c>
      <c r="BG51" s="282"/>
    </row>
    <row r="52" spans="1:59" ht="16.5" customHeight="1" x14ac:dyDescent="0.25">
      <c r="A52" s="214" t="s">
        <v>58</v>
      </c>
      <c r="B52" s="214" t="s">
        <v>59</v>
      </c>
      <c r="C52" s="214"/>
      <c r="D52" s="220"/>
      <c r="E52" s="217">
        <v>0</v>
      </c>
      <c r="F52" s="221"/>
      <c r="G52" s="218"/>
      <c r="H52" s="221"/>
      <c r="I52" s="221"/>
      <c r="J52" s="221"/>
      <c r="K52" s="294">
        <f t="shared" si="5"/>
        <v>0</v>
      </c>
      <c r="L52" s="222"/>
      <c r="M52" s="274">
        <f t="shared" si="0"/>
        <v>0</v>
      </c>
      <c r="N52" s="275">
        <f t="shared" si="1"/>
        <v>0</v>
      </c>
      <c r="O52" s="275">
        <f t="shared" si="2"/>
        <v>0</v>
      </c>
      <c r="P52" s="275">
        <f t="shared" si="2"/>
        <v>0</v>
      </c>
      <c r="Q52" s="275">
        <f t="shared" si="2"/>
        <v>0</v>
      </c>
      <c r="R52" s="275">
        <f t="shared" si="2"/>
        <v>0</v>
      </c>
      <c r="S52" s="295">
        <f t="shared" si="4"/>
        <v>0</v>
      </c>
      <c r="T52" s="296">
        <f t="shared" si="6"/>
        <v>0</v>
      </c>
      <c r="U52" s="277"/>
      <c r="V52" s="291">
        <f t="shared" si="7"/>
        <v>0</v>
      </c>
      <c r="BE52" s="293" t="e">
        <f>IF(A52="","",INDEX(PERSO_TAB1,MATCH(A52,PERSO_TAB1_NOM_PRENOM,0),MATCH(#REF!,PERSO_TAB1_ENTETE,0)))</f>
        <v>#NAME?</v>
      </c>
      <c r="BF52" s="293" t="e">
        <f>INDEX(PERSO_TAB1,MATCH($A52,PERSO_TAB1_NOM_PRENOM,0),MATCH(#REF!,PERSO_TAB1_ENTETE,0))</f>
        <v>#NAME?</v>
      </c>
      <c r="BG52" s="282"/>
    </row>
    <row r="53" spans="1:59" ht="16.5" customHeight="1" x14ac:dyDescent="0.25">
      <c r="A53" s="214" t="s">
        <v>58</v>
      </c>
      <c r="B53" s="214" t="s">
        <v>59</v>
      </c>
      <c r="C53" s="214"/>
      <c r="D53" s="220"/>
      <c r="E53" s="217">
        <v>0</v>
      </c>
      <c r="F53" s="221"/>
      <c r="G53" s="218"/>
      <c r="H53" s="221"/>
      <c r="I53" s="221"/>
      <c r="J53" s="221"/>
      <c r="K53" s="294">
        <f t="shared" si="5"/>
        <v>0</v>
      </c>
      <c r="L53" s="222"/>
      <c r="M53" s="274">
        <f t="shared" si="0"/>
        <v>0</v>
      </c>
      <c r="N53" s="275">
        <f t="shared" si="1"/>
        <v>0</v>
      </c>
      <c r="O53" s="275">
        <f t="shared" si="2"/>
        <v>0</v>
      </c>
      <c r="P53" s="275">
        <f t="shared" si="2"/>
        <v>0</v>
      </c>
      <c r="Q53" s="275">
        <f t="shared" si="2"/>
        <v>0</v>
      </c>
      <c r="R53" s="275">
        <f t="shared" si="2"/>
        <v>0</v>
      </c>
      <c r="S53" s="295">
        <f t="shared" si="4"/>
        <v>0</v>
      </c>
      <c r="T53" s="296">
        <f t="shared" si="6"/>
        <v>0</v>
      </c>
      <c r="U53" s="277"/>
      <c r="V53" s="291">
        <f t="shared" si="7"/>
        <v>0</v>
      </c>
      <c r="BE53" s="293" t="e">
        <f>IF(A53="","",INDEX(PERSO_TAB1,MATCH(A53,PERSO_TAB1_NOM_PRENOM,0),MATCH(#REF!,PERSO_TAB1_ENTETE,0)))</f>
        <v>#NAME?</v>
      </c>
      <c r="BF53" s="293" t="e">
        <f>INDEX(PERSO_TAB1,MATCH($A53,PERSO_TAB1_NOM_PRENOM,0),MATCH(#REF!,PERSO_TAB1_ENTETE,0))</f>
        <v>#NAME?</v>
      </c>
      <c r="BG53" s="282"/>
    </row>
    <row r="54" spans="1:59" ht="16.5" customHeight="1" x14ac:dyDescent="0.25">
      <c r="A54" s="214" t="s">
        <v>58</v>
      </c>
      <c r="B54" s="214" t="s">
        <v>59</v>
      </c>
      <c r="C54" s="214"/>
      <c r="D54" s="220"/>
      <c r="E54" s="217">
        <v>0</v>
      </c>
      <c r="F54" s="221"/>
      <c r="G54" s="218"/>
      <c r="H54" s="221"/>
      <c r="I54" s="221"/>
      <c r="J54" s="221"/>
      <c r="K54" s="294">
        <f t="shared" si="5"/>
        <v>0</v>
      </c>
      <c r="L54" s="222"/>
      <c r="M54" s="274">
        <f t="shared" si="0"/>
        <v>0</v>
      </c>
      <c r="N54" s="275">
        <f t="shared" si="1"/>
        <v>0</v>
      </c>
      <c r="O54" s="275">
        <f t="shared" si="2"/>
        <v>0</v>
      </c>
      <c r="P54" s="275">
        <f t="shared" si="2"/>
        <v>0</v>
      </c>
      <c r="Q54" s="275">
        <f t="shared" si="2"/>
        <v>0</v>
      </c>
      <c r="R54" s="275">
        <f t="shared" si="2"/>
        <v>0</v>
      </c>
      <c r="S54" s="295">
        <f t="shared" si="4"/>
        <v>0</v>
      </c>
      <c r="T54" s="296">
        <f t="shared" si="6"/>
        <v>0</v>
      </c>
      <c r="U54" s="277"/>
      <c r="V54" s="291">
        <f t="shared" si="7"/>
        <v>0</v>
      </c>
      <c r="BE54" s="293" t="e">
        <f>IF(A54="","",INDEX(PERSO_TAB1,MATCH(A54,PERSO_TAB1_NOM_PRENOM,0),MATCH(#REF!,PERSO_TAB1_ENTETE,0)))</f>
        <v>#NAME?</v>
      </c>
      <c r="BF54" s="293" t="e">
        <f>INDEX(PERSO_TAB1,MATCH($A54,PERSO_TAB1_NOM_PRENOM,0),MATCH(#REF!,PERSO_TAB1_ENTETE,0))</f>
        <v>#NAME?</v>
      </c>
      <c r="BG54" s="282"/>
    </row>
    <row r="55" spans="1:59" ht="16.5" customHeight="1" x14ac:dyDescent="0.25">
      <c r="A55" s="214" t="s">
        <v>58</v>
      </c>
      <c r="B55" s="214" t="s">
        <v>59</v>
      </c>
      <c r="C55" s="214"/>
      <c r="D55" s="220"/>
      <c r="E55" s="217">
        <v>0</v>
      </c>
      <c r="F55" s="221"/>
      <c r="G55" s="218"/>
      <c r="H55" s="221"/>
      <c r="I55" s="221"/>
      <c r="J55" s="221"/>
      <c r="K55" s="294">
        <f t="shared" si="5"/>
        <v>0</v>
      </c>
      <c r="L55" s="222"/>
      <c r="M55" s="274">
        <f t="shared" si="0"/>
        <v>0</v>
      </c>
      <c r="N55" s="275">
        <f t="shared" si="1"/>
        <v>0</v>
      </c>
      <c r="O55" s="275">
        <f t="shared" si="2"/>
        <v>0</v>
      </c>
      <c r="P55" s="275">
        <f t="shared" si="2"/>
        <v>0</v>
      </c>
      <c r="Q55" s="275">
        <f t="shared" si="2"/>
        <v>0</v>
      </c>
      <c r="R55" s="275">
        <f t="shared" si="2"/>
        <v>0</v>
      </c>
      <c r="S55" s="295">
        <f t="shared" si="4"/>
        <v>0</v>
      </c>
      <c r="T55" s="296">
        <f t="shared" si="6"/>
        <v>0</v>
      </c>
      <c r="U55" s="277"/>
      <c r="V55" s="291">
        <f t="shared" si="7"/>
        <v>0</v>
      </c>
      <c r="BE55" s="293" t="e">
        <f>IF(A55="","",INDEX(PERSO_TAB1,MATCH(A55,PERSO_TAB1_NOM_PRENOM,0),MATCH(#REF!,PERSO_TAB1_ENTETE,0)))</f>
        <v>#NAME?</v>
      </c>
      <c r="BF55" s="293" t="e">
        <f>INDEX(PERSO_TAB1,MATCH($A55,PERSO_TAB1_NOM_PRENOM,0),MATCH(#REF!,PERSO_TAB1_ENTETE,0))</f>
        <v>#NAME?</v>
      </c>
      <c r="BG55" s="282"/>
    </row>
    <row r="56" spans="1:59" ht="16.5" customHeight="1" x14ac:dyDescent="0.25">
      <c r="A56" s="214" t="s">
        <v>58</v>
      </c>
      <c r="B56" s="214" t="s">
        <v>59</v>
      </c>
      <c r="C56" s="214"/>
      <c r="D56" s="220"/>
      <c r="E56" s="217">
        <v>0</v>
      </c>
      <c r="F56" s="221"/>
      <c r="G56" s="218"/>
      <c r="H56" s="221"/>
      <c r="I56" s="221"/>
      <c r="J56" s="221"/>
      <c r="K56" s="294">
        <f t="shared" si="5"/>
        <v>0</v>
      </c>
      <c r="L56" s="222"/>
      <c r="M56" s="274">
        <f t="shared" si="0"/>
        <v>0</v>
      </c>
      <c r="N56" s="275">
        <f t="shared" si="1"/>
        <v>0</v>
      </c>
      <c r="O56" s="275">
        <f t="shared" si="2"/>
        <v>0</v>
      </c>
      <c r="P56" s="275">
        <f t="shared" si="2"/>
        <v>0</v>
      </c>
      <c r="Q56" s="275">
        <f t="shared" si="2"/>
        <v>0</v>
      </c>
      <c r="R56" s="275">
        <f t="shared" si="2"/>
        <v>0</v>
      </c>
      <c r="S56" s="295">
        <f t="shared" si="4"/>
        <v>0</v>
      </c>
      <c r="T56" s="296">
        <f t="shared" si="6"/>
        <v>0</v>
      </c>
      <c r="U56" s="277"/>
      <c r="V56" s="291">
        <f t="shared" si="7"/>
        <v>0</v>
      </c>
      <c r="BE56" s="293" t="e">
        <f>IF(A56="","",INDEX(PERSO_TAB1,MATCH(A56,PERSO_TAB1_NOM_PRENOM,0),MATCH(#REF!,PERSO_TAB1_ENTETE,0)))</f>
        <v>#NAME?</v>
      </c>
      <c r="BF56" s="293" t="e">
        <f>INDEX(PERSO_TAB1,MATCH($A56,PERSO_TAB1_NOM_PRENOM,0),MATCH(#REF!,PERSO_TAB1_ENTETE,0))</f>
        <v>#NAME?</v>
      </c>
      <c r="BG56" s="282"/>
    </row>
    <row r="57" spans="1:59" ht="16.5" customHeight="1" x14ac:dyDescent="0.25">
      <c r="A57" s="214" t="s">
        <v>58</v>
      </c>
      <c r="B57" s="214" t="s">
        <v>59</v>
      </c>
      <c r="C57" s="214"/>
      <c r="D57" s="220"/>
      <c r="E57" s="217">
        <v>0</v>
      </c>
      <c r="F57" s="221"/>
      <c r="G57" s="218"/>
      <c r="H57" s="221"/>
      <c r="I57" s="221"/>
      <c r="J57" s="221"/>
      <c r="K57" s="294">
        <f t="shared" si="5"/>
        <v>0</v>
      </c>
      <c r="L57" s="222"/>
      <c r="M57" s="274">
        <f t="shared" si="0"/>
        <v>0</v>
      </c>
      <c r="N57" s="275">
        <f t="shared" si="1"/>
        <v>0</v>
      </c>
      <c r="O57" s="275">
        <f t="shared" si="2"/>
        <v>0</v>
      </c>
      <c r="P57" s="275">
        <f t="shared" si="2"/>
        <v>0</v>
      </c>
      <c r="Q57" s="275">
        <f t="shared" si="2"/>
        <v>0</v>
      </c>
      <c r="R57" s="275">
        <f t="shared" si="2"/>
        <v>0</v>
      </c>
      <c r="S57" s="295">
        <f t="shared" si="4"/>
        <v>0</v>
      </c>
      <c r="T57" s="296">
        <f t="shared" si="6"/>
        <v>0</v>
      </c>
      <c r="U57" s="277"/>
      <c r="V57" s="291">
        <f t="shared" si="7"/>
        <v>0</v>
      </c>
      <c r="BE57" s="293" t="e">
        <f>IF(A57="","",INDEX(PERSO_TAB1,MATCH(A57,PERSO_TAB1_NOM_PRENOM,0),MATCH(#REF!,PERSO_TAB1_ENTETE,0)))</f>
        <v>#NAME?</v>
      </c>
      <c r="BF57" s="293" t="e">
        <f>INDEX(PERSO_TAB1,MATCH($A57,PERSO_TAB1_NOM_PRENOM,0),MATCH(#REF!,PERSO_TAB1_ENTETE,0))</f>
        <v>#NAME?</v>
      </c>
      <c r="BG57" s="282"/>
    </row>
    <row r="58" spans="1:59" ht="16.5" customHeight="1" x14ac:dyDescent="0.25">
      <c r="A58" s="214" t="s">
        <v>58</v>
      </c>
      <c r="B58" s="214" t="s">
        <v>59</v>
      </c>
      <c r="C58" s="214"/>
      <c r="D58" s="220"/>
      <c r="E58" s="217">
        <v>0</v>
      </c>
      <c r="F58" s="221"/>
      <c r="G58" s="218"/>
      <c r="H58" s="221"/>
      <c r="I58" s="221"/>
      <c r="J58" s="221"/>
      <c r="K58" s="294">
        <f t="shared" si="5"/>
        <v>0</v>
      </c>
      <c r="L58" s="222"/>
      <c r="M58" s="274">
        <f t="shared" si="0"/>
        <v>0</v>
      </c>
      <c r="N58" s="275">
        <f t="shared" si="1"/>
        <v>0</v>
      </c>
      <c r="O58" s="275">
        <f t="shared" si="2"/>
        <v>0</v>
      </c>
      <c r="P58" s="275">
        <f t="shared" si="2"/>
        <v>0</v>
      </c>
      <c r="Q58" s="275">
        <f t="shared" si="2"/>
        <v>0</v>
      </c>
      <c r="R58" s="275">
        <f t="shared" si="2"/>
        <v>0</v>
      </c>
      <c r="S58" s="295">
        <f t="shared" si="4"/>
        <v>0</v>
      </c>
      <c r="T58" s="296">
        <f t="shared" si="6"/>
        <v>0</v>
      </c>
      <c r="U58" s="277"/>
      <c r="V58" s="291">
        <f t="shared" si="7"/>
        <v>0</v>
      </c>
      <c r="BE58" s="293" t="e">
        <f>IF(A58="","",INDEX(PERSO_TAB1,MATCH(A58,PERSO_TAB1_NOM_PRENOM,0),MATCH(#REF!,PERSO_TAB1_ENTETE,0)))</f>
        <v>#NAME?</v>
      </c>
      <c r="BF58" s="293" t="e">
        <f>INDEX(PERSO_TAB1,MATCH($A58,PERSO_TAB1_NOM_PRENOM,0),MATCH(#REF!,PERSO_TAB1_ENTETE,0))</f>
        <v>#NAME?</v>
      </c>
      <c r="BG58" s="282"/>
    </row>
    <row r="59" spans="1:59" ht="16.5" customHeight="1" x14ac:dyDescent="0.25">
      <c r="A59" s="214" t="s">
        <v>58</v>
      </c>
      <c r="B59" s="214" t="s">
        <v>59</v>
      </c>
      <c r="C59" s="214"/>
      <c r="D59" s="220"/>
      <c r="E59" s="217">
        <v>0</v>
      </c>
      <c r="F59" s="221"/>
      <c r="G59" s="218"/>
      <c r="H59" s="221"/>
      <c r="I59" s="221"/>
      <c r="J59" s="221"/>
      <c r="K59" s="294">
        <f t="shared" si="5"/>
        <v>0</v>
      </c>
      <c r="L59" s="222"/>
      <c r="M59" s="274">
        <f t="shared" si="0"/>
        <v>0</v>
      </c>
      <c r="N59" s="275">
        <f t="shared" si="1"/>
        <v>0</v>
      </c>
      <c r="O59" s="275">
        <f t="shared" si="2"/>
        <v>0</v>
      </c>
      <c r="P59" s="275">
        <f t="shared" si="2"/>
        <v>0</v>
      </c>
      <c r="Q59" s="275">
        <f t="shared" si="2"/>
        <v>0</v>
      </c>
      <c r="R59" s="275">
        <f t="shared" si="2"/>
        <v>0</v>
      </c>
      <c r="S59" s="295">
        <f t="shared" si="4"/>
        <v>0</v>
      </c>
      <c r="T59" s="296">
        <f t="shared" si="6"/>
        <v>0</v>
      </c>
      <c r="U59" s="277"/>
      <c r="V59" s="291">
        <f t="shared" si="7"/>
        <v>0</v>
      </c>
      <c r="BE59" s="293" t="e">
        <f>IF(A59="","",INDEX(PERSO_TAB1,MATCH(A59,PERSO_TAB1_NOM_PRENOM,0),MATCH(#REF!,PERSO_TAB1_ENTETE,0)))</f>
        <v>#NAME?</v>
      </c>
      <c r="BF59" s="293" t="e">
        <f>INDEX(PERSO_TAB1,MATCH($A59,PERSO_TAB1_NOM_PRENOM,0),MATCH(#REF!,PERSO_TAB1_ENTETE,0))</f>
        <v>#NAME?</v>
      </c>
      <c r="BG59" s="282"/>
    </row>
    <row r="60" spans="1:59" ht="15" x14ac:dyDescent="0.25">
      <c r="A60" s="299"/>
      <c r="E60" s="353" t="e">
        <f>AVERAGEIF(E12:E59,"&lt;&gt;0")</f>
        <v>#DIV/0!</v>
      </c>
      <c r="F60" s="300"/>
      <c r="G60" s="300"/>
      <c r="H60" s="300"/>
      <c r="I60" s="300"/>
      <c r="J60" s="300"/>
      <c r="K60" s="301">
        <f>SUM(K12:K59)</f>
        <v>0</v>
      </c>
      <c r="L60" s="300"/>
      <c r="N60" s="302">
        <f>SUM(N12:N59)</f>
        <v>0</v>
      </c>
      <c r="O60" s="302">
        <f>SUM(O12:O59)</f>
        <v>0</v>
      </c>
      <c r="P60" s="302">
        <f>SUM(P12:P59)</f>
        <v>0</v>
      </c>
      <c r="Q60" s="302"/>
      <c r="R60" s="302"/>
      <c r="S60" s="303">
        <f>SUM(S12:S59)</f>
        <v>0</v>
      </c>
      <c r="T60" s="302">
        <f>SUM(T12:T59)</f>
        <v>0</v>
      </c>
      <c r="V60" s="293"/>
      <c r="BE60" s="293" t="str">
        <f>IF(A60="","",INDEX(PERSO_TAB1,MATCH(A60,PERSO_NOM_PRENOM,0),MATCH(#REF!,PERSO_TAB1_ENTETE,0)))</f>
        <v/>
      </c>
      <c r="BG60" s="282"/>
    </row>
    <row r="61" spans="1:59" x14ac:dyDescent="0.25">
      <c r="A61" s="299"/>
      <c r="F61" s="300"/>
      <c r="G61" s="300"/>
      <c r="H61" s="300"/>
      <c r="I61" s="300"/>
      <c r="J61" s="300"/>
      <c r="N61" s="300"/>
      <c r="O61" s="300"/>
      <c r="P61" s="300"/>
      <c r="Q61" s="300"/>
      <c r="R61" s="300"/>
      <c r="S61" s="300"/>
      <c r="T61" s="300"/>
      <c r="V61" s="293"/>
    </row>
    <row r="62" spans="1:59" ht="61.9" customHeight="1" x14ac:dyDescent="0.25">
      <c r="A62" s="299"/>
    </row>
    <row r="63" spans="1:59" x14ac:dyDescent="0.25">
      <c r="A63" s="299"/>
    </row>
    <row r="64" spans="1:59" x14ac:dyDescent="0.25">
      <c r="A64" s="299"/>
    </row>
    <row r="65" spans="1:1" x14ac:dyDescent="0.25">
      <c r="A65" s="299"/>
    </row>
    <row r="66" spans="1:1" x14ac:dyDescent="0.25">
      <c r="A66" s="299"/>
    </row>
    <row r="67" spans="1:1" x14ac:dyDescent="0.25">
      <c r="A67" s="299"/>
    </row>
    <row r="68" spans="1:1" x14ac:dyDescent="0.25">
      <c r="A68" s="299"/>
    </row>
    <row r="69" spans="1:1" x14ac:dyDescent="0.25">
      <c r="A69" s="299"/>
    </row>
    <row r="70" spans="1:1" x14ac:dyDescent="0.25">
      <c r="A70" s="299"/>
    </row>
    <row r="71" spans="1:1" x14ac:dyDescent="0.25">
      <c r="A71" s="299"/>
    </row>
    <row r="72" spans="1:1" x14ac:dyDescent="0.25">
      <c r="A72" s="299"/>
    </row>
    <row r="73" spans="1:1" x14ac:dyDescent="0.25">
      <c r="A73" s="299"/>
    </row>
    <row r="74" spans="1:1" x14ac:dyDescent="0.25">
      <c r="A74" s="299"/>
    </row>
    <row r="75" spans="1:1" x14ac:dyDescent="0.25">
      <c r="A75" s="299"/>
    </row>
    <row r="76" spans="1:1" x14ac:dyDescent="0.25">
      <c r="A76" s="299"/>
    </row>
    <row r="77" spans="1:1" x14ac:dyDescent="0.25">
      <c r="A77" s="299"/>
    </row>
    <row r="78" spans="1:1" x14ac:dyDescent="0.25">
      <c r="A78" s="299"/>
    </row>
    <row r="79" spans="1:1" x14ac:dyDescent="0.25">
      <c r="A79" s="299"/>
    </row>
    <row r="80" spans="1:1" x14ac:dyDescent="0.25">
      <c r="A80" s="299"/>
    </row>
    <row r="81" spans="1:1" x14ac:dyDescent="0.25">
      <c r="A81" s="299"/>
    </row>
    <row r="82" spans="1:1" x14ac:dyDescent="0.25">
      <c r="A82" s="299"/>
    </row>
    <row r="83" spans="1:1" x14ac:dyDescent="0.25">
      <c r="A83" s="299"/>
    </row>
    <row r="84" spans="1:1" x14ac:dyDescent="0.25">
      <c r="A84" s="299"/>
    </row>
    <row r="85" spans="1:1" x14ac:dyDescent="0.25">
      <c r="A85" s="299"/>
    </row>
    <row r="86" spans="1:1" x14ac:dyDescent="0.25">
      <c r="A86" s="299"/>
    </row>
    <row r="87" spans="1:1" x14ac:dyDescent="0.25">
      <c r="A87" s="299"/>
    </row>
    <row r="88" spans="1:1" x14ac:dyDescent="0.25">
      <c r="A88" s="299"/>
    </row>
    <row r="89" spans="1:1" x14ac:dyDescent="0.25">
      <c r="A89" s="299"/>
    </row>
    <row r="90" spans="1:1" x14ac:dyDescent="0.25">
      <c r="A90" s="299"/>
    </row>
    <row r="91" spans="1:1" x14ac:dyDescent="0.25">
      <c r="A91" s="299"/>
    </row>
    <row r="92" spans="1:1" x14ac:dyDescent="0.25">
      <c r="A92" s="299"/>
    </row>
    <row r="93" spans="1:1" x14ac:dyDescent="0.25">
      <c r="A93" s="299"/>
    </row>
    <row r="94" spans="1:1" x14ac:dyDescent="0.25">
      <c r="A94" s="299"/>
    </row>
    <row r="95" spans="1:1" x14ac:dyDescent="0.25">
      <c r="A95" s="299"/>
    </row>
    <row r="96" spans="1:1" x14ac:dyDescent="0.25">
      <c r="A96" s="299"/>
    </row>
    <row r="97" spans="1:1" x14ac:dyDescent="0.25">
      <c r="A97" s="299"/>
    </row>
    <row r="98" spans="1:1" x14ac:dyDescent="0.25">
      <c r="A98" s="299"/>
    </row>
    <row r="99" spans="1:1" x14ac:dyDescent="0.25">
      <c r="A99" s="299"/>
    </row>
    <row r="100" spans="1:1" x14ac:dyDescent="0.25">
      <c r="A100" s="299"/>
    </row>
    <row r="101" spans="1:1" x14ac:dyDescent="0.25">
      <c r="A101" s="299"/>
    </row>
    <row r="102" spans="1:1" x14ac:dyDescent="0.25">
      <c r="A102" s="299"/>
    </row>
    <row r="103" spans="1:1" x14ac:dyDescent="0.25">
      <c r="A103" s="299"/>
    </row>
    <row r="104" spans="1:1" x14ac:dyDescent="0.25">
      <c r="A104" s="299"/>
    </row>
    <row r="105" spans="1:1" x14ac:dyDescent="0.25">
      <c r="A105" s="299"/>
    </row>
    <row r="106" spans="1:1" x14ac:dyDescent="0.25">
      <c r="A106" s="299"/>
    </row>
    <row r="107" spans="1:1" x14ac:dyDescent="0.25">
      <c r="A107" s="299"/>
    </row>
    <row r="108" spans="1:1" x14ac:dyDescent="0.25">
      <c r="A108" s="299"/>
    </row>
    <row r="109" spans="1:1" x14ac:dyDescent="0.25">
      <c r="A109" s="299"/>
    </row>
    <row r="110" spans="1:1" x14ac:dyDescent="0.25">
      <c r="A110" s="299"/>
    </row>
    <row r="111" spans="1:1" x14ac:dyDescent="0.25">
      <c r="A111" s="299"/>
    </row>
    <row r="112" spans="1:1" x14ac:dyDescent="0.25">
      <c r="A112" s="299"/>
    </row>
    <row r="113" spans="1:1" x14ac:dyDescent="0.25">
      <c r="A113" s="299"/>
    </row>
    <row r="114" spans="1:1" x14ac:dyDescent="0.25">
      <c r="A114" s="299"/>
    </row>
    <row r="115" spans="1:1" x14ac:dyDescent="0.25">
      <c r="A115" s="299"/>
    </row>
    <row r="116" spans="1:1" x14ac:dyDescent="0.25">
      <c r="A116" s="299"/>
    </row>
    <row r="117" spans="1:1" x14ac:dyDescent="0.25">
      <c r="A117" s="299"/>
    </row>
    <row r="118" spans="1:1" x14ac:dyDescent="0.25">
      <c r="A118" s="299"/>
    </row>
    <row r="119" spans="1:1" x14ac:dyDescent="0.25">
      <c r="A119" s="299"/>
    </row>
    <row r="120" spans="1:1" x14ac:dyDescent="0.25">
      <c r="A120" s="299"/>
    </row>
    <row r="121" spans="1:1" x14ac:dyDescent="0.25">
      <c r="A121" s="299"/>
    </row>
    <row r="122" spans="1:1" x14ac:dyDescent="0.25">
      <c r="A122" s="299"/>
    </row>
    <row r="123" spans="1:1" x14ac:dyDescent="0.25">
      <c r="A123" s="299"/>
    </row>
    <row r="124" spans="1:1" x14ac:dyDescent="0.25">
      <c r="A124" s="299"/>
    </row>
    <row r="125" spans="1:1" x14ac:dyDescent="0.25">
      <c r="A125" s="299"/>
    </row>
    <row r="126" spans="1:1" x14ac:dyDescent="0.25">
      <c r="A126" s="299"/>
    </row>
    <row r="127" spans="1:1" x14ac:dyDescent="0.25">
      <c r="A127" s="299"/>
    </row>
    <row r="128" spans="1:1" x14ac:dyDescent="0.25">
      <c r="A128" s="299"/>
    </row>
    <row r="129" spans="1:1" x14ac:dyDescent="0.25">
      <c r="A129" s="299"/>
    </row>
    <row r="130" spans="1:1" x14ac:dyDescent="0.25">
      <c r="A130" s="299"/>
    </row>
    <row r="131" spans="1:1" x14ac:dyDescent="0.25">
      <c r="A131" s="299"/>
    </row>
    <row r="132" spans="1:1" x14ac:dyDescent="0.25">
      <c r="A132" s="299"/>
    </row>
    <row r="133" spans="1:1" x14ac:dyDescent="0.25">
      <c r="A133" s="299"/>
    </row>
    <row r="134" spans="1:1" x14ac:dyDescent="0.25">
      <c r="A134" s="299"/>
    </row>
    <row r="135" spans="1:1" x14ac:dyDescent="0.25">
      <c r="A135" s="299"/>
    </row>
    <row r="136" spans="1:1" x14ac:dyDescent="0.25">
      <c r="A136" s="299"/>
    </row>
    <row r="137" spans="1:1" x14ac:dyDescent="0.25">
      <c r="A137" s="299"/>
    </row>
    <row r="138" spans="1:1" x14ac:dyDescent="0.25">
      <c r="A138" s="299"/>
    </row>
    <row r="139" spans="1:1" x14ac:dyDescent="0.25">
      <c r="A139" s="299"/>
    </row>
    <row r="140" spans="1:1" x14ac:dyDescent="0.25">
      <c r="A140" s="299"/>
    </row>
    <row r="141" spans="1:1" x14ac:dyDescent="0.25">
      <c r="A141" s="299"/>
    </row>
    <row r="142" spans="1:1" x14ac:dyDescent="0.25">
      <c r="A142" s="299"/>
    </row>
    <row r="143" spans="1:1" x14ac:dyDescent="0.25">
      <c r="A143" s="299"/>
    </row>
    <row r="144" spans="1:1" x14ac:dyDescent="0.25">
      <c r="A144" s="299"/>
    </row>
    <row r="145" spans="1:1" x14ac:dyDescent="0.25">
      <c r="A145" s="299"/>
    </row>
    <row r="146" spans="1:1" x14ac:dyDescent="0.25">
      <c r="A146" s="299"/>
    </row>
    <row r="147" spans="1:1" x14ac:dyDescent="0.25">
      <c r="A147" s="299"/>
    </row>
    <row r="148" spans="1:1" x14ac:dyDescent="0.25">
      <c r="A148" s="299"/>
    </row>
    <row r="149" spans="1:1" x14ac:dyDescent="0.25">
      <c r="A149" s="299"/>
    </row>
    <row r="150" spans="1:1" x14ac:dyDescent="0.25">
      <c r="A150" s="299"/>
    </row>
    <row r="151" spans="1:1" x14ac:dyDescent="0.25">
      <c r="A151" s="299"/>
    </row>
    <row r="152" spans="1:1" x14ac:dyDescent="0.25">
      <c r="A152" s="299"/>
    </row>
    <row r="153" spans="1:1" x14ac:dyDescent="0.25">
      <c r="A153" s="299"/>
    </row>
    <row r="154" spans="1:1" x14ac:dyDescent="0.25">
      <c r="A154" s="299"/>
    </row>
    <row r="155" spans="1:1" x14ac:dyDescent="0.25">
      <c r="A155" s="299"/>
    </row>
    <row r="156" spans="1:1" x14ac:dyDescent="0.25">
      <c r="A156" s="299"/>
    </row>
    <row r="157" spans="1:1" x14ac:dyDescent="0.25">
      <c r="A157" s="299"/>
    </row>
    <row r="158" spans="1:1" x14ac:dyDescent="0.25">
      <c r="A158" s="299"/>
    </row>
    <row r="159" spans="1:1" x14ac:dyDescent="0.25">
      <c r="A159" s="299"/>
    </row>
    <row r="160" spans="1:1" x14ac:dyDescent="0.25">
      <c r="A160" s="299"/>
    </row>
    <row r="161" spans="1:1" x14ac:dyDescent="0.25">
      <c r="A161" s="299"/>
    </row>
    <row r="162" spans="1:1" x14ac:dyDescent="0.25">
      <c r="A162" s="299"/>
    </row>
    <row r="163" spans="1:1" x14ac:dyDescent="0.25">
      <c r="A163" s="299"/>
    </row>
    <row r="164" spans="1:1" x14ac:dyDescent="0.25">
      <c r="A164" s="299"/>
    </row>
    <row r="165" spans="1:1" x14ac:dyDescent="0.25">
      <c r="A165" s="299"/>
    </row>
    <row r="166" spans="1:1" x14ac:dyDescent="0.25">
      <c r="A166" s="299"/>
    </row>
    <row r="167" spans="1:1" x14ac:dyDescent="0.25">
      <c r="A167" s="299"/>
    </row>
    <row r="168" spans="1:1" x14ac:dyDescent="0.25">
      <c r="A168" s="299"/>
    </row>
    <row r="169" spans="1:1" x14ac:dyDescent="0.25">
      <c r="A169" s="299"/>
    </row>
    <row r="170" spans="1:1" x14ac:dyDescent="0.25">
      <c r="A170" s="299"/>
    </row>
    <row r="171" spans="1:1" x14ac:dyDescent="0.25">
      <c r="A171" s="299"/>
    </row>
    <row r="172" spans="1:1" x14ac:dyDescent="0.25">
      <c r="A172" s="299"/>
    </row>
    <row r="173" spans="1:1" x14ac:dyDescent="0.25">
      <c r="A173" s="299"/>
    </row>
    <row r="174" spans="1:1" x14ac:dyDescent="0.25">
      <c r="A174" s="299"/>
    </row>
    <row r="175" spans="1:1" x14ac:dyDescent="0.25">
      <c r="A175" s="299"/>
    </row>
    <row r="176" spans="1:1" x14ac:dyDescent="0.25">
      <c r="A176" s="299"/>
    </row>
    <row r="177" spans="1:1" x14ac:dyDescent="0.25">
      <c r="A177" s="299"/>
    </row>
    <row r="178" spans="1:1" x14ac:dyDescent="0.25">
      <c r="A178" s="299"/>
    </row>
    <row r="179" spans="1:1" x14ac:dyDescent="0.25">
      <c r="A179" s="299"/>
    </row>
    <row r="180" spans="1:1" x14ac:dyDescent="0.25">
      <c r="A180" s="299"/>
    </row>
    <row r="181" spans="1:1" x14ac:dyDescent="0.25">
      <c r="A181" s="299"/>
    </row>
    <row r="182" spans="1:1" x14ac:dyDescent="0.25">
      <c r="A182" s="299"/>
    </row>
    <row r="183" spans="1:1" x14ac:dyDescent="0.25">
      <c r="A183" s="299"/>
    </row>
    <row r="184" spans="1:1" x14ac:dyDescent="0.25">
      <c r="A184" s="299"/>
    </row>
    <row r="185" spans="1:1" x14ac:dyDescent="0.25">
      <c r="A185" s="299"/>
    </row>
    <row r="186" spans="1:1" x14ac:dyDescent="0.25">
      <c r="A186" s="299"/>
    </row>
    <row r="187" spans="1:1" x14ac:dyDescent="0.25">
      <c r="A187" s="299"/>
    </row>
    <row r="188" spans="1:1" x14ac:dyDescent="0.25">
      <c r="A188" s="299"/>
    </row>
    <row r="189" spans="1:1" x14ac:dyDescent="0.25">
      <c r="A189" s="299"/>
    </row>
    <row r="190" spans="1:1" x14ac:dyDescent="0.25">
      <c r="A190" s="299"/>
    </row>
    <row r="191" spans="1:1" x14ac:dyDescent="0.25">
      <c r="A191" s="299"/>
    </row>
    <row r="192" spans="1:1" x14ac:dyDescent="0.25">
      <c r="A192" s="299"/>
    </row>
    <row r="193" spans="1:1" x14ac:dyDescent="0.25">
      <c r="A193" s="299"/>
    </row>
    <row r="194" spans="1:1" x14ac:dyDescent="0.25">
      <c r="A194" s="299"/>
    </row>
    <row r="195" spans="1:1" x14ac:dyDescent="0.25">
      <c r="A195" s="299"/>
    </row>
    <row r="196" spans="1:1" x14ac:dyDescent="0.25">
      <c r="A196" s="299"/>
    </row>
    <row r="197" spans="1:1" x14ac:dyDescent="0.25">
      <c r="A197" s="299"/>
    </row>
    <row r="198" spans="1:1" x14ac:dyDescent="0.25">
      <c r="A198" s="299"/>
    </row>
    <row r="199" spans="1:1" x14ac:dyDescent="0.25">
      <c r="A199" s="299"/>
    </row>
    <row r="200" spans="1:1" x14ac:dyDescent="0.25">
      <c r="A200" s="299"/>
    </row>
    <row r="201" spans="1:1" x14ac:dyDescent="0.25">
      <c r="A201" s="299"/>
    </row>
    <row r="202" spans="1:1" x14ac:dyDescent="0.25">
      <c r="A202" s="299"/>
    </row>
    <row r="203" spans="1:1" x14ac:dyDescent="0.25">
      <c r="A203" s="299"/>
    </row>
    <row r="204" spans="1:1" x14ac:dyDescent="0.25">
      <c r="A204" s="299"/>
    </row>
    <row r="205" spans="1:1" x14ac:dyDescent="0.25">
      <c r="A205" s="299"/>
    </row>
    <row r="206" spans="1:1" x14ac:dyDescent="0.25">
      <c r="A206" s="299"/>
    </row>
    <row r="207" spans="1:1" x14ac:dyDescent="0.25">
      <c r="A207" s="299"/>
    </row>
    <row r="208" spans="1:1" x14ac:dyDescent="0.25">
      <c r="A208" s="299"/>
    </row>
    <row r="209" spans="1:1" x14ac:dyDescent="0.25">
      <c r="A209" s="299"/>
    </row>
    <row r="210" spans="1:1" x14ac:dyDescent="0.25">
      <c r="A210" s="299"/>
    </row>
    <row r="211" spans="1:1" x14ac:dyDescent="0.25">
      <c r="A211" s="299"/>
    </row>
    <row r="212" spans="1:1" x14ac:dyDescent="0.25">
      <c r="A212" s="299"/>
    </row>
    <row r="213" spans="1:1" x14ac:dyDescent="0.25">
      <c r="A213" s="299"/>
    </row>
    <row r="214" spans="1:1" x14ac:dyDescent="0.25">
      <c r="A214" s="299"/>
    </row>
    <row r="215" spans="1:1" x14ac:dyDescent="0.25">
      <c r="A215" s="299"/>
    </row>
    <row r="216" spans="1:1" x14ac:dyDescent="0.25">
      <c r="A216" s="299"/>
    </row>
    <row r="217" spans="1:1" x14ac:dyDescent="0.25">
      <c r="A217" s="299"/>
    </row>
    <row r="218" spans="1:1" x14ac:dyDescent="0.25">
      <c r="A218" s="299"/>
    </row>
    <row r="219" spans="1:1" x14ac:dyDescent="0.25">
      <c r="A219" s="299"/>
    </row>
    <row r="220" spans="1:1" x14ac:dyDescent="0.25">
      <c r="A220" s="299"/>
    </row>
    <row r="221" spans="1:1" x14ac:dyDescent="0.25">
      <c r="A221" s="299"/>
    </row>
    <row r="222" spans="1:1" x14ac:dyDescent="0.25">
      <c r="A222" s="299"/>
    </row>
    <row r="223" spans="1:1" x14ac:dyDescent="0.25">
      <c r="A223" s="299"/>
    </row>
    <row r="224" spans="1:1" x14ac:dyDescent="0.25">
      <c r="A224" s="299"/>
    </row>
    <row r="225" spans="1:1" x14ac:dyDescent="0.25">
      <c r="A225" s="299"/>
    </row>
    <row r="226" spans="1:1" x14ac:dyDescent="0.25">
      <c r="A226" s="299"/>
    </row>
    <row r="227" spans="1:1" x14ac:dyDescent="0.25">
      <c r="A227" s="299"/>
    </row>
    <row r="228" spans="1:1" x14ac:dyDescent="0.25">
      <c r="A228" s="299"/>
    </row>
    <row r="229" spans="1:1" x14ac:dyDescent="0.25">
      <c r="A229" s="299"/>
    </row>
    <row r="230" spans="1:1" x14ac:dyDescent="0.25">
      <c r="A230" s="299"/>
    </row>
    <row r="231" spans="1:1" x14ac:dyDescent="0.25">
      <c r="A231" s="299"/>
    </row>
    <row r="232" spans="1:1" x14ac:dyDescent="0.25">
      <c r="A232" s="299"/>
    </row>
    <row r="233" spans="1:1" x14ac:dyDescent="0.25">
      <c r="A233" s="299"/>
    </row>
    <row r="234" spans="1:1" x14ac:dyDescent="0.25">
      <c r="A234" s="299"/>
    </row>
    <row r="235" spans="1:1" x14ac:dyDescent="0.25">
      <c r="A235" s="299"/>
    </row>
    <row r="236" spans="1:1" x14ac:dyDescent="0.25">
      <c r="A236" s="299"/>
    </row>
    <row r="237" spans="1:1" x14ac:dyDescent="0.25">
      <c r="A237" s="299"/>
    </row>
    <row r="238" spans="1:1" x14ac:dyDescent="0.25">
      <c r="A238" s="299"/>
    </row>
    <row r="239" spans="1:1" x14ac:dyDescent="0.25">
      <c r="A239" s="299"/>
    </row>
    <row r="240" spans="1:1" x14ac:dyDescent="0.25">
      <c r="A240" s="299"/>
    </row>
    <row r="241" spans="1:1" x14ac:dyDescent="0.25">
      <c r="A241" s="299"/>
    </row>
    <row r="242" spans="1:1" x14ac:dyDescent="0.25">
      <c r="A242" s="299"/>
    </row>
    <row r="243" spans="1:1" x14ac:dyDescent="0.25">
      <c r="A243" s="299"/>
    </row>
    <row r="244" spans="1:1" x14ac:dyDescent="0.25">
      <c r="A244" s="299"/>
    </row>
    <row r="245" spans="1:1" x14ac:dyDescent="0.25">
      <c r="A245" s="299"/>
    </row>
    <row r="246" spans="1:1" x14ac:dyDescent="0.25">
      <c r="A246" s="299"/>
    </row>
    <row r="247" spans="1:1" x14ac:dyDescent="0.25">
      <c r="A247" s="299"/>
    </row>
    <row r="248" spans="1:1" x14ac:dyDescent="0.25">
      <c r="A248" s="299"/>
    </row>
    <row r="249" spans="1:1" x14ac:dyDescent="0.25">
      <c r="A249" s="299"/>
    </row>
    <row r="250" spans="1:1" x14ac:dyDescent="0.25">
      <c r="A250" s="299"/>
    </row>
    <row r="251" spans="1:1" x14ac:dyDescent="0.25">
      <c r="A251" s="299"/>
    </row>
    <row r="252" spans="1:1" x14ac:dyDescent="0.25">
      <c r="A252" s="299"/>
    </row>
    <row r="253" spans="1:1" x14ac:dyDescent="0.25">
      <c r="A253" s="299"/>
    </row>
    <row r="254" spans="1:1" x14ac:dyDescent="0.25">
      <c r="A254" s="299"/>
    </row>
    <row r="255" spans="1:1" x14ac:dyDescent="0.25">
      <c r="A255" s="299"/>
    </row>
    <row r="256" spans="1:1" x14ac:dyDescent="0.25">
      <c r="A256" s="299"/>
    </row>
    <row r="257" spans="1:1" x14ac:dyDescent="0.25">
      <c r="A257" s="299"/>
    </row>
    <row r="258" spans="1:1" x14ac:dyDescent="0.25">
      <c r="A258" s="299"/>
    </row>
    <row r="259" spans="1:1" x14ac:dyDescent="0.25">
      <c r="A259" s="299"/>
    </row>
    <row r="260" spans="1:1" x14ac:dyDescent="0.25">
      <c r="A260" s="299"/>
    </row>
    <row r="261" spans="1:1" x14ac:dyDescent="0.25">
      <c r="A261" s="299"/>
    </row>
    <row r="262" spans="1:1" x14ac:dyDescent="0.25">
      <c r="A262" s="299"/>
    </row>
    <row r="263" spans="1:1" x14ac:dyDescent="0.25">
      <c r="A263" s="299"/>
    </row>
    <row r="264" spans="1:1" x14ac:dyDescent="0.25">
      <c r="A264" s="299"/>
    </row>
    <row r="265" spans="1:1" x14ac:dyDescent="0.25">
      <c r="A265" s="299"/>
    </row>
    <row r="266" spans="1:1" x14ac:dyDescent="0.25">
      <c r="A266" s="299"/>
    </row>
    <row r="267" spans="1:1" x14ac:dyDescent="0.25">
      <c r="A267" s="299"/>
    </row>
    <row r="268" spans="1:1" x14ac:dyDescent="0.25">
      <c r="A268" s="299"/>
    </row>
    <row r="269" spans="1:1" x14ac:dyDescent="0.25">
      <c r="A269" s="299"/>
    </row>
    <row r="270" spans="1:1" x14ac:dyDescent="0.25">
      <c r="A270" s="299"/>
    </row>
    <row r="271" spans="1:1" x14ac:dyDescent="0.25">
      <c r="A271" s="299"/>
    </row>
    <row r="272" spans="1:1" x14ac:dyDescent="0.25">
      <c r="A272" s="299"/>
    </row>
    <row r="273" spans="1:1" x14ac:dyDescent="0.25">
      <c r="A273" s="299"/>
    </row>
    <row r="274" spans="1:1" x14ac:dyDescent="0.25">
      <c r="A274" s="299"/>
    </row>
    <row r="275" spans="1:1" x14ac:dyDescent="0.25">
      <c r="A275" s="299"/>
    </row>
    <row r="276" spans="1:1" x14ac:dyDescent="0.25">
      <c r="A276" s="299"/>
    </row>
    <row r="277" spans="1:1" x14ac:dyDescent="0.25">
      <c r="A277" s="299"/>
    </row>
    <row r="278" spans="1:1" x14ac:dyDescent="0.25">
      <c r="A278" s="299"/>
    </row>
    <row r="279" spans="1:1" x14ac:dyDescent="0.25">
      <c r="A279" s="299"/>
    </row>
    <row r="280" spans="1:1" x14ac:dyDescent="0.25">
      <c r="A280" s="299"/>
    </row>
    <row r="281" spans="1:1" x14ac:dyDescent="0.25">
      <c r="A281" s="299"/>
    </row>
    <row r="282" spans="1:1" x14ac:dyDescent="0.25">
      <c r="A282" s="299"/>
    </row>
    <row r="283" spans="1:1" x14ac:dyDescent="0.25">
      <c r="A283" s="299"/>
    </row>
    <row r="284" spans="1:1" x14ac:dyDescent="0.25">
      <c r="A284" s="299"/>
    </row>
    <row r="285" spans="1:1" x14ac:dyDescent="0.25">
      <c r="A285" s="299"/>
    </row>
    <row r="286" spans="1:1" x14ac:dyDescent="0.25">
      <c r="A286" s="299"/>
    </row>
    <row r="287" spans="1:1" x14ac:dyDescent="0.25">
      <c r="A287" s="299"/>
    </row>
    <row r="288" spans="1:1" x14ac:dyDescent="0.25">
      <c r="A288" s="299"/>
    </row>
    <row r="289" spans="1:1" x14ac:dyDescent="0.25">
      <c r="A289" s="299"/>
    </row>
    <row r="290" spans="1:1" x14ac:dyDescent="0.25">
      <c r="A290" s="299"/>
    </row>
    <row r="291" spans="1:1" x14ac:dyDescent="0.25">
      <c r="A291" s="299"/>
    </row>
    <row r="292" spans="1:1" x14ac:dyDescent="0.25">
      <c r="A292" s="299"/>
    </row>
    <row r="293" spans="1:1" x14ac:dyDescent="0.25">
      <c r="A293" s="299"/>
    </row>
    <row r="294" spans="1:1" x14ac:dyDescent="0.25">
      <c r="A294" s="299"/>
    </row>
    <row r="295" spans="1:1" x14ac:dyDescent="0.25">
      <c r="A295" s="299"/>
    </row>
    <row r="296" spans="1:1" x14ac:dyDescent="0.25">
      <c r="A296" s="299"/>
    </row>
    <row r="297" spans="1:1" x14ac:dyDescent="0.25">
      <c r="A297" s="299"/>
    </row>
    <row r="298" spans="1:1" x14ac:dyDescent="0.25">
      <c r="A298" s="299"/>
    </row>
    <row r="299" spans="1:1" x14ac:dyDescent="0.25">
      <c r="A299" s="299"/>
    </row>
    <row r="300" spans="1:1" x14ac:dyDescent="0.25">
      <c r="A300" s="299"/>
    </row>
    <row r="301" spans="1:1" x14ac:dyDescent="0.25">
      <c r="A301" s="299"/>
    </row>
    <row r="302" spans="1:1" x14ac:dyDescent="0.25">
      <c r="A302" s="299"/>
    </row>
    <row r="303" spans="1:1" x14ac:dyDescent="0.25">
      <c r="A303" s="299"/>
    </row>
    <row r="304" spans="1:1" x14ac:dyDescent="0.25">
      <c r="A304" s="299"/>
    </row>
    <row r="305" spans="1:1" x14ac:dyDescent="0.25">
      <c r="A305" s="299"/>
    </row>
    <row r="306" spans="1:1" x14ac:dyDescent="0.25">
      <c r="A306" s="299"/>
    </row>
    <row r="307" spans="1:1" x14ac:dyDescent="0.25">
      <c r="A307" s="299"/>
    </row>
    <row r="308" spans="1:1" x14ac:dyDescent="0.25">
      <c r="A308" s="299"/>
    </row>
    <row r="309" spans="1:1" x14ac:dyDescent="0.25">
      <c r="A309" s="299"/>
    </row>
    <row r="310" spans="1:1" x14ac:dyDescent="0.25">
      <c r="A310" s="299"/>
    </row>
    <row r="311" spans="1:1" x14ac:dyDescent="0.25">
      <c r="A311" s="299"/>
    </row>
    <row r="312" spans="1:1" x14ac:dyDescent="0.25">
      <c r="A312" s="299"/>
    </row>
    <row r="313" spans="1:1" x14ac:dyDescent="0.25">
      <c r="A313" s="299"/>
    </row>
    <row r="314" spans="1:1" x14ac:dyDescent="0.25">
      <c r="A314" s="299"/>
    </row>
    <row r="315" spans="1:1" x14ac:dyDescent="0.25">
      <c r="A315" s="299"/>
    </row>
    <row r="316" spans="1:1" x14ac:dyDescent="0.25">
      <c r="A316" s="299"/>
    </row>
    <row r="317" spans="1:1" x14ac:dyDescent="0.25">
      <c r="A317" s="299"/>
    </row>
    <row r="318" spans="1:1" x14ac:dyDescent="0.25">
      <c r="A318" s="299"/>
    </row>
    <row r="319" spans="1:1" x14ac:dyDescent="0.25">
      <c r="A319" s="299"/>
    </row>
    <row r="320" spans="1:1" x14ac:dyDescent="0.25">
      <c r="A320" s="299"/>
    </row>
    <row r="321" spans="1:1" x14ac:dyDescent="0.25">
      <c r="A321" s="299"/>
    </row>
    <row r="322" spans="1:1" x14ac:dyDescent="0.25">
      <c r="A322" s="299"/>
    </row>
    <row r="323" spans="1:1" x14ac:dyDescent="0.25">
      <c r="A323" s="299"/>
    </row>
    <row r="324" spans="1:1" x14ac:dyDescent="0.25">
      <c r="A324" s="299"/>
    </row>
    <row r="325" spans="1:1" x14ac:dyDescent="0.25">
      <c r="A325" s="299"/>
    </row>
    <row r="326" spans="1:1" x14ac:dyDescent="0.25">
      <c r="A326" s="299"/>
    </row>
    <row r="327" spans="1:1" x14ac:dyDescent="0.25">
      <c r="A327" s="299"/>
    </row>
    <row r="328" spans="1:1" x14ac:dyDescent="0.25">
      <c r="A328" s="299"/>
    </row>
    <row r="329" spans="1:1" x14ac:dyDescent="0.25">
      <c r="A329" s="299"/>
    </row>
    <row r="330" spans="1:1" x14ac:dyDescent="0.25">
      <c r="A330" s="299"/>
    </row>
    <row r="331" spans="1:1" x14ac:dyDescent="0.25">
      <c r="A331" s="299"/>
    </row>
    <row r="332" spans="1:1" x14ac:dyDescent="0.25">
      <c r="A332" s="299"/>
    </row>
    <row r="333" spans="1:1" x14ac:dyDescent="0.25">
      <c r="A333" s="299"/>
    </row>
    <row r="334" spans="1:1" x14ac:dyDescent="0.25">
      <c r="A334" s="299"/>
    </row>
    <row r="335" spans="1:1" x14ac:dyDescent="0.25">
      <c r="A335" s="299"/>
    </row>
    <row r="336" spans="1:1" x14ac:dyDescent="0.25">
      <c r="A336" s="299"/>
    </row>
    <row r="337" spans="1:1" x14ac:dyDescent="0.25">
      <c r="A337" s="299"/>
    </row>
    <row r="338" spans="1:1" x14ac:dyDescent="0.25">
      <c r="A338" s="299"/>
    </row>
    <row r="339" spans="1:1" x14ac:dyDescent="0.25">
      <c r="A339" s="299"/>
    </row>
    <row r="340" spans="1:1" x14ac:dyDescent="0.25">
      <c r="A340" s="299"/>
    </row>
    <row r="341" spans="1:1" x14ac:dyDescent="0.25">
      <c r="A341" s="299"/>
    </row>
    <row r="342" spans="1:1" x14ac:dyDescent="0.25">
      <c r="A342" s="299"/>
    </row>
    <row r="343" spans="1:1" x14ac:dyDescent="0.25">
      <c r="A343" s="299"/>
    </row>
    <row r="344" spans="1:1" x14ac:dyDescent="0.25">
      <c r="A344" s="299"/>
    </row>
    <row r="345" spans="1:1" x14ac:dyDescent="0.25">
      <c r="A345" s="299"/>
    </row>
    <row r="346" spans="1:1" x14ac:dyDescent="0.25">
      <c r="A346" s="299"/>
    </row>
    <row r="347" spans="1:1" x14ac:dyDescent="0.25">
      <c r="A347" s="299"/>
    </row>
    <row r="348" spans="1:1" x14ac:dyDescent="0.25">
      <c r="A348" s="299"/>
    </row>
    <row r="349" spans="1:1" x14ac:dyDescent="0.25">
      <c r="A349" s="299"/>
    </row>
    <row r="350" spans="1:1" x14ac:dyDescent="0.25">
      <c r="A350" s="299"/>
    </row>
    <row r="351" spans="1:1" x14ac:dyDescent="0.25">
      <c r="A351" s="299"/>
    </row>
    <row r="352" spans="1:1" x14ac:dyDescent="0.25">
      <c r="A352" s="299"/>
    </row>
    <row r="353" spans="1:1" x14ac:dyDescent="0.25">
      <c r="A353" s="299"/>
    </row>
    <row r="354" spans="1:1" x14ac:dyDescent="0.25">
      <c r="A354" s="299"/>
    </row>
    <row r="355" spans="1:1" x14ac:dyDescent="0.25">
      <c r="A355" s="299"/>
    </row>
    <row r="356" spans="1:1" x14ac:dyDescent="0.25">
      <c r="A356" s="299"/>
    </row>
    <row r="357" spans="1:1" x14ac:dyDescent="0.25">
      <c r="A357" s="299"/>
    </row>
    <row r="358" spans="1:1" x14ac:dyDescent="0.25">
      <c r="A358" s="299"/>
    </row>
    <row r="359" spans="1:1" x14ac:dyDescent="0.25">
      <c r="A359" s="299"/>
    </row>
    <row r="360" spans="1:1" x14ac:dyDescent="0.25">
      <c r="A360" s="299"/>
    </row>
    <row r="361" spans="1:1" x14ac:dyDescent="0.25">
      <c r="A361" s="299"/>
    </row>
    <row r="362" spans="1:1" x14ac:dyDescent="0.25">
      <c r="A362" s="299"/>
    </row>
    <row r="363" spans="1:1" x14ac:dyDescent="0.25">
      <c r="A363" s="299"/>
    </row>
    <row r="364" spans="1:1" x14ac:dyDescent="0.25">
      <c r="A364" s="299"/>
    </row>
    <row r="365" spans="1:1" x14ac:dyDescent="0.25">
      <c r="A365" s="299"/>
    </row>
    <row r="366" spans="1:1" x14ac:dyDescent="0.25">
      <c r="A366" s="299"/>
    </row>
    <row r="367" spans="1:1" x14ac:dyDescent="0.25">
      <c r="A367" s="299"/>
    </row>
    <row r="368" spans="1:1" x14ac:dyDescent="0.25">
      <c r="A368" s="299"/>
    </row>
    <row r="369" spans="1:1" x14ac:dyDescent="0.25">
      <c r="A369" s="299"/>
    </row>
    <row r="370" spans="1:1" x14ac:dyDescent="0.25">
      <c r="A370" s="299"/>
    </row>
    <row r="371" spans="1:1" x14ac:dyDescent="0.25">
      <c r="A371" s="299"/>
    </row>
    <row r="372" spans="1:1" x14ac:dyDescent="0.25">
      <c r="A372" s="299"/>
    </row>
    <row r="373" spans="1:1" x14ac:dyDescent="0.25">
      <c r="A373" s="299"/>
    </row>
    <row r="374" spans="1:1" x14ac:dyDescent="0.25">
      <c r="A374" s="299"/>
    </row>
    <row r="375" spans="1:1" x14ac:dyDescent="0.25">
      <c r="A375" s="299"/>
    </row>
    <row r="376" spans="1:1" x14ac:dyDescent="0.25">
      <c r="A376" s="299"/>
    </row>
    <row r="377" spans="1:1" x14ac:dyDescent="0.25">
      <c r="A377" s="299"/>
    </row>
    <row r="378" spans="1:1" x14ac:dyDescent="0.25">
      <c r="A378" s="299"/>
    </row>
    <row r="379" spans="1:1" x14ac:dyDescent="0.25">
      <c r="A379" s="299"/>
    </row>
    <row r="380" spans="1:1" x14ac:dyDescent="0.25">
      <c r="A380" s="299"/>
    </row>
    <row r="381" spans="1:1" x14ac:dyDescent="0.25">
      <c r="A381" s="299"/>
    </row>
    <row r="382" spans="1:1" x14ac:dyDescent="0.25">
      <c r="A382" s="299"/>
    </row>
    <row r="383" spans="1:1" x14ac:dyDescent="0.25">
      <c r="A383" s="299"/>
    </row>
    <row r="384" spans="1:1" x14ac:dyDescent="0.25">
      <c r="A384" s="299"/>
    </row>
    <row r="385" spans="1:1" x14ac:dyDescent="0.25">
      <c r="A385" s="299"/>
    </row>
    <row r="386" spans="1:1" x14ac:dyDescent="0.25">
      <c r="A386" s="299"/>
    </row>
    <row r="387" spans="1:1" x14ac:dyDescent="0.25">
      <c r="A387" s="299"/>
    </row>
    <row r="388" spans="1:1" x14ac:dyDescent="0.25">
      <c r="A388" s="299"/>
    </row>
    <row r="389" spans="1:1" x14ac:dyDescent="0.25">
      <c r="A389" s="299"/>
    </row>
    <row r="390" spans="1:1" x14ac:dyDescent="0.25">
      <c r="A390" s="299"/>
    </row>
    <row r="391" spans="1:1" x14ac:dyDescent="0.25">
      <c r="A391" s="299"/>
    </row>
    <row r="392" spans="1:1" x14ac:dyDescent="0.25">
      <c r="A392" s="299"/>
    </row>
    <row r="393" spans="1:1" x14ac:dyDescent="0.25">
      <c r="A393" s="299"/>
    </row>
    <row r="394" spans="1:1" x14ac:dyDescent="0.25">
      <c r="A394" s="299"/>
    </row>
    <row r="395" spans="1:1" x14ac:dyDescent="0.25">
      <c r="A395" s="299"/>
    </row>
    <row r="396" spans="1:1" x14ac:dyDescent="0.25">
      <c r="A396" s="299"/>
    </row>
    <row r="397" spans="1:1" x14ac:dyDescent="0.25">
      <c r="A397" s="299"/>
    </row>
    <row r="398" spans="1:1" x14ac:dyDescent="0.25">
      <c r="A398" s="299"/>
    </row>
    <row r="399" spans="1:1" x14ac:dyDescent="0.25">
      <c r="A399" s="299"/>
    </row>
    <row r="400" spans="1:1" x14ac:dyDescent="0.25">
      <c r="A400" s="299"/>
    </row>
    <row r="401" spans="1:1" x14ac:dyDescent="0.25">
      <c r="A401" s="299"/>
    </row>
    <row r="402" spans="1:1" x14ac:dyDescent="0.25">
      <c r="A402" s="299"/>
    </row>
    <row r="403" spans="1:1" x14ac:dyDescent="0.25">
      <c r="A403" s="299"/>
    </row>
    <row r="404" spans="1:1" x14ac:dyDescent="0.25">
      <c r="A404" s="299"/>
    </row>
    <row r="405" spans="1:1" x14ac:dyDescent="0.25">
      <c r="A405" s="299"/>
    </row>
    <row r="406" spans="1:1" x14ac:dyDescent="0.25">
      <c r="A406" s="299"/>
    </row>
    <row r="407" spans="1:1" x14ac:dyDescent="0.25">
      <c r="A407" s="299"/>
    </row>
    <row r="408" spans="1:1" x14ac:dyDescent="0.25">
      <c r="A408" s="299"/>
    </row>
    <row r="409" spans="1:1" x14ac:dyDescent="0.25">
      <c r="A409" s="299"/>
    </row>
    <row r="410" spans="1:1" x14ac:dyDescent="0.25">
      <c r="A410" s="299"/>
    </row>
    <row r="411" spans="1:1" x14ac:dyDescent="0.25">
      <c r="A411" s="299"/>
    </row>
    <row r="412" spans="1:1" x14ac:dyDescent="0.25">
      <c r="A412" s="299"/>
    </row>
    <row r="413" spans="1:1" x14ac:dyDescent="0.25">
      <c r="A413" s="299"/>
    </row>
    <row r="414" spans="1:1" x14ac:dyDescent="0.25">
      <c r="A414" s="299"/>
    </row>
    <row r="415" spans="1:1" x14ac:dyDescent="0.25">
      <c r="A415" s="299"/>
    </row>
    <row r="416" spans="1:1" x14ac:dyDescent="0.25">
      <c r="A416" s="299"/>
    </row>
    <row r="417" spans="1:1" x14ac:dyDescent="0.25">
      <c r="A417" s="299"/>
    </row>
    <row r="418" spans="1:1" x14ac:dyDescent="0.25">
      <c r="A418" s="299"/>
    </row>
    <row r="419" spans="1:1" x14ac:dyDescent="0.25">
      <c r="A419" s="299"/>
    </row>
    <row r="420" spans="1:1" x14ac:dyDescent="0.25">
      <c r="A420" s="299"/>
    </row>
    <row r="421" spans="1:1" x14ac:dyDescent="0.25">
      <c r="A421" s="299"/>
    </row>
    <row r="422" spans="1:1" x14ac:dyDescent="0.25">
      <c r="A422" s="299"/>
    </row>
    <row r="423" spans="1:1" x14ac:dyDescent="0.25">
      <c r="A423" s="299"/>
    </row>
    <row r="424" spans="1:1" x14ac:dyDescent="0.25">
      <c r="A424" s="299"/>
    </row>
    <row r="425" spans="1:1" x14ac:dyDescent="0.25">
      <c r="A425" s="299"/>
    </row>
    <row r="426" spans="1:1" x14ac:dyDescent="0.25">
      <c r="A426" s="299"/>
    </row>
    <row r="427" spans="1:1" x14ac:dyDescent="0.25">
      <c r="A427" s="299"/>
    </row>
    <row r="428" spans="1:1" x14ac:dyDescent="0.25">
      <c r="A428" s="299"/>
    </row>
    <row r="429" spans="1:1" x14ac:dyDescent="0.25">
      <c r="A429" s="299"/>
    </row>
    <row r="430" spans="1:1" x14ac:dyDescent="0.25">
      <c r="A430" s="299"/>
    </row>
    <row r="431" spans="1:1" x14ac:dyDescent="0.25">
      <c r="A431" s="299"/>
    </row>
    <row r="432" spans="1:1" x14ac:dyDescent="0.25">
      <c r="A432" s="299"/>
    </row>
    <row r="433" spans="1:1" x14ac:dyDescent="0.25">
      <c r="A433" s="299"/>
    </row>
    <row r="434" spans="1:1" x14ac:dyDescent="0.25">
      <c r="A434" s="299"/>
    </row>
    <row r="435" spans="1:1" x14ac:dyDescent="0.25">
      <c r="A435" s="299"/>
    </row>
    <row r="436" spans="1:1" x14ac:dyDescent="0.25">
      <c r="A436" s="299"/>
    </row>
    <row r="437" spans="1:1" x14ac:dyDescent="0.25">
      <c r="A437" s="299"/>
    </row>
    <row r="438" spans="1:1" x14ac:dyDescent="0.25">
      <c r="A438" s="299"/>
    </row>
    <row r="439" spans="1:1" x14ac:dyDescent="0.25">
      <c r="A439" s="299"/>
    </row>
    <row r="440" spans="1:1" x14ac:dyDescent="0.25">
      <c r="A440" s="299"/>
    </row>
    <row r="441" spans="1:1" x14ac:dyDescent="0.25">
      <c r="A441" s="299"/>
    </row>
    <row r="442" spans="1:1" x14ac:dyDescent="0.25">
      <c r="A442" s="299"/>
    </row>
    <row r="443" spans="1:1" x14ac:dyDescent="0.25">
      <c r="A443" s="299"/>
    </row>
    <row r="444" spans="1:1" x14ac:dyDescent="0.25">
      <c r="A444" s="299"/>
    </row>
    <row r="445" spans="1:1" x14ac:dyDescent="0.25">
      <c r="A445" s="299"/>
    </row>
    <row r="446" spans="1:1" x14ac:dyDescent="0.25">
      <c r="A446" s="299"/>
    </row>
    <row r="447" spans="1:1" x14ac:dyDescent="0.25">
      <c r="A447" s="299"/>
    </row>
    <row r="448" spans="1:1" x14ac:dyDescent="0.25">
      <c r="A448" s="299"/>
    </row>
    <row r="449" spans="1:1" x14ac:dyDescent="0.25">
      <c r="A449" s="299"/>
    </row>
    <row r="450" spans="1:1" x14ac:dyDescent="0.25">
      <c r="A450" s="299"/>
    </row>
    <row r="451" spans="1:1" x14ac:dyDescent="0.25">
      <c r="A451" s="299"/>
    </row>
    <row r="452" spans="1:1" x14ac:dyDescent="0.25">
      <c r="A452" s="299"/>
    </row>
    <row r="453" spans="1:1" x14ac:dyDescent="0.25">
      <c r="A453" s="299"/>
    </row>
    <row r="454" spans="1:1" x14ac:dyDescent="0.25">
      <c r="A454" s="299"/>
    </row>
    <row r="455" spans="1:1" x14ac:dyDescent="0.25">
      <c r="A455" s="299"/>
    </row>
    <row r="456" spans="1:1" x14ac:dyDescent="0.25">
      <c r="A456" s="299"/>
    </row>
    <row r="457" spans="1:1" x14ac:dyDescent="0.25">
      <c r="A457" s="299"/>
    </row>
    <row r="458" spans="1:1" x14ac:dyDescent="0.25">
      <c r="A458" s="299"/>
    </row>
    <row r="459" spans="1:1" x14ac:dyDescent="0.25">
      <c r="A459" s="299"/>
    </row>
    <row r="460" spans="1:1" x14ac:dyDescent="0.25">
      <c r="A460" s="299"/>
    </row>
    <row r="461" spans="1:1" x14ac:dyDescent="0.25">
      <c r="A461" s="299"/>
    </row>
    <row r="462" spans="1:1" x14ac:dyDescent="0.25">
      <c r="A462" s="299"/>
    </row>
    <row r="463" spans="1:1" x14ac:dyDescent="0.25">
      <c r="A463" s="299"/>
    </row>
    <row r="464" spans="1:1" x14ac:dyDescent="0.25">
      <c r="A464" s="299"/>
    </row>
    <row r="465" spans="1:1" x14ac:dyDescent="0.25">
      <c r="A465" s="299"/>
    </row>
    <row r="466" spans="1:1" x14ac:dyDescent="0.25">
      <c r="A466" s="299"/>
    </row>
    <row r="467" spans="1:1" x14ac:dyDescent="0.25">
      <c r="A467" s="299"/>
    </row>
    <row r="468" spans="1:1" x14ac:dyDescent="0.25">
      <c r="A468" s="299"/>
    </row>
    <row r="469" spans="1:1" x14ac:dyDescent="0.25">
      <c r="A469" s="299"/>
    </row>
    <row r="470" spans="1:1" x14ac:dyDescent="0.25">
      <c r="A470" s="299"/>
    </row>
    <row r="471" spans="1:1" x14ac:dyDescent="0.25">
      <c r="A471" s="299"/>
    </row>
    <row r="472" spans="1:1" x14ac:dyDescent="0.25">
      <c r="A472" s="299"/>
    </row>
    <row r="473" spans="1:1" x14ac:dyDescent="0.25">
      <c r="A473" s="299"/>
    </row>
    <row r="474" spans="1:1" x14ac:dyDescent="0.25">
      <c r="A474" s="299"/>
    </row>
    <row r="475" spans="1:1" x14ac:dyDescent="0.25">
      <c r="A475" s="299"/>
    </row>
    <row r="476" spans="1:1" x14ac:dyDescent="0.25">
      <c r="A476" s="299"/>
    </row>
    <row r="477" spans="1:1" x14ac:dyDescent="0.25">
      <c r="A477" s="299"/>
    </row>
    <row r="478" spans="1:1" x14ac:dyDescent="0.25">
      <c r="A478" s="299"/>
    </row>
    <row r="479" spans="1:1" x14ac:dyDescent="0.25">
      <c r="A479" s="299"/>
    </row>
    <row r="480" spans="1:1" x14ac:dyDescent="0.25">
      <c r="A480" s="299"/>
    </row>
    <row r="481" spans="1:1" x14ac:dyDescent="0.25">
      <c r="A481" s="299"/>
    </row>
    <row r="482" spans="1:1" x14ac:dyDescent="0.25">
      <c r="A482" s="299"/>
    </row>
    <row r="483" spans="1:1" x14ac:dyDescent="0.25">
      <c r="A483" s="299"/>
    </row>
    <row r="484" spans="1:1" x14ac:dyDescent="0.25">
      <c r="A484" s="299"/>
    </row>
    <row r="485" spans="1:1" x14ac:dyDescent="0.25">
      <c r="A485" s="299"/>
    </row>
    <row r="486" spans="1:1" x14ac:dyDescent="0.25">
      <c r="A486" s="299"/>
    </row>
    <row r="487" spans="1:1" x14ac:dyDescent="0.25">
      <c r="A487" s="299"/>
    </row>
    <row r="488" spans="1:1" x14ac:dyDescent="0.25">
      <c r="A488" s="299"/>
    </row>
    <row r="489" spans="1:1" x14ac:dyDescent="0.25">
      <c r="A489" s="299"/>
    </row>
    <row r="490" spans="1:1" x14ac:dyDescent="0.25">
      <c r="A490" s="299"/>
    </row>
    <row r="491" spans="1:1" x14ac:dyDescent="0.25">
      <c r="A491" s="299"/>
    </row>
    <row r="492" spans="1:1" x14ac:dyDescent="0.25">
      <c r="A492" s="299"/>
    </row>
    <row r="493" spans="1:1" x14ac:dyDescent="0.25">
      <c r="A493" s="299"/>
    </row>
    <row r="494" spans="1:1" x14ac:dyDescent="0.25">
      <c r="A494" s="299"/>
    </row>
    <row r="495" spans="1:1" x14ac:dyDescent="0.25">
      <c r="A495" s="299"/>
    </row>
    <row r="496" spans="1:1" x14ac:dyDescent="0.25">
      <c r="A496" s="299"/>
    </row>
    <row r="497" spans="1:1" x14ac:dyDescent="0.25">
      <c r="A497" s="299"/>
    </row>
    <row r="498" spans="1:1" x14ac:dyDescent="0.25">
      <c r="A498" s="299"/>
    </row>
    <row r="499" spans="1:1" x14ac:dyDescent="0.25">
      <c r="A499" s="299"/>
    </row>
    <row r="500" spans="1:1" x14ac:dyDescent="0.25">
      <c r="A500" s="299"/>
    </row>
    <row r="501" spans="1:1" x14ac:dyDescent="0.25">
      <c r="A501" s="299"/>
    </row>
    <row r="502" spans="1:1" x14ac:dyDescent="0.25">
      <c r="A502" s="299"/>
    </row>
    <row r="503" spans="1:1" x14ac:dyDescent="0.25">
      <c r="A503" s="299"/>
    </row>
    <row r="504" spans="1:1" x14ac:dyDescent="0.25">
      <c r="A504" s="299"/>
    </row>
    <row r="505" spans="1:1" x14ac:dyDescent="0.25">
      <c r="A505" s="299"/>
    </row>
    <row r="506" spans="1:1" x14ac:dyDescent="0.25">
      <c r="A506" s="299"/>
    </row>
    <row r="507" spans="1:1" x14ac:dyDescent="0.25">
      <c r="A507" s="299"/>
    </row>
    <row r="508" spans="1:1" x14ac:dyDescent="0.25">
      <c r="A508" s="299"/>
    </row>
    <row r="509" spans="1:1" x14ac:dyDescent="0.25">
      <c r="A509" s="299"/>
    </row>
    <row r="510" spans="1:1" x14ac:dyDescent="0.25">
      <c r="A510" s="299"/>
    </row>
    <row r="511" spans="1:1" x14ac:dyDescent="0.25">
      <c r="A511" s="299"/>
    </row>
    <row r="512" spans="1:1" x14ac:dyDescent="0.25">
      <c r="A512" s="299"/>
    </row>
    <row r="513" spans="1:1" x14ac:dyDescent="0.25">
      <c r="A513" s="299"/>
    </row>
    <row r="514" spans="1:1" x14ac:dyDescent="0.25">
      <c r="A514" s="299"/>
    </row>
    <row r="515" spans="1:1" x14ac:dyDescent="0.25">
      <c r="A515" s="299"/>
    </row>
    <row r="516" spans="1:1" x14ac:dyDescent="0.25">
      <c r="A516" s="299"/>
    </row>
    <row r="517" spans="1:1" x14ac:dyDescent="0.25">
      <c r="A517" s="299"/>
    </row>
    <row r="518" spans="1:1" x14ac:dyDescent="0.25">
      <c r="A518" s="299"/>
    </row>
    <row r="519" spans="1:1" x14ac:dyDescent="0.25">
      <c r="A519" s="299"/>
    </row>
    <row r="520" spans="1:1" x14ac:dyDescent="0.25">
      <c r="A520" s="299"/>
    </row>
    <row r="521" spans="1:1" x14ac:dyDescent="0.25">
      <c r="A521" s="299"/>
    </row>
    <row r="522" spans="1:1" x14ac:dyDescent="0.25">
      <c r="A522" s="299"/>
    </row>
    <row r="523" spans="1:1" x14ac:dyDescent="0.25">
      <c r="A523" s="299"/>
    </row>
    <row r="524" spans="1:1" x14ac:dyDescent="0.25">
      <c r="A524" s="299"/>
    </row>
    <row r="525" spans="1:1" x14ac:dyDescent="0.25">
      <c r="A525" s="299"/>
    </row>
    <row r="526" spans="1:1" x14ac:dyDescent="0.25">
      <c r="A526" s="299"/>
    </row>
    <row r="527" spans="1:1" x14ac:dyDescent="0.25">
      <c r="A527" s="299"/>
    </row>
    <row r="528" spans="1:1" x14ac:dyDescent="0.25">
      <c r="A528" s="299"/>
    </row>
    <row r="529" spans="1:1" x14ac:dyDescent="0.25">
      <c r="A529" s="299"/>
    </row>
    <row r="530" spans="1:1" x14ac:dyDescent="0.25">
      <c r="A530" s="299"/>
    </row>
    <row r="531" spans="1:1" x14ac:dyDescent="0.25">
      <c r="A531" s="299"/>
    </row>
    <row r="532" spans="1:1" x14ac:dyDescent="0.25">
      <c r="A532" s="299"/>
    </row>
    <row r="533" spans="1:1" x14ac:dyDescent="0.25">
      <c r="A533" s="299"/>
    </row>
    <row r="534" spans="1:1" x14ac:dyDescent="0.25">
      <c r="A534" s="299"/>
    </row>
    <row r="535" spans="1:1" x14ac:dyDescent="0.25">
      <c r="A535" s="299"/>
    </row>
    <row r="536" spans="1:1" x14ac:dyDescent="0.25">
      <c r="A536" s="299"/>
    </row>
    <row r="537" spans="1:1" x14ac:dyDescent="0.25">
      <c r="A537" s="299"/>
    </row>
    <row r="538" spans="1:1" x14ac:dyDescent="0.25">
      <c r="A538" s="299"/>
    </row>
    <row r="539" spans="1:1" x14ac:dyDescent="0.25">
      <c r="A539" s="299"/>
    </row>
    <row r="540" spans="1:1" x14ac:dyDescent="0.25">
      <c r="A540" s="299"/>
    </row>
    <row r="541" spans="1:1" x14ac:dyDescent="0.25">
      <c r="A541" s="299"/>
    </row>
    <row r="542" spans="1:1" x14ac:dyDescent="0.25">
      <c r="A542" s="299"/>
    </row>
    <row r="543" spans="1:1" x14ac:dyDescent="0.25">
      <c r="A543" s="299"/>
    </row>
    <row r="544" spans="1:1" x14ac:dyDescent="0.25">
      <c r="A544" s="299"/>
    </row>
    <row r="545" spans="1:1" x14ac:dyDescent="0.25">
      <c r="A545" s="299"/>
    </row>
    <row r="546" spans="1:1" x14ac:dyDescent="0.25">
      <c r="A546" s="299"/>
    </row>
    <row r="547" spans="1:1" x14ac:dyDescent="0.25">
      <c r="A547" s="299"/>
    </row>
    <row r="548" spans="1:1" x14ac:dyDescent="0.25">
      <c r="A548" s="299"/>
    </row>
    <row r="549" spans="1:1" x14ac:dyDescent="0.25">
      <c r="A549" s="299"/>
    </row>
    <row r="550" spans="1:1" x14ac:dyDescent="0.25">
      <c r="A550" s="299"/>
    </row>
    <row r="551" spans="1:1" x14ac:dyDescent="0.25">
      <c r="A551" s="299"/>
    </row>
    <row r="552" spans="1:1" x14ac:dyDescent="0.25">
      <c r="A552" s="299"/>
    </row>
    <row r="553" spans="1:1" x14ac:dyDescent="0.25">
      <c r="A553" s="299"/>
    </row>
    <row r="554" spans="1:1" x14ac:dyDescent="0.25">
      <c r="A554" s="299"/>
    </row>
    <row r="555" spans="1:1" x14ac:dyDescent="0.25">
      <c r="A555" s="299"/>
    </row>
    <row r="556" spans="1:1" x14ac:dyDescent="0.25">
      <c r="A556" s="299"/>
    </row>
    <row r="557" spans="1:1" x14ac:dyDescent="0.25">
      <c r="A557" s="299"/>
    </row>
    <row r="558" spans="1:1" x14ac:dyDescent="0.25">
      <c r="A558" s="299"/>
    </row>
    <row r="559" spans="1:1" x14ac:dyDescent="0.25">
      <c r="A559" s="299"/>
    </row>
    <row r="560" spans="1:1" x14ac:dyDescent="0.25">
      <c r="A560" s="299"/>
    </row>
    <row r="561" spans="1:1" x14ac:dyDescent="0.25">
      <c r="A561" s="299"/>
    </row>
    <row r="562" spans="1:1" x14ac:dyDescent="0.25">
      <c r="A562" s="299"/>
    </row>
    <row r="563" spans="1:1" x14ac:dyDescent="0.25">
      <c r="A563" s="299"/>
    </row>
    <row r="564" spans="1:1" x14ac:dyDescent="0.25">
      <c r="A564" s="299"/>
    </row>
    <row r="565" spans="1:1" x14ac:dyDescent="0.25">
      <c r="A565" s="299"/>
    </row>
    <row r="566" spans="1:1" x14ac:dyDescent="0.25">
      <c r="A566" s="299"/>
    </row>
    <row r="567" spans="1:1" x14ac:dyDescent="0.25">
      <c r="A567" s="299"/>
    </row>
    <row r="568" spans="1:1" x14ac:dyDescent="0.25">
      <c r="A568" s="299"/>
    </row>
    <row r="569" spans="1:1" x14ac:dyDescent="0.25">
      <c r="A569" s="299"/>
    </row>
    <row r="570" spans="1:1" x14ac:dyDescent="0.25">
      <c r="A570" s="299"/>
    </row>
    <row r="571" spans="1:1" x14ac:dyDescent="0.25">
      <c r="A571" s="299"/>
    </row>
    <row r="572" spans="1:1" x14ac:dyDescent="0.25">
      <c r="A572" s="299"/>
    </row>
    <row r="573" spans="1:1" x14ac:dyDescent="0.25">
      <c r="A573" s="299"/>
    </row>
    <row r="574" spans="1:1" x14ac:dyDescent="0.25">
      <c r="A574" s="299"/>
    </row>
    <row r="575" spans="1:1" x14ac:dyDescent="0.25">
      <c r="A575" s="299"/>
    </row>
    <row r="576" spans="1:1" x14ac:dyDescent="0.25">
      <c r="A576" s="299"/>
    </row>
    <row r="577" spans="1:1" x14ac:dyDescent="0.25">
      <c r="A577" s="299"/>
    </row>
    <row r="578" spans="1:1" x14ac:dyDescent="0.25">
      <c r="A578" s="299"/>
    </row>
    <row r="579" spans="1:1" x14ac:dyDescent="0.25">
      <c r="A579" s="299"/>
    </row>
    <row r="580" spans="1:1" x14ac:dyDescent="0.25">
      <c r="A580" s="299"/>
    </row>
    <row r="581" spans="1:1" x14ac:dyDescent="0.25">
      <c r="A581" s="299"/>
    </row>
    <row r="582" spans="1:1" x14ac:dyDescent="0.25">
      <c r="A582" s="299"/>
    </row>
    <row r="583" spans="1:1" x14ac:dyDescent="0.25">
      <c r="A583" s="299"/>
    </row>
    <row r="584" spans="1:1" x14ac:dyDescent="0.25">
      <c r="A584" s="299"/>
    </row>
    <row r="585" spans="1:1" x14ac:dyDescent="0.25">
      <c r="A585" s="299"/>
    </row>
    <row r="586" spans="1:1" x14ac:dyDescent="0.25">
      <c r="A586" s="299"/>
    </row>
    <row r="587" spans="1:1" x14ac:dyDescent="0.25">
      <c r="A587" s="299"/>
    </row>
    <row r="588" spans="1:1" x14ac:dyDescent="0.25">
      <c r="A588" s="299"/>
    </row>
    <row r="589" spans="1:1" x14ac:dyDescent="0.25">
      <c r="A589" s="299"/>
    </row>
  </sheetData>
  <sheetProtection algorithmName="SHA-512" hashValue="4tFQF8vquWf8Sm0uq5Kohy/NyIzJOp6tElSv426od9ONbcBcwK5Zty6MOcHVb2obK82Wvn0eD05G87I3GT0cDQ==" saltValue="fs3l9/5o5ueL+keLqnBcTg==" spinCount="100000" sheet="1" formatCells="0" formatColumns="0" formatRows="0" insertRows="0"/>
  <customSheetViews>
    <customSheetView guid="{C3F58662-020B-4E56-B390-38D4A953D070}" scale="80" showGridLines="0" printArea="1" topLeftCell="AB19">
      <selection activeCell="I31" sqref="I31"/>
      <rowBreaks count="1" manualBreakCount="1">
        <brk id="24" max="42" man="1"/>
      </rowBreaks>
      <colBreaks count="1" manualBreakCount="1">
        <brk id="23" min="24" max="403" man="1"/>
      </colBreaks>
      <pageMargins left="0" right="0" top="0" bottom="0" header="0" footer="0"/>
      <pageSetup paperSize="9" scale="37" fitToWidth="2" fitToHeight="10" pageOrder="overThenDown" orientation="landscape" horizontalDpi="0" verticalDpi="0" r:id="rId1"/>
      <headerFooter>
        <oddHeader>&amp;F</oddHeader>
        <oddFooter>&amp;C&amp;A &amp;R&amp;P/&amp;N</oddFooter>
      </headerFooter>
    </customSheetView>
  </customSheetViews>
  <mergeCells count="3">
    <mergeCell ref="M10:U10"/>
    <mergeCell ref="A10:L10"/>
    <mergeCell ref="A9:U9"/>
  </mergeCells>
  <phoneticPr fontId="53" type="noConversion"/>
  <conditionalFormatting sqref="M12:M59">
    <cfRule type="cellIs" dxfId="42" priority="6" operator="notEqual">
      <formula>$E12</formula>
    </cfRule>
  </conditionalFormatting>
  <conditionalFormatting sqref="N12:N59">
    <cfRule type="cellIs" dxfId="41" priority="8" operator="notEqual">
      <formula>$F12</formula>
    </cfRule>
  </conditionalFormatting>
  <conditionalFormatting sqref="O12:O59">
    <cfRule type="cellIs" dxfId="40" priority="9" operator="notEqual">
      <formula>$G12</formula>
    </cfRule>
  </conditionalFormatting>
  <conditionalFormatting sqref="M12:R59 T12:T59 E12:K59">
    <cfRule type="cellIs" dxfId="39" priority="4" operator="equal">
      <formula>0</formula>
    </cfRule>
  </conditionalFormatting>
  <conditionalFormatting sqref="T12:T59">
    <cfRule type="cellIs" dxfId="38" priority="2" operator="notEqual">
      <formula>0</formula>
    </cfRule>
    <cfRule type="cellIs" dxfId="37" priority="10" operator="notEqual">
      <formula>$K12</formula>
    </cfRule>
  </conditionalFormatting>
  <dataValidations xWindow="28" yWindow="758" count="3">
    <dataValidation type="list" allowBlank="1" showInputMessage="1" showErrorMessage="1" sqref="A166:A589" xr:uid="{00000000-0002-0000-0300-000000000000}">
      <formula1>$AB$13:$AB$30</formula1>
    </dataValidation>
    <dataValidation type="decimal" allowBlank="1" showInputMessage="1" showErrorMessage="1" sqref="E2:E6" xr:uid="{AF2C72ED-390E-43C9-B70A-4D0829F65C25}">
      <formula1>0</formula1>
      <formula2>1</formula2>
    </dataValidation>
    <dataValidation type="list" showInputMessage="1" showErrorMessage="1" prompt="Veuillez sélectionner :" sqref="A12:A59" xr:uid="{3B4AB8A6-DE8F-4C05-AFFD-4A6684151E12}">
      <formula1>LISTE_PERSO</formula1>
    </dataValidation>
  </dataValidations>
  <pageMargins left="0" right="0" top="0.39370078740157483" bottom="0.39370078740157483" header="0" footer="0.23622047244094491"/>
  <pageSetup paperSize="9" scale="62" fitToHeight="10" pageOrder="overThenDown" orientation="landscape" r:id="rId2"/>
  <headerFooter>
    <oddHeader>&amp;F</oddHeader>
    <oddFooter>&amp;C&amp;A 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xWindow="28" yWindow="758" count="1">
        <x14:dataValidation type="list" allowBlank="1" showInputMessage="1" showErrorMessage="1" xr:uid="{00000000-0002-0000-0300-000002000000}">
          <x14:formula1>
            <xm:f>LISTE!$R$3:$R$14</xm:f>
          </x14:formula1>
          <xm:sqref>B12:B59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REL_DEP">
    <tabColor rgb="FFFFFF00"/>
    <pageSetUpPr fitToPage="1"/>
  </sheetPr>
  <dimension ref="A1:XEZ69"/>
  <sheetViews>
    <sheetView showGridLines="0" zoomScale="80" zoomScaleNormal="80" zoomScaleSheetLayoutView="70" workbookViewId="0">
      <selection activeCell="L1" sqref="L1:O1048576"/>
    </sheetView>
  </sheetViews>
  <sheetFormatPr baseColWidth="10" defaultColWidth="30.7109375" defaultRowHeight="12.75" x14ac:dyDescent="0.25"/>
  <cols>
    <col min="1" max="1" width="31.140625" style="115" customWidth="1"/>
    <col min="2" max="2" width="47.7109375" style="131" customWidth="1"/>
    <col min="3" max="3" width="11.28515625" style="131" customWidth="1"/>
    <col min="4" max="4" width="19.42578125" style="115" bestFit="1" customWidth="1"/>
    <col min="5" max="5" width="11.7109375" style="120" customWidth="1"/>
    <col min="6" max="6" width="13" style="120" customWidth="1"/>
    <col min="7" max="7" width="51.7109375" style="133" customWidth="1"/>
    <col min="8" max="8" width="12.5703125" style="134" customWidth="1"/>
    <col min="9" max="9" width="9.7109375" style="115" customWidth="1"/>
    <col min="10" max="10" width="6.42578125" style="115" customWidth="1"/>
    <col min="11" max="11" width="12.28515625" style="115" customWidth="1"/>
    <col min="12" max="12" width="10.7109375" style="115" hidden="1" customWidth="1"/>
    <col min="13" max="13" width="13.42578125" style="115" hidden="1" customWidth="1"/>
    <col min="14" max="14" width="20.28515625" style="115" hidden="1" customWidth="1"/>
    <col min="15" max="15" width="57.28515625" style="115" hidden="1" customWidth="1"/>
    <col min="16" max="17" width="9.5703125" style="115" customWidth="1"/>
    <col min="18" max="18" width="12.42578125" style="115" customWidth="1"/>
    <col min="19" max="19" width="14.7109375" style="115" customWidth="1"/>
    <col min="20" max="29" width="30.7109375" style="115" customWidth="1"/>
    <col min="30" max="16384" width="30.7109375" style="115"/>
  </cols>
  <sheetData>
    <row r="1" spans="1:41" ht="38.25" customHeight="1" x14ac:dyDescent="0.25">
      <c r="A1" s="412" t="s">
        <v>786</v>
      </c>
      <c r="B1" s="413"/>
      <c r="C1" s="115"/>
      <c r="E1" s="115"/>
      <c r="F1" s="115"/>
      <c r="G1" s="115"/>
      <c r="H1" s="115"/>
    </row>
    <row r="2" spans="1:41" s="116" customFormat="1" ht="15.4" customHeight="1" thickBot="1" x14ac:dyDescent="0.25"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</row>
    <row r="3" spans="1:41" ht="24" customHeight="1" x14ac:dyDescent="0.2">
      <c r="A3" s="118"/>
      <c r="B3" s="118"/>
      <c r="C3" s="118"/>
      <c r="D3" s="118"/>
      <c r="E3" s="118"/>
      <c r="F3" s="115"/>
      <c r="G3" s="115"/>
      <c r="H3" s="115"/>
      <c r="L3" s="417" t="s">
        <v>60</v>
      </c>
      <c r="M3" s="418"/>
      <c r="N3" s="418"/>
      <c r="O3" s="419"/>
      <c r="P3" s="117"/>
    </row>
    <row r="4" spans="1:41" s="120" customFormat="1" ht="51" x14ac:dyDescent="0.25">
      <c r="A4" s="140" t="s">
        <v>61</v>
      </c>
      <c r="B4" s="141" t="s">
        <v>62</v>
      </c>
      <c r="C4" s="142" t="s">
        <v>63</v>
      </c>
      <c r="D4" s="143" t="s">
        <v>64</v>
      </c>
      <c r="E4" s="119" t="s">
        <v>65</v>
      </c>
      <c r="F4" s="144" t="s">
        <v>66</v>
      </c>
      <c r="G4" s="414" t="s">
        <v>67</v>
      </c>
      <c r="H4" s="415"/>
      <c r="I4" s="416"/>
      <c r="L4" s="121" t="s">
        <v>54</v>
      </c>
      <c r="M4" s="122" t="s">
        <v>68</v>
      </c>
      <c r="N4" s="122" t="s">
        <v>69</v>
      </c>
      <c r="O4" s="123" t="s">
        <v>70</v>
      </c>
      <c r="P4" s="124"/>
      <c r="Q4" s="124"/>
      <c r="W4" s="125" t="s">
        <v>57</v>
      </c>
      <c r="X4" s="125" t="s">
        <v>71</v>
      </c>
    </row>
    <row r="5" spans="1:41" ht="16.5" customHeight="1" x14ac:dyDescent="0.25">
      <c r="A5" s="223" t="s">
        <v>10</v>
      </c>
      <c r="B5" s="224"/>
      <c r="C5" s="224"/>
      <c r="D5" s="213" t="s">
        <v>10</v>
      </c>
      <c r="E5" s="225"/>
      <c r="F5" s="226"/>
      <c r="G5" s="227"/>
      <c r="H5" s="228"/>
      <c r="I5" s="229"/>
      <c r="L5" s="305" t="str">
        <f t="shared" ref="L5:L45" si="0">IF(F5="","",F5)</f>
        <v/>
      </c>
      <c r="M5" s="126" t="str">
        <f t="shared" ref="M5:M45" si="1">IF(F5="","",L5-F5)</f>
        <v/>
      </c>
      <c r="N5" s="306" t="str">
        <f t="shared" ref="N5:N45" si="2">A5</f>
        <v>Veuillez sélectionner</v>
      </c>
      <c r="O5" s="307"/>
      <c r="P5" s="127"/>
      <c r="Q5" s="128"/>
      <c r="R5" s="128"/>
      <c r="S5" s="127"/>
      <c r="T5" s="128"/>
      <c r="W5" s="129">
        <f>IF('Sous-traitance'!$N5&lt;&gt;$A5,1,0)</f>
        <v>0</v>
      </c>
      <c r="X5" s="130">
        <f t="shared" ref="X5:X45" si="3">IF(LEN($O5)&gt;0,1,0)</f>
        <v>0</v>
      </c>
    </row>
    <row r="6" spans="1:41" ht="16.5" customHeight="1" x14ac:dyDescent="0.25">
      <c r="A6" s="223" t="s">
        <v>10</v>
      </c>
      <c r="B6" s="224"/>
      <c r="C6" s="224"/>
      <c r="D6" s="213" t="s">
        <v>10</v>
      </c>
      <c r="E6" s="225"/>
      <c r="F6" s="226"/>
      <c r="G6" s="227"/>
      <c r="H6" s="228"/>
      <c r="I6" s="229"/>
      <c r="L6" s="305" t="str">
        <f t="shared" si="0"/>
        <v/>
      </c>
      <c r="M6" s="126"/>
      <c r="N6" s="306" t="str">
        <f t="shared" si="2"/>
        <v>Veuillez sélectionner</v>
      </c>
      <c r="O6" s="307"/>
      <c r="P6" s="127"/>
      <c r="Q6" s="128"/>
      <c r="R6" s="128"/>
      <c r="S6" s="127"/>
      <c r="T6" s="128"/>
      <c r="W6" s="129"/>
      <c r="X6" s="130"/>
    </row>
    <row r="7" spans="1:41" ht="16.5" customHeight="1" x14ac:dyDescent="0.25">
      <c r="A7" s="223" t="s">
        <v>10</v>
      </c>
      <c r="B7" s="224"/>
      <c r="C7" s="224"/>
      <c r="D7" s="213" t="s">
        <v>10</v>
      </c>
      <c r="E7" s="225"/>
      <c r="F7" s="226"/>
      <c r="G7" s="227"/>
      <c r="H7" s="228"/>
      <c r="I7" s="229"/>
      <c r="L7" s="305" t="str">
        <f t="shared" si="0"/>
        <v/>
      </c>
      <c r="M7" s="126"/>
      <c r="N7" s="306" t="str">
        <f t="shared" si="2"/>
        <v>Veuillez sélectionner</v>
      </c>
      <c r="O7" s="307"/>
      <c r="P7" s="127"/>
      <c r="Q7" s="128"/>
      <c r="R7" s="128"/>
      <c r="S7" s="127"/>
      <c r="T7" s="128"/>
      <c r="W7" s="129"/>
      <c r="X7" s="130"/>
    </row>
    <row r="8" spans="1:41" ht="16.5" customHeight="1" x14ac:dyDescent="0.25">
      <c r="A8" s="223" t="s">
        <v>10</v>
      </c>
      <c r="B8" s="224"/>
      <c r="C8" s="224"/>
      <c r="D8" s="213" t="s">
        <v>10</v>
      </c>
      <c r="E8" s="225"/>
      <c r="F8" s="226"/>
      <c r="G8" s="227"/>
      <c r="H8" s="228"/>
      <c r="I8" s="229"/>
      <c r="L8" s="305" t="str">
        <f t="shared" si="0"/>
        <v/>
      </c>
      <c r="M8" s="126"/>
      <c r="N8" s="306" t="str">
        <f t="shared" si="2"/>
        <v>Veuillez sélectionner</v>
      </c>
      <c r="O8" s="307"/>
      <c r="P8" s="127"/>
      <c r="Q8" s="128"/>
      <c r="R8" s="128"/>
      <c r="S8" s="127"/>
      <c r="T8" s="128"/>
      <c r="W8" s="129"/>
      <c r="X8" s="130"/>
    </row>
    <row r="9" spans="1:41" ht="16.5" customHeight="1" x14ac:dyDescent="0.25">
      <c r="A9" s="223" t="s">
        <v>10</v>
      </c>
      <c r="B9" s="224"/>
      <c r="C9" s="224"/>
      <c r="D9" s="213" t="s">
        <v>10</v>
      </c>
      <c r="E9" s="225"/>
      <c r="F9" s="226"/>
      <c r="G9" s="227"/>
      <c r="H9" s="228"/>
      <c r="I9" s="229"/>
      <c r="L9" s="305" t="str">
        <f t="shared" si="0"/>
        <v/>
      </c>
      <c r="M9" s="126"/>
      <c r="N9" s="306" t="str">
        <f t="shared" si="2"/>
        <v>Veuillez sélectionner</v>
      </c>
      <c r="O9" s="307"/>
      <c r="P9" s="127"/>
      <c r="Q9" s="128"/>
      <c r="R9" s="128"/>
      <c r="S9" s="127"/>
      <c r="T9" s="128"/>
      <c r="W9" s="129"/>
      <c r="X9" s="130"/>
    </row>
    <row r="10" spans="1:41" ht="16.5" customHeight="1" x14ac:dyDescent="0.25">
      <c r="A10" s="223" t="s">
        <v>10</v>
      </c>
      <c r="B10" s="224"/>
      <c r="C10" s="224"/>
      <c r="D10" s="213" t="s">
        <v>10</v>
      </c>
      <c r="E10" s="225"/>
      <c r="F10" s="226"/>
      <c r="G10" s="227"/>
      <c r="H10" s="228"/>
      <c r="I10" s="229"/>
      <c r="L10" s="305" t="str">
        <f t="shared" si="0"/>
        <v/>
      </c>
      <c r="M10" s="126"/>
      <c r="N10" s="306" t="str">
        <f t="shared" si="2"/>
        <v>Veuillez sélectionner</v>
      </c>
      <c r="O10" s="307"/>
      <c r="P10" s="127"/>
      <c r="Q10" s="128"/>
      <c r="R10" s="128"/>
      <c r="S10" s="127"/>
      <c r="T10" s="128"/>
      <c r="W10" s="129"/>
      <c r="X10" s="130"/>
    </row>
    <row r="11" spans="1:41" ht="16.5" customHeight="1" x14ac:dyDescent="0.25">
      <c r="A11" s="223" t="s">
        <v>10</v>
      </c>
      <c r="B11" s="224"/>
      <c r="C11" s="224"/>
      <c r="D11" s="213" t="s">
        <v>10</v>
      </c>
      <c r="E11" s="225"/>
      <c r="F11" s="226"/>
      <c r="G11" s="227"/>
      <c r="H11" s="228"/>
      <c r="I11" s="229"/>
      <c r="L11" s="305" t="str">
        <f t="shared" si="0"/>
        <v/>
      </c>
      <c r="M11" s="126"/>
      <c r="N11" s="306" t="str">
        <f t="shared" si="2"/>
        <v>Veuillez sélectionner</v>
      </c>
      <c r="O11" s="307"/>
      <c r="P11" s="127"/>
      <c r="Q11" s="128"/>
      <c r="R11" s="128"/>
      <c r="S11" s="127"/>
      <c r="T11" s="128"/>
      <c r="W11" s="129"/>
      <c r="X11" s="130"/>
    </row>
    <row r="12" spans="1:41" ht="16.5" customHeight="1" x14ac:dyDescent="0.25">
      <c r="A12" s="223" t="s">
        <v>10</v>
      </c>
      <c r="B12" s="224"/>
      <c r="C12" s="224"/>
      <c r="D12" s="213" t="s">
        <v>10</v>
      </c>
      <c r="E12" s="225"/>
      <c r="F12" s="226"/>
      <c r="G12" s="227"/>
      <c r="H12" s="228"/>
      <c r="I12" s="229"/>
      <c r="L12" s="305" t="str">
        <f t="shared" si="0"/>
        <v/>
      </c>
      <c r="M12" s="126"/>
      <c r="N12" s="306" t="str">
        <f t="shared" si="2"/>
        <v>Veuillez sélectionner</v>
      </c>
      <c r="O12" s="307"/>
      <c r="P12" s="127"/>
      <c r="Q12" s="128"/>
      <c r="R12" s="128"/>
      <c r="S12" s="127"/>
      <c r="T12" s="128"/>
      <c r="W12" s="129"/>
      <c r="X12" s="130"/>
    </row>
    <row r="13" spans="1:41" ht="16.5" customHeight="1" x14ac:dyDescent="0.25">
      <c r="A13" s="223" t="s">
        <v>10</v>
      </c>
      <c r="B13" s="224"/>
      <c r="C13" s="224"/>
      <c r="D13" s="213" t="s">
        <v>10</v>
      </c>
      <c r="E13" s="225"/>
      <c r="F13" s="226"/>
      <c r="G13" s="227"/>
      <c r="H13" s="228"/>
      <c r="I13" s="229"/>
      <c r="L13" s="305" t="str">
        <f t="shared" si="0"/>
        <v/>
      </c>
      <c r="M13" s="126"/>
      <c r="N13" s="306" t="str">
        <f t="shared" si="2"/>
        <v>Veuillez sélectionner</v>
      </c>
      <c r="O13" s="307"/>
      <c r="P13" s="127"/>
      <c r="Q13" s="128"/>
      <c r="R13" s="128"/>
      <c r="S13" s="127"/>
      <c r="T13" s="128"/>
      <c r="W13" s="129"/>
      <c r="X13" s="130"/>
    </row>
    <row r="14" spans="1:41" ht="16.5" customHeight="1" x14ac:dyDescent="0.25">
      <c r="A14" s="223" t="s">
        <v>10</v>
      </c>
      <c r="B14" s="224"/>
      <c r="C14" s="224"/>
      <c r="D14" s="213" t="s">
        <v>10</v>
      </c>
      <c r="E14" s="225"/>
      <c r="F14" s="226"/>
      <c r="G14" s="227"/>
      <c r="H14" s="228"/>
      <c r="I14" s="229"/>
      <c r="L14" s="305" t="str">
        <f t="shared" si="0"/>
        <v/>
      </c>
      <c r="M14" s="126"/>
      <c r="N14" s="306" t="str">
        <f t="shared" si="2"/>
        <v>Veuillez sélectionner</v>
      </c>
      <c r="O14" s="307"/>
      <c r="P14" s="127"/>
      <c r="Q14" s="128"/>
      <c r="R14" s="128"/>
      <c r="S14" s="127"/>
      <c r="T14" s="128"/>
      <c r="W14" s="129"/>
      <c r="X14" s="130"/>
    </row>
    <row r="15" spans="1:41" ht="16.5" customHeight="1" x14ac:dyDescent="0.25">
      <c r="A15" s="223" t="s">
        <v>10</v>
      </c>
      <c r="B15" s="224"/>
      <c r="C15" s="224"/>
      <c r="D15" s="213" t="s">
        <v>10</v>
      </c>
      <c r="E15" s="225"/>
      <c r="F15" s="226"/>
      <c r="G15" s="227"/>
      <c r="H15" s="228"/>
      <c r="I15" s="229"/>
      <c r="L15" s="305" t="str">
        <f t="shared" si="0"/>
        <v/>
      </c>
      <c r="M15" s="126"/>
      <c r="N15" s="306" t="str">
        <f t="shared" si="2"/>
        <v>Veuillez sélectionner</v>
      </c>
      <c r="O15" s="307"/>
      <c r="P15" s="127"/>
      <c r="Q15" s="128"/>
      <c r="R15" s="128"/>
      <c r="S15" s="127"/>
      <c r="T15" s="128"/>
      <c r="W15" s="129"/>
      <c r="X15" s="130"/>
    </row>
    <row r="16" spans="1:41" ht="16.5" customHeight="1" x14ac:dyDescent="0.25">
      <c r="A16" s="223" t="s">
        <v>10</v>
      </c>
      <c r="B16" s="224"/>
      <c r="C16" s="224"/>
      <c r="D16" s="213" t="s">
        <v>10</v>
      </c>
      <c r="E16" s="225"/>
      <c r="F16" s="226"/>
      <c r="G16" s="227"/>
      <c r="H16" s="228"/>
      <c r="I16" s="229"/>
      <c r="L16" s="305" t="str">
        <f t="shared" si="0"/>
        <v/>
      </c>
      <c r="M16" s="126"/>
      <c r="N16" s="306" t="str">
        <f t="shared" si="2"/>
        <v>Veuillez sélectionner</v>
      </c>
      <c r="O16" s="307"/>
      <c r="P16" s="127"/>
      <c r="Q16" s="128"/>
      <c r="R16" s="128"/>
      <c r="S16" s="127"/>
      <c r="T16" s="128"/>
      <c r="W16" s="129"/>
      <c r="X16" s="130"/>
    </row>
    <row r="17" spans="1:24" ht="16.5" customHeight="1" x14ac:dyDescent="0.25">
      <c r="A17" s="223" t="s">
        <v>10</v>
      </c>
      <c r="B17" s="224"/>
      <c r="C17" s="224"/>
      <c r="D17" s="213" t="s">
        <v>10</v>
      </c>
      <c r="E17" s="225"/>
      <c r="F17" s="226"/>
      <c r="G17" s="227"/>
      <c r="H17" s="228"/>
      <c r="I17" s="229"/>
      <c r="L17" s="305" t="str">
        <f t="shared" si="0"/>
        <v/>
      </c>
      <c r="M17" s="126"/>
      <c r="N17" s="306" t="str">
        <f t="shared" si="2"/>
        <v>Veuillez sélectionner</v>
      </c>
      <c r="O17" s="307"/>
      <c r="P17" s="127"/>
      <c r="Q17" s="128"/>
      <c r="R17" s="128"/>
      <c r="S17" s="127"/>
      <c r="T17" s="128"/>
      <c r="W17" s="129"/>
      <c r="X17" s="130"/>
    </row>
    <row r="18" spans="1:24" ht="16.5" customHeight="1" x14ac:dyDescent="0.25">
      <c r="A18" s="223" t="s">
        <v>10</v>
      </c>
      <c r="B18" s="224"/>
      <c r="C18" s="224"/>
      <c r="D18" s="213" t="s">
        <v>10</v>
      </c>
      <c r="E18" s="225"/>
      <c r="F18" s="226"/>
      <c r="G18" s="227"/>
      <c r="H18" s="228"/>
      <c r="I18" s="229"/>
      <c r="L18" s="305" t="str">
        <f t="shared" si="0"/>
        <v/>
      </c>
      <c r="M18" s="126"/>
      <c r="N18" s="306" t="str">
        <f t="shared" si="2"/>
        <v>Veuillez sélectionner</v>
      </c>
      <c r="O18" s="307"/>
      <c r="P18" s="127"/>
      <c r="Q18" s="128"/>
      <c r="R18" s="128"/>
      <c r="S18" s="127"/>
      <c r="T18" s="128"/>
      <c r="W18" s="129"/>
      <c r="X18" s="130"/>
    </row>
    <row r="19" spans="1:24" ht="16.5" customHeight="1" x14ac:dyDescent="0.25">
      <c r="A19" s="223" t="s">
        <v>10</v>
      </c>
      <c r="B19" s="224"/>
      <c r="C19" s="224"/>
      <c r="D19" s="213" t="s">
        <v>10</v>
      </c>
      <c r="E19" s="225"/>
      <c r="F19" s="226"/>
      <c r="G19" s="227"/>
      <c r="H19" s="228"/>
      <c r="I19" s="229"/>
      <c r="L19" s="305" t="str">
        <f t="shared" si="0"/>
        <v/>
      </c>
      <c r="M19" s="126"/>
      <c r="N19" s="306" t="str">
        <f t="shared" si="2"/>
        <v>Veuillez sélectionner</v>
      </c>
      <c r="O19" s="307"/>
      <c r="P19" s="127"/>
      <c r="Q19" s="128"/>
      <c r="R19" s="128"/>
      <c r="S19" s="127"/>
      <c r="T19" s="128"/>
      <c r="W19" s="129"/>
      <c r="X19" s="130"/>
    </row>
    <row r="20" spans="1:24" ht="16.5" customHeight="1" x14ac:dyDescent="0.25">
      <c r="A20" s="223" t="s">
        <v>10</v>
      </c>
      <c r="B20" s="224"/>
      <c r="C20" s="224"/>
      <c r="D20" s="213" t="s">
        <v>10</v>
      </c>
      <c r="E20" s="225"/>
      <c r="F20" s="226"/>
      <c r="G20" s="227"/>
      <c r="H20" s="228"/>
      <c r="I20" s="229"/>
      <c r="L20" s="305" t="str">
        <f t="shared" si="0"/>
        <v/>
      </c>
      <c r="M20" s="126"/>
      <c r="N20" s="306" t="str">
        <f t="shared" si="2"/>
        <v>Veuillez sélectionner</v>
      </c>
      <c r="O20" s="307"/>
      <c r="P20" s="127"/>
      <c r="Q20" s="128"/>
      <c r="R20" s="128"/>
      <c r="S20" s="127"/>
      <c r="T20" s="128"/>
      <c r="W20" s="129"/>
      <c r="X20" s="130"/>
    </row>
    <row r="21" spans="1:24" ht="16.5" customHeight="1" x14ac:dyDescent="0.25">
      <c r="A21" s="223" t="s">
        <v>10</v>
      </c>
      <c r="B21" s="224"/>
      <c r="C21" s="224"/>
      <c r="D21" s="213" t="s">
        <v>10</v>
      </c>
      <c r="E21" s="225"/>
      <c r="F21" s="226"/>
      <c r="G21" s="227"/>
      <c r="H21" s="228"/>
      <c r="I21" s="229"/>
      <c r="L21" s="305" t="str">
        <f t="shared" si="0"/>
        <v/>
      </c>
      <c r="M21" s="126"/>
      <c r="N21" s="306" t="str">
        <f t="shared" si="2"/>
        <v>Veuillez sélectionner</v>
      </c>
      <c r="O21" s="307"/>
      <c r="P21" s="127"/>
      <c r="Q21" s="128"/>
      <c r="R21" s="128"/>
      <c r="S21" s="127"/>
      <c r="T21" s="128"/>
      <c r="W21" s="129"/>
      <c r="X21" s="130"/>
    </row>
    <row r="22" spans="1:24" ht="16.5" customHeight="1" x14ac:dyDescent="0.25">
      <c r="A22" s="223" t="s">
        <v>10</v>
      </c>
      <c r="B22" s="224"/>
      <c r="C22" s="224"/>
      <c r="D22" s="213" t="s">
        <v>10</v>
      </c>
      <c r="E22" s="225"/>
      <c r="F22" s="226"/>
      <c r="G22" s="227"/>
      <c r="H22" s="228"/>
      <c r="I22" s="229"/>
      <c r="L22" s="305" t="str">
        <f t="shared" si="0"/>
        <v/>
      </c>
      <c r="M22" s="126"/>
      <c r="N22" s="306" t="str">
        <f t="shared" si="2"/>
        <v>Veuillez sélectionner</v>
      </c>
      <c r="O22" s="307"/>
      <c r="P22" s="127"/>
      <c r="Q22" s="128"/>
      <c r="R22" s="128"/>
      <c r="S22" s="127"/>
      <c r="T22" s="128"/>
      <c r="W22" s="129"/>
      <c r="X22" s="130"/>
    </row>
    <row r="23" spans="1:24" ht="16.5" customHeight="1" x14ac:dyDescent="0.25">
      <c r="A23" s="223" t="s">
        <v>10</v>
      </c>
      <c r="B23" s="224"/>
      <c r="C23" s="224"/>
      <c r="D23" s="213" t="s">
        <v>10</v>
      </c>
      <c r="E23" s="225"/>
      <c r="F23" s="226"/>
      <c r="G23" s="227"/>
      <c r="H23" s="228"/>
      <c r="I23" s="229"/>
      <c r="L23" s="305" t="str">
        <f t="shared" si="0"/>
        <v/>
      </c>
      <c r="M23" s="126"/>
      <c r="N23" s="306" t="str">
        <f t="shared" si="2"/>
        <v>Veuillez sélectionner</v>
      </c>
      <c r="O23" s="307"/>
      <c r="P23" s="127"/>
      <c r="Q23" s="128"/>
      <c r="R23" s="128"/>
      <c r="S23" s="127"/>
      <c r="T23" s="128"/>
      <c r="W23" s="129"/>
      <c r="X23" s="130"/>
    </row>
    <row r="24" spans="1:24" ht="16.5" customHeight="1" x14ac:dyDescent="0.25">
      <c r="A24" s="223" t="s">
        <v>10</v>
      </c>
      <c r="B24" s="224"/>
      <c r="C24" s="224"/>
      <c r="D24" s="213" t="s">
        <v>10</v>
      </c>
      <c r="E24" s="225"/>
      <c r="F24" s="226"/>
      <c r="G24" s="227"/>
      <c r="H24" s="228"/>
      <c r="I24" s="229"/>
      <c r="L24" s="305" t="str">
        <f t="shared" si="0"/>
        <v/>
      </c>
      <c r="M24" s="126"/>
      <c r="N24" s="306" t="str">
        <f t="shared" si="2"/>
        <v>Veuillez sélectionner</v>
      </c>
      <c r="O24" s="307"/>
      <c r="P24" s="127"/>
      <c r="Q24" s="128"/>
      <c r="R24" s="128"/>
      <c r="S24" s="127"/>
      <c r="T24" s="128"/>
      <c r="W24" s="129"/>
      <c r="X24" s="130"/>
    </row>
    <row r="25" spans="1:24" ht="16.5" customHeight="1" x14ac:dyDescent="0.25">
      <c r="A25" s="223" t="s">
        <v>10</v>
      </c>
      <c r="B25" s="224"/>
      <c r="C25" s="224"/>
      <c r="D25" s="213" t="s">
        <v>10</v>
      </c>
      <c r="E25" s="225"/>
      <c r="F25" s="226"/>
      <c r="G25" s="227"/>
      <c r="H25" s="228"/>
      <c r="I25" s="229"/>
      <c r="L25" s="305" t="str">
        <f t="shared" si="0"/>
        <v/>
      </c>
      <c r="M25" s="126"/>
      <c r="N25" s="306" t="str">
        <f t="shared" si="2"/>
        <v>Veuillez sélectionner</v>
      </c>
      <c r="O25" s="307"/>
      <c r="P25" s="127"/>
      <c r="Q25" s="128"/>
      <c r="R25" s="128"/>
      <c r="S25" s="127"/>
      <c r="T25" s="128"/>
      <c r="W25" s="129"/>
      <c r="X25" s="130"/>
    </row>
    <row r="26" spans="1:24" ht="16.5" customHeight="1" x14ac:dyDescent="0.25">
      <c r="A26" s="223" t="s">
        <v>10</v>
      </c>
      <c r="B26" s="224"/>
      <c r="C26" s="224"/>
      <c r="D26" s="213" t="s">
        <v>10</v>
      </c>
      <c r="E26" s="225"/>
      <c r="F26" s="226"/>
      <c r="G26" s="227"/>
      <c r="H26" s="228"/>
      <c r="I26" s="229"/>
      <c r="L26" s="305" t="str">
        <f t="shared" si="0"/>
        <v/>
      </c>
      <c r="M26" s="126"/>
      <c r="N26" s="306" t="str">
        <f t="shared" si="2"/>
        <v>Veuillez sélectionner</v>
      </c>
      <c r="O26" s="307"/>
      <c r="P26" s="127"/>
      <c r="Q26" s="128"/>
      <c r="R26" s="128"/>
      <c r="S26" s="127"/>
      <c r="T26" s="128"/>
      <c r="W26" s="129"/>
      <c r="X26" s="130"/>
    </row>
    <row r="27" spans="1:24" ht="16.5" customHeight="1" x14ac:dyDescent="0.25">
      <c r="A27" s="223" t="s">
        <v>10</v>
      </c>
      <c r="B27" s="224"/>
      <c r="C27" s="224"/>
      <c r="D27" s="213" t="s">
        <v>10</v>
      </c>
      <c r="E27" s="225"/>
      <c r="F27" s="226"/>
      <c r="G27" s="227"/>
      <c r="H27" s="228"/>
      <c r="I27" s="229"/>
      <c r="L27" s="305" t="str">
        <f t="shared" si="0"/>
        <v/>
      </c>
      <c r="M27" s="126"/>
      <c r="N27" s="306" t="str">
        <f t="shared" si="2"/>
        <v>Veuillez sélectionner</v>
      </c>
      <c r="O27" s="307"/>
      <c r="P27" s="127"/>
      <c r="Q27" s="128"/>
      <c r="R27" s="128"/>
      <c r="S27" s="127"/>
      <c r="T27" s="128"/>
      <c r="W27" s="129"/>
      <c r="X27" s="130"/>
    </row>
    <row r="28" spans="1:24" ht="16.5" customHeight="1" x14ac:dyDescent="0.25">
      <c r="A28" s="223" t="s">
        <v>10</v>
      </c>
      <c r="B28" s="224"/>
      <c r="C28" s="224"/>
      <c r="D28" s="213" t="s">
        <v>10</v>
      </c>
      <c r="E28" s="225"/>
      <c r="F28" s="226"/>
      <c r="G28" s="227"/>
      <c r="H28" s="228"/>
      <c r="I28" s="229"/>
      <c r="L28" s="305" t="str">
        <f t="shared" si="0"/>
        <v/>
      </c>
      <c r="M28" s="126"/>
      <c r="N28" s="306" t="str">
        <f t="shared" si="2"/>
        <v>Veuillez sélectionner</v>
      </c>
      <c r="O28" s="307"/>
      <c r="P28" s="127"/>
      <c r="Q28" s="128"/>
      <c r="R28" s="128"/>
      <c r="S28" s="127"/>
      <c r="T28" s="128"/>
      <c r="W28" s="129"/>
      <c r="X28" s="130"/>
    </row>
    <row r="29" spans="1:24" ht="16.5" customHeight="1" x14ac:dyDescent="0.25">
      <c r="A29" s="223" t="s">
        <v>10</v>
      </c>
      <c r="B29" s="224"/>
      <c r="C29" s="224"/>
      <c r="D29" s="213" t="s">
        <v>10</v>
      </c>
      <c r="E29" s="225"/>
      <c r="F29" s="226"/>
      <c r="G29" s="227"/>
      <c r="H29" s="228"/>
      <c r="I29" s="229"/>
      <c r="L29" s="305" t="str">
        <f t="shared" si="0"/>
        <v/>
      </c>
      <c r="M29" s="126"/>
      <c r="N29" s="306" t="str">
        <f t="shared" si="2"/>
        <v>Veuillez sélectionner</v>
      </c>
      <c r="O29" s="307"/>
      <c r="P29" s="127"/>
      <c r="Q29" s="128"/>
      <c r="R29" s="128"/>
      <c r="S29" s="127"/>
      <c r="T29" s="128"/>
      <c r="W29" s="129"/>
      <c r="X29" s="130"/>
    </row>
    <row r="30" spans="1:24" ht="16.5" customHeight="1" x14ac:dyDescent="0.25">
      <c r="A30" s="223" t="s">
        <v>10</v>
      </c>
      <c r="B30" s="224"/>
      <c r="C30" s="224"/>
      <c r="D30" s="213" t="s">
        <v>10</v>
      </c>
      <c r="E30" s="225"/>
      <c r="F30" s="226"/>
      <c r="G30" s="227"/>
      <c r="H30" s="228"/>
      <c r="I30" s="229"/>
      <c r="L30" s="305" t="str">
        <f t="shared" si="0"/>
        <v/>
      </c>
      <c r="M30" s="126"/>
      <c r="N30" s="306" t="str">
        <f t="shared" si="2"/>
        <v>Veuillez sélectionner</v>
      </c>
      <c r="O30" s="307"/>
      <c r="P30" s="127"/>
      <c r="Q30" s="128"/>
      <c r="R30" s="128"/>
      <c r="S30" s="127"/>
      <c r="T30" s="128"/>
      <c r="W30" s="129"/>
      <c r="X30" s="130"/>
    </row>
    <row r="31" spans="1:24" ht="16.5" customHeight="1" x14ac:dyDescent="0.25">
      <c r="A31" s="223" t="s">
        <v>10</v>
      </c>
      <c r="B31" s="224"/>
      <c r="C31" s="224"/>
      <c r="D31" s="213" t="s">
        <v>10</v>
      </c>
      <c r="E31" s="225"/>
      <c r="F31" s="226"/>
      <c r="G31" s="227"/>
      <c r="H31" s="228"/>
      <c r="I31" s="229"/>
      <c r="L31" s="305" t="str">
        <f t="shared" si="0"/>
        <v/>
      </c>
      <c r="M31" s="126"/>
      <c r="N31" s="306" t="str">
        <f t="shared" si="2"/>
        <v>Veuillez sélectionner</v>
      </c>
      <c r="O31" s="307"/>
      <c r="P31" s="127"/>
      <c r="Q31" s="128"/>
      <c r="R31" s="128"/>
      <c r="S31" s="127"/>
      <c r="T31" s="128"/>
      <c r="W31" s="129"/>
      <c r="X31" s="130"/>
    </row>
    <row r="32" spans="1:24" ht="16.5" customHeight="1" x14ac:dyDescent="0.25">
      <c r="A32" s="223" t="s">
        <v>10</v>
      </c>
      <c r="B32" s="224"/>
      <c r="C32" s="224"/>
      <c r="D32" s="213" t="s">
        <v>10</v>
      </c>
      <c r="E32" s="213"/>
      <c r="F32" s="226"/>
      <c r="G32" s="227"/>
      <c r="H32" s="228"/>
      <c r="I32" s="229"/>
      <c r="L32" s="305" t="str">
        <f t="shared" si="0"/>
        <v/>
      </c>
      <c r="M32" s="126" t="str">
        <f t="shared" si="1"/>
        <v/>
      </c>
      <c r="N32" s="306" t="str">
        <f t="shared" si="2"/>
        <v>Veuillez sélectionner</v>
      </c>
      <c r="O32" s="307"/>
      <c r="P32" s="127"/>
      <c r="Q32" s="128"/>
      <c r="R32" s="128"/>
      <c r="S32" s="128"/>
      <c r="T32" s="128"/>
      <c r="W32" s="129">
        <f>IF('Sous-traitance'!$N32&lt;&gt;$A32,1,0)</f>
        <v>0</v>
      </c>
      <c r="X32" s="130">
        <f t="shared" si="3"/>
        <v>0</v>
      </c>
    </row>
    <row r="33" spans="1:24" ht="15" customHeight="1" x14ac:dyDescent="0.25">
      <c r="A33" s="223" t="s">
        <v>10</v>
      </c>
      <c r="B33" s="224"/>
      <c r="C33" s="224"/>
      <c r="D33" s="213" t="s">
        <v>10</v>
      </c>
      <c r="E33" s="213"/>
      <c r="F33" s="226"/>
      <c r="G33" s="227"/>
      <c r="H33" s="228"/>
      <c r="I33" s="229"/>
      <c r="L33" s="305" t="str">
        <f t="shared" si="0"/>
        <v/>
      </c>
      <c r="M33" s="126" t="str">
        <f t="shared" si="1"/>
        <v/>
      </c>
      <c r="N33" s="306" t="str">
        <f t="shared" si="2"/>
        <v>Veuillez sélectionner</v>
      </c>
      <c r="O33" s="307"/>
      <c r="P33" s="127"/>
      <c r="Q33" s="128"/>
      <c r="R33" s="128"/>
      <c r="S33" s="128"/>
      <c r="T33" s="128"/>
      <c r="W33" s="129">
        <f>IF('Sous-traitance'!$N33&lt;&gt;$A33,1,0)</f>
        <v>0</v>
      </c>
      <c r="X33" s="130">
        <f t="shared" si="3"/>
        <v>0</v>
      </c>
    </row>
    <row r="34" spans="1:24" ht="15" customHeight="1" x14ac:dyDescent="0.25">
      <c r="A34" s="223" t="s">
        <v>10</v>
      </c>
      <c r="B34" s="224"/>
      <c r="C34" s="224"/>
      <c r="D34" s="213" t="s">
        <v>10</v>
      </c>
      <c r="E34" s="213"/>
      <c r="F34" s="226"/>
      <c r="G34" s="227"/>
      <c r="H34" s="228"/>
      <c r="I34" s="229"/>
      <c r="L34" s="305" t="str">
        <f t="shared" si="0"/>
        <v/>
      </c>
      <c r="M34" s="126" t="str">
        <f t="shared" si="1"/>
        <v/>
      </c>
      <c r="N34" s="306" t="str">
        <f t="shared" si="2"/>
        <v>Veuillez sélectionner</v>
      </c>
      <c r="O34" s="307"/>
      <c r="P34" s="127"/>
      <c r="Q34" s="128"/>
      <c r="R34" s="128"/>
      <c r="S34" s="128"/>
      <c r="T34" s="128"/>
      <c r="W34" s="129">
        <f>IF('Sous-traitance'!$N34&lt;&gt;$A34,1,0)</f>
        <v>0</v>
      </c>
      <c r="X34" s="130">
        <f t="shared" si="3"/>
        <v>0</v>
      </c>
    </row>
    <row r="35" spans="1:24" ht="15" customHeight="1" x14ac:dyDescent="0.25">
      <c r="A35" s="223" t="s">
        <v>10</v>
      </c>
      <c r="B35" s="224"/>
      <c r="C35" s="224"/>
      <c r="D35" s="213" t="s">
        <v>10</v>
      </c>
      <c r="E35" s="213"/>
      <c r="F35" s="226"/>
      <c r="G35" s="227"/>
      <c r="H35" s="228"/>
      <c r="I35" s="229"/>
      <c r="L35" s="305" t="str">
        <f t="shared" si="0"/>
        <v/>
      </c>
      <c r="M35" s="126"/>
      <c r="N35" s="306" t="str">
        <f t="shared" si="2"/>
        <v>Veuillez sélectionner</v>
      </c>
      <c r="O35" s="307"/>
      <c r="P35" s="127"/>
      <c r="Q35" s="128"/>
      <c r="R35" s="128"/>
      <c r="S35" s="128"/>
      <c r="T35" s="128"/>
      <c r="W35" s="129"/>
      <c r="X35" s="130"/>
    </row>
    <row r="36" spans="1:24" ht="15" customHeight="1" x14ac:dyDescent="0.25">
      <c r="A36" s="223" t="s">
        <v>10</v>
      </c>
      <c r="B36" s="224"/>
      <c r="C36" s="224"/>
      <c r="D36" s="213" t="s">
        <v>10</v>
      </c>
      <c r="E36" s="213"/>
      <c r="F36" s="226"/>
      <c r="G36" s="227"/>
      <c r="H36" s="228"/>
      <c r="I36" s="229"/>
      <c r="L36" s="305" t="str">
        <f t="shared" si="0"/>
        <v/>
      </c>
      <c r="M36" s="126"/>
      <c r="N36" s="306" t="str">
        <f t="shared" si="2"/>
        <v>Veuillez sélectionner</v>
      </c>
      <c r="O36" s="307"/>
      <c r="P36" s="127"/>
      <c r="Q36" s="128"/>
      <c r="R36" s="128"/>
      <c r="S36" s="128"/>
      <c r="T36" s="128"/>
      <c r="W36" s="129"/>
      <c r="X36" s="130"/>
    </row>
    <row r="37" spans="1:24" ht="15" customHeight="1" x14ac:dyDescent="0.25">
      <c r="A37" s="223" t="s">
        <v>10</v>
      </c>
      <c r="B37" s="224"/>
      <c r="C37" s="224"/>
      <c r="D37" s="213" t="s">
        <v>10</v>
      </c>
      <c r="E37" s="213"/>
      <c r="F37" s="226"/>
      <c r="G37" s="227"/>
      <c r="H37" s="228"/>
      <c r="I37" s="229"/>
      <c r="L37" s="305" t="str">
        <f t="shared" si="0"/>
        <v/>
      </c>
      <c r="M37" s="126"/>
      <c r="N37" s="306" t="str">
        <f t="shared" si="2"/>
        <v>Veuillez sélectionner</v>
      </c>
      <c r="O37" s="307"/>
      <c r="P37" s="127"/>
      <c r="Q37" s="128"/>
      <c r="R37" s="128"/>
      <c r="S37" s="128"/>
      <c r="T37" s="128"/>
      <c r="W37" s="129"/>
      <c r="X37" s="130"/>
    </row>
    <row r="38" spans="1:24" ht="15" customHeight="1" x14ac:dyDescent="0.25">
      <c r="A38" s="223" t="s">
        <v>10</v>
      </c>
      <c r="B38" s="224"/>
      <c r="C38" s="224"/>
      <c r="D38" s="213" t="s">
        <v>10</v>
      </c>
      <c r="E38" s="213"/>
      <c r="F38" s="226"/>
      <c r="G38" s="227"/>
      <c r="H38" s="228"/>
      <c r="I38" s="229"/>
      <c r="L38" s="305" t="str">
        <f t="shared" si="0"/>
        <v/>
      </c>
      <c r="M38" s="126"/>
      <c r="N38" s="306" t="str">
        <f t="shared" si="2"/>
        <v>Veuillez sélectionner</v>
      </c>
      <c r="O38" s="307"/>
      <c r="P38" s="127"/>
      <c r="Q38" s="128"/>
      <c r="R38" s="128"/>
      <c r="S38" s="128"/>
      <c r="T38" s="128"/>
      <c r="W38" s="129"/>
      <c r="X38" s="130"/>
    </row>
    <row r="39" spans="1:24" ht="15" customHeight="1" x14ac:dyDescent="0.25">
      <c r="A39" s="223" t="s">
        <v>10</v>
      </c>
      <c r="B39" s="224"/>
      <c r="C39" s="224"/>
      <c r="D39" s="213" t="s">
        <v>10</v>
      </c>
      <c r="E39" s="213"/>
      <c r="F39" s="226"/>
      <c r="G39" s="227"/>
      <c r="H39" s="228"/>
      <c r="I39" s="229"/>
      <c r="L39" s="305" t="str">
        <f t="shared" si="0"/>
        <v/>
      </c>
      <c r="M39" s="126"/>
      <c r="N39" s="306" t="str">
        <f t="shared" si="2"/>
        <v>Veuillez sélectionner</v>
      </c>
      <c r="O39" s="307"/>
      <c r="P39" s="127"/>
      <c r="Q39" s="128"/>
      <c r="R39" s="128"/>
      <c r="S39" s="128"/>
      <c r="T39" s="128"/>
      <c r="W39" s="129"/>
      <c r="X39" s="130"/>
    </row>
    <row r="40" spans="1:24" ht="15" customHeight="1" x14ac:dyDescent="0.25">
      <c r="A40" s="223" t="s">
        <v>10</v>
      </c>
      <c r="B40" s="224"/>
      <c r="C40" s="224"/>
      <c r="D40" s="213" t="s">
        <v>10</v>
      </c>
      <c r="E40" s="213"/>
      <c r="F40" s="226"/>
      <c r="G40" s="227"/>
      <c r="H40" s="228"/>
      <c r="I40" s="229"/>
      <c r="L40" s="305" t="str">
        <f t="shared" si="0"/>
        <v/>
      </c>
      <c r="M40" s="126" t="str">
        <f t="shared" si="1"/>
        <v/>
      </c>
      <c r="N40" s="306" t="str">
        <f t="shared" si="2"/>
        <v>Veuillez sélectionner</v>
      </c>
      <c r="O40" s="307"/>
      <c r="P40" s="127"/>
      <c r="Q40" s="128"/>
      <c r="R40" s="128"/>
      <c r="S40" s="127"/>
      <c r="T40" s="128"/>
      <c r="W40" s="129">
        <f>IF('Sous-traitance'!$N40&lt;&gt;$A40,1,0)</f>
        <v>0</v>
      </c>
      <c r="X40" s="130">
        <f t="shared" si="3"/>
        <v>0</v>
      </c>
    </row>
    <row r="41" spans="1:24" ht="15" customHeight="1" x14ac:dyDescent="0.25">
      <c r="A41" s="223" t="s">
        <v>10</v>
      </c>
      <c r="B41" s="224"/>
      <c r="C41" s="224"/>
      <c r="D41" s="213" t="s">
        <v>10</v>
      </c>
      <c r="E41" s="213"/>
      <c r="F41" s="226"/>
      <c r="G41" s="227"/>
      <c r="H41" s="228"/>
      <c r="I41" s="229"/>
      <c r="L41" s="305" t="str">
        <f t="shared" si="0"/>
        <v/>
      </c>
      <c r="M41" s="126"/>
      <c r="N41" s="306" t="str">
        <f t="shared" si="2"/>
        <v>Veuillez sélectionner</v>
      </c>
      <c r="O41" s="307"/>
      <c r="P41" s="127"/>
      <c r="Q41" s="128"/>
      <c r="R41" s="128"/>
      <c r="S41" s="127"/>
      <c r="T41" s="128"/>
      <c r="W41" s="129"/>
      <c r="X41" s="130"/>
    </row>
    <row r="42" spans="1:24" ht="15" customHeight="1" x14ac:dyDescent="0.25">
      <c r="A42" s="223" t="s">
        <v>10</v>
      </c>
      <c r="B42" s="224"/>
      <c r="C42" s="224"/>
      <c r="D42" s="213" t="s">
        <v>10</v>
      </c>
      <c r="E42" s="213"/>
      <c r="F42" s="226"/>
      <c r="G42" s="227"/>
      <c r="H42" s="228"/>
      <c r="I42" s="229"/>
      <c r="L42" s="305" t="str">
        <f t="shared" si="0"/>
        <v/>
      </c>
      <c r="M42" s="126"/>
      <c r="N42" s="306" t="str">
        <f t="shared" si="2"/>
        <v>Veuillez sélectionner</v>
      </c>
      <c r="O42" s="307"/>
      <c r="P42" s="127"/>
      <c r="Q42" s="128"/>
      <c r="R42" s="128"/>
      <c r="S42" s="127"/>
      <c r="T42" s="128"/>
      <c r="W42" s="129"/>
      <c r="X42" s="130"/>
    </row>
    <row r="43" spans="1:24" ht="15" customHeight="1" x14ac:dyDescent="0.25">
      <c r="A43" s="223" t="s">
        <v>10</v>
      </c>
      <c r="B43" s="224"/>
      <c r="C43" s="224"/>
      <c r="D43" s="213" t="s">
        <v>10</v>
      </c>
      <c r="E43" s="213"/>
      <c r="F43" s="226"/>
      <c r="G43" s="227"/>
      <c r="H43" s="228"/>
      <c r="I43" s="229"/>
      <c r="L43" s="305" t="str">
        <f t="shared" si="0"/>
        <v/>
      </c>
      <c r="M43" s="126"/>
      <c r="N43" s="306" t="str">
        <f t="shared" si="2"/>
        <v>Veuillez sélectionner</v>
      </c>
      <c r="O43" s="307"/>
      <c r="P43" s="127"/>
      <c r="Q43" s="128"/>
      <c r="R43" s="128"/>
      <c r="S43" s="127"/>
      <c r="T43" s="128"/>
      <c r="W43" s="129"/>
      <c r="X43" s="130"/>
    </row>
    <row r="44" spans="1:24" ht="15" customHeight="1" x14ac:dyDescent="0.25">
      <c r="A44" s="223" t="s">
        <v>10</v>
      </c>
      <c r="B44" s="224"/>
      <c r="C44" s="224"/>
      <c r="D44" s="213" t="s">
        <v>10</v>
      </c>
      <c r="E44" s="213"/>
      <c r="F44" s="226"/>
      <c r="G44" s="227"/>
      <c r="H44" s="228"/>
      <c r="I44" s="229"/>
      <c r="L44" s="305" t="str">
        <f t="shared" si="0"/>
        <v/>
      </c>
      <c r="M44" s="126"/>
      <c r="N44" s="306" t="str">
        <f t="shared" si="2"/>
        <v>Veuillez sélectionner</v>
      </c>
      <c r="O44" s="307"/>
      <c r="P44" s="127"/>
      <c r="Q44" s="128"/>
      <c r="R44" s="128"/>
      <c r="S44" s="127"/>
      <c r="T44" s="128"/>
      <c r="W44" s="129"/>
      <c r="X44" s="130"/>
    </row>
    <row r="45" spans="1:24" ht="15" customHeight="1" x14ac:dyDescent="0.25">
      <c r="A45" s="223" t="s">
        <v>10</v>
      </c>
      <c r="B45" s="224"/>
      <c r="C45" s="224"/>
      <c r="D45" s="213" t="s">
        <v>10</v>
      </c>
      <c r="E45" s="213"/>
      <c r="F45" s="226"/>
      <c r="G45" s="227"/>
      <c r="H45" s="228"/>
      <c r="I45" s="229"/>
      <c r="L45" s="305" t="str">
        <f t="shared" si="0"/>
        <v/>
      </c>
      <c r="M45" s="126" t="str">
        <f t="shared" si="1"/>
        <v/>
      </c>
      <c r="N45" s="306" t="str">
        <f t="shared" si="2"/>
        <v>Veuillez sélectionner</v>
      </c>
      <c r="O45" s="307"/>
      <c r="P45" s="127"/>
      <c r="Q45" s="128"/>
      <c r="R45" s="128"/>
      <c r="S45" s="128"/>
      <c r="T45" s="128"/>
      <c r="W45" s="129">
        <f>IF('Sous-traitance'!$N45&lt;&gt;$A45,1,0)</f>
        <v>0</v>
      </c>
      <c r="X45" s="130">
        <f t="shared" si="3"/>
        <v>0</v>
      </c>
    </row>
    <row r="46" spans="1:24" ht="51.4" customHeight="1" x14ac:dyDescent="0.25">
      <c r="A46" s="280"/>
      <c r="B46" s="331"/>
      <c r="C46" s="331"/>
      <c r="D46" s="280"/>
      <c r="E46" s="298"/>
      <c r="F46" s="354">
        <f>SUM(F5:F45)</f>
        <v>0</v>
      </c>
      <c r="G46" s="332"/>
      <c r="H46" s="281"/>
      <c r="I46" s="280"/>
      <c r="L46" s="132">
        <f>SUM(L5:L45)</f>
        <v>0</v>
      </c>
      <c r="O46" s="115" t="str">
        <f>_xlfn.TEXTJOIN(CHAR(10),TRUE,$O$5:$O$45)</f>
        <v/>
      </c>
    </row>
    <row r="47" spans="1:24" x14ac:dyDescent="0.25">
      <c r="B47" s="115"/>
    </row>
    <row r="48" spans="1:24" x14ac:dyDescent="0.25">
      <c r="B48" s="115"/>
      <c r="C48" s="115"/>
    </row>
    <row r="49" spans="2:8" x14ac:dyDescent="0.25">
      <c r="B49" s="115"/>
      <c r="C49" s="115"/>
    </row>
    <row r="50" spans="2:8" x14ac:dyDescent="0.25">
      <c r="B50" s="115"/>
      <c r="C50" s="115"/>
    </row>
    <row r="51" spans="2:8" x14ac:dyDescent="0.25">
      <c r="B51" s="115"/>
      <c r="C51" s="115"/>
    </row>
    <row r="52" spans="2:8" x14ac:dyDescent="0.25">
      <c r="B52" s="115"/>
      <c r="C52" s="115"/>
    </row>
    <row r="53" spans="2:8" x14ac:dyDescent="0.25">
      <c r="B53" s="115"/>
      <c r="C53" s="115"/>
    </row>
    <row r="54" spans="2:8" x14ac:dyDescent="0.25">
      <c r="B54" s="115"/>
      <c r="C54" s="115"/>
    </row>
    <row r="55" spans="2:8" x14ac:dyDescent="0.25">
      <c r="B55" s="115"/>
      <c r="C55" s="115"/>
    </row>
    <row r="56" spans="2:8" x14ac:dyDescent="0.25">
      <c r="B56" s="115"/>
      <c r="C56" s="115"/>
    </row>
    <row r="57" spans="2:8" x14ac:dyDescent="0.25">
      <c r="B57" s="115"/>
      <c r="C57" s="115"/>
    </row>
    <row r="58" spans="2:8" x14ac:dyDescent="0.25">
      <c r="B58" s="115"/>
      <c r="C58" s="115"/>
    </row>
    <row r="59" spans="2:8" x14ac:dyDescent="0.25">
      <c r="B59" s="115"/>
      <c r="C59" s="115"/>
    </row>
    <row r="60" spans="2:8" s="135" customFormat="1" x14ac:dyDescent="0.25">
      <c r="E60" s="124"/>
      <c r="F60" s="124"/>
      <c r="G60" s="136"/>
      <c r="H60" s="137"/>
    </row>
    <row r="61" spans="2:8" s="135" customFormat="1" x14ac:dyDescent="0.25">
      <c r="E61" s="124"/>
      <c r="F61" s="124"/>
      <c r="G61" s="136"/>
      <c r="H61" s="137"/>
    </row>
    <row r="62" spans="2:8" s="135" customFormat="1" x14ac:dyDescent="0.25">
      <c r="E62" s="124"/>
      <c r="F62" s="124"/>
      <c r="G62" s="136"/>
      <c r="H62" s="137"/>
    </row>
    <row r="63" spans="2:8" s="135" customFormat="1" x14ac:dyDescent="0.25">
      <c r="E63" s="124"/>
      <c r="F63" s="124"/>
      <c r="G63" s="136"/>
      <c r="H63" s="137"/>
    </row>
    <row r="64" spans="2:8" s="135" customFormat="1" x14ac:dyDescent="0.25">
      <c r="E64" s="124"/>
      <c r="F64" s="124"/>
      <c r="G64" s="136"/>
      <c r="H64" s="137"/>
    </row>
    <row r="65" spans="2:8 16380:16380" s="135" customFormat="1" x14ac:dyDescent="0.25">
      <c r="C65" s="138"/>
      <c r="E65" s="124"/>
      <c r="F65" s="124"/>
      <c r="G65" s="136"/>
      <c r="H65" s="137"/>
    </row>
    <row r="66" spans="2:8 16380:16380" s="135" customFormat="1" x14ac:dyDescent="0.25">
      <c r="C66" s="138"/>
      <c r="E66" s="124"/>
      <c r="F66" s="124"/>
      <c r="G66" s="136"/>
      <c r="H66" s="137"/>
    </row>
    <row r="67" spans="2:8 16380:16380" s="135" customFormat="1" x14ac:dyDescent="0.25">
      <c r="C67" s="138"/>
      <c r="E67" s="124"/>
      <c r="F67" s="124"/>
      <c r="G67" s="136"/>
      <c r="H67" s="137"/>
      <c r="XEZ67" s="139"/>
    </row>
    <row r="68" spans="2:8 16380:16380" s="135" customFormat="1" x14ac:dyDescent="0.25">
      <c r="B68" s="138"/>
      <c r="C68" s="138"/>
      <c r="E68" s="124"/>
      <c r="F68" s="124"/>
      <c r="G68" s="136"/>
      <c r="H68" s="137"/>
    </row>
    <row r="69" spans="2:8 16380:16380" s="135" customFormat="1" x14ac:dyDescent="0.25">
      <c r="B69" s="138"/>
      <c r="C69" s="138"/>
      <c r="E69" s="124"/>
      <c r="F69" s="124"/>
      <c r="G69" s="136"/>
      <c r="H69" s="137"/>
    </row>
  </sheetData>
  <sheetProtection formatCells="0" formatColumns="0" formatRows="0" insertRows="0"/>
  <sortState xmlns:xlrd2="http://schemas.microsoft.com/office/spreadsheetml/2017/richdata2" ref="B49:B61">
    <sortCondition ref="B49"/>
  </sortState>
  <customSheetViews>
    <customSheetView guid="{C3F58662-020B-4E56-B390-38D4A953D070}" scale="70" showGridLines="0" fitToPage="1" printArea="1" topLeftCell="A112">
      <selection activeCell="I31" sqref="I31"/>
      <rowBreaks count="1" manualBreakCount="1">
        <brk id="86" max="16383" man="1"/>
      </rowBreaks>
      <pageMargins left="0" right="0" top="0" bottom="0" header="0" footer="0"/>
      <pageSetup paperSize="9" scale="31" fitToHeight="2" orientation="landscape" horizontalDpi="0" verticalDpi="0" r:id="rId1"/>
      <headerFooter>
        <oddHeader>&amp;F</oddHeader>
        <oddFooter>&amp;C&amp;A&amp;R&amp;P/&amp;N</oddFooter>
      </headerFooter>
    </customSheetView>
  </customSheetViews>
  <mergeCells count="3">
    <mergeCell ref="A1:B1"/>
    <mergeCell ref="G4:I4"/>
    <mergeCell ref="L3:O3"/>
  </mergeCells>
  <conditionalFormatting sqref="M5:M45">
    <cfRule type="cellIs" dxfId="36" priority="3" operator="notEqual">
      <formula>0</formula>
    </cfRule>
  </conditionalFormatting>
  <conditionalFormatting sqref="N5:N45">
    <cfRule type="cellIs" dxfId="35" priority="54" operator="notEqual">
      <formula>$A5</formula>
    </cfRule>
  </conditionalFormatting>
  <conditionalFormatting sqref="D5:D45">
    <cfRule type="expression" dxfId="34" priority="655">
      <formula>IF(AND(#REF!="Oui",D5="TVAC"),TRUE)</formula>
    </cfRule>
  </conditionalFormatting>
  <dataValidations xWindow="433" yWindow="586" count="3">
    <dataValidation type="list" showInputMessage="1" showErrorMessage="1" sqref="N5:N45" xr:uid="{DDDBD5C6-CDEC-40FC-B442-307820F9111D}">
      <formula1>LISTE_RUBRIQUE_FONCT_NV</formula1>
    </dataValidation>
    <dataValidation allowBlank="1" showInputMessage="1" showErrorMessage="1" prompt="Si le projet entre dans le champs d'application de la TVA, indiquer dans la colonne &quot;Total déclaré&quot;, les montant HTVA, dans le cas contraire indiquer le montant de la facture TVAC et le cas échéant, joindre le justificatif  de payement de la TVA. _x000a_ _x000a_" sqref="D4" xr:uid="{80AC4844-A085-4766-9A7C-1E432068EF4B}"/>
    <dataValidation type="list" showInputMessage="1" showErrorMessage="1" sqref="A5:A45" xr:uid="{01D05EAF-9B6C-4A15-A2F7-74F4FE467E04}">
      <formula1>Rubrique_MOB</formula1>
    </dataValidation>
  </dataValidations>
  <pageMargins left="0.23622047244094491" right="0.27559055118110237" top="0.47244094488188981" bottom="0.39370078740157483" header="0.27559055118110237" footer="0.19685039370078741"/>
  <pageSetup paperSize="9" scale="10" fitToHeight="2" orientation="landscape" r:id="rId2"/>
  <headerFooter>
    <oddHeader>&amp;F</oddHeader>
    <oddFooter>&amp;C&amp;A&amp;R&amp;P/&amp;N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xWindow="433" yWindow="586" count="2">
        <x14:dataValidation type="list" allowBlank="1" showInputMessage="1" showErrorMessage="1" xr:uid="{FBEDBDC4-10A7-42CA-9F28-9FD88285B945}">
          <x14:formula1>
            <xm:f>LISTE!$P$3:$P$4</xm:f>
          </x14:formula1>
          <xm:sqref>D5:D45</xm:sqref>
        </x14:dataValidation>
        <x14:dataValidation type="date" allowBlank="1" showInputMessage="1" showErrorMessage="1" xr:uid="{40A14F34-FC0B-4666-B284-E2EA244E0FB3}">
          <x14:formula1>
            <xm:f>Identification!$F$16</xm:f>
          </x14:formula1>
          <x14:formula2>
            <xm:f>Identification!$F$17</xm:f>
          </x14:formula2>
          <xm:sqref>E5:E45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DC">
    <tabColor rgb="FFFFFF00"/>
    <pageSetUpPr fitToPage="1"/>
  </sheetPr>
  <dimension ref="A1:P43"/>
  <sheetViews>
    <sheetView showGridLines="0" topLeftCell="A16" zoomScale="90" zoomScaleNormal="90" zoomScaleSheetLayoutView="80" workbookViewId="0">
      <selection activeCell="B30" sqref="B30:E30"/>
    </sheetView>
  </sheetViews>
  <sheetFormatPr baseColWidth="10" defaultColWidth="10.7109375" defaultRowHeight="15.75" x14ac:dyDescent="0.25"/>
  <cols>
    <col min="1" max="1" width="39" style="333" customWidth="1"/>
    <col min="2" max="2" width="33.7109375" style="333" customWidth="1"/>
    <col min="3" max="3" width="21.28515625" style="333" customWidth="1"/>
    <col min="4" max="4" width="18.28515625" style="333" customWidth="1"/>
    <col min="5" max="5" width="24.28515625" style="333" customWidth="1"/>
    <col min="6" max="6" width="4.42578125" style="333" hidden="1" customWidth="1"/>
    <col min="7" max="12" width="2.7109375" style="333" hidden="1" customWidth="1"/>
    <col min="13" max="13" width="1.28515625" style="333" hidden="1" customWidth="1"/>
    <col min="14" max="14" width="1.5703125" style="333" hidden="1" customWidth="1"/>
    <col min="15" max="23" width="0" style="333" hidden="1" customWidth="1"/>
    <col min="24" max="16384" width="10.7109375" style="333"/>
  </cols>
  <sheetData>
    <row r="1" spans="1:16" s="334" customFormat="1" x14ac:dyDescent="0.25">
      <c r="A1" s="333"/>
      <c r="B1" s="333"/>
      <c r="C1" s="333"/>
      <c r="D1" s="333"/>
      <c r="E1" s="333"/>
      <c r="F1" s="333"/>
      <c r="G1" s="333"/>
      <c r="H1" s="333"/>
      <c r="I1" s="333"/>
      <c r="N1" s="335"/>
      <c r="P1" s="335"/>
    </row>
    <row r="2" spans="1:16" x14ac:dyDescent="0.25">
      <c r="N2" s="335"/>
      <c r="P2" s="335"/>
    </row>
    <row r="3" spans="1:16" ht="30.75" customHeight="1" x14ac:dyDescent="0.25">
      <c r="N3" s="336"/>
      <c r="P3" s="336"/>
    </row>
    <row r="4" spans="1:16" x14ac:dyDescent="0.25">
      <c r="N4" s="336"/>
      <c r="P4" s="336"/>
    </row>
    <row r="5" spans="1:16" ht="32.25" hidden="1" customHeight="1" x14ac:dyDescent="0.25"/>
    <row r="6" spans="1:16" ht="21" x14ac:dyDescent="0.25">
      <c r="B6" s="423" t="s">
        <v>72</v>
      </c>
      <c r="C6" s="423"/>
      <c r="E6" s="337"/>
    </row>
    <row r="7" spans="1:16" x14ac:dyDescent="0.25">
      <c r="E7" s="337"/>
    </row>
    <row r="8" spans="1:16" ht="15.75" customHeight="1" x14ac:dyDescent="0.25">
      <c r="A8" s="304" t="str">
        <f>IDENTIF_NOM_REQUERANT</f>
        <v>Sélectionner Commune/Supra</v>
      </c>
      <c r="C8" s="430" t="s">
        <v>73</v>
      </c>
      <c r="D8" s="430"/>
      <c r="E8" s="430"/>
    </row>
    <row r="9" spans="1:16" x14ac:dyDescent="0.25">
      <c r="A9" s="145" t="e">
        <f>CONCATENATE(Identification!F5," ",Identification!F6)</f>
        <v>#N/A</v>
      </c>
      <c r="E9" s="337" t="s">
        <v>74</v>
      </c>
    </row>
    <row r="10" spans="1:16" x14ac:dyDescent="0.25">
      <c r="A10" s="145" t="e">
        <f>CONCATENATE(Identification!F7," ",IDENTIF_ADRESSE_LOC)</f>
        <v>#N/A</v>
      </c>
      <c r="E10" s="337" t="s">
        <v>75</v>
      </c>
    </row>
    <row r="11" spans="1:16" x14ac:dyDescent="0.25">
      <c r="D11" s="339"/>
      <c r="E11" s="339"/>
    </row>
    <row r="12" spans="1:16" ht="24.75" customHeight="1" x14ac:dyDescent="0.25">
      <c r="A12" s="340" t="s">
        <v>76</v>
      </c>
      <c r="B12" s="145"/>
      <c r="C12" s="338"/>
      <c r="I12" s="341"/>
      <c r="J12" s="341"/>
      <c r="K12" s="341"/>
      <c r="L12" s="341"/>
      <c r="M12" s="341"/>
      <c r="N12" s="341"/>
    </row>
    <row r="13" spans="1:16" ht="21.4" customHeight="1" x14ac:dyDescent="0.25">
      <c r="A13" s="337" t="s">
        <v>77</v>
      </c>
      <c r="B13" s="342" t="s">
        <v>78</v>
      </c>
    </row>
    <row r="14" spans="1:16" ht="25.9" customHeight="1" x14ac:dyDescent="0.25">
      <c r="A14" s="337" t="s">
        <v>79</v>
      </c>
      <c r="B14" s="434" t="e">
        <f>IDENTIF_REF_PROJET</f>
        <v>#N/A</v>
      </c>
      <c r="C14" s="435"/>
      <c r="D14" s="435"/>
      <c r="E14" s="436"/>
    </row>
    <row r="15" spans="1:16" ht="10.5" customHeight="1" x14ac:dyDescent="0.25">
      <c r="A15" s="343"/>
      <c r="B15" s="343"/>
      <c r="C15" s="343"/>
    </row>
    <row r="16" spans="1:16" ht="29.25" customHeight="1" x14ac:dyDescent="0.25">
      <c r="A16" s="340" t="s">
        <v>80</v>
      </c>
      <c r="B16" s="344">
        <f>IDENTIF_DEB_DC</f>
        <v>0</v>
      </c>
      <c r="C16" s="345" t="s">
        <v>81</v>
      </c>
      <c r="D16" s="346">
        <f>IDENTIF_FIN_DC</f>
        <v>0</v>
      </c>
    </row>
    <row r="17" spans="1:5" ht="24.75" customHeight="1" x14ac:dyDescent="0.25">
      <c r="A17" s="340" t="s">
        <v>82</v>
      </c>
      <c r="B17" s="347" t="e">
        <f>IDENTIF_VISA_CONV</f>
        <v>#N/A</v>
      </c>
    </row>
    <row r="18" spans="1:5" ht="24.75" customHeight="1" x14ac:dyDescent="0.25">
      <c r="A18" s="340" t="s">
        <v>437</v>
      </c>
      <c r="B18" s="347" t="e">
        <f>Identification!B25</f>
        <v>#N/A</v>
      </c>
    </row>
    <row r="19" spans="1:5" ht="30.75" customHeight="1" x14ac:dyDescent="0.25">
      <c r="A19" s="340" t="s">
        <v>83</v>
      </c>
      <c r="B19" s="347" t="e">
        <f>IDENTIF_LEGALE</f>
        <v>#N/A</v>
      </c>
      <c r="C19" s="347"/>
    </row>
    <row r="20" spans="1:5" ht="26.25" customHeight="1" x14ac:dyDescent="0.25">
      <c r="A20" s="348" t="s">
        <v>84</v>
      </c>
      <c r="B20" s="424"/>
      <c r="C20" s="425"/>
      <c r="D20" s="425"/>
      <c r="E20" s="426"/>
    </row>
    <row r="21" spans="1:5" ht="26.25" customHeight="1" x14ac:dyDescent="0.25">
      <c r="A21" s="348" t="s">
        <v>85</v>
      </c>
      <c r="B21" s="424"/>
      <c r="C21" s="426"/>
      <c r="D21" s="349" t="s">
        <v>86</v>
      </c>
      <c r="E21" s="350"/>
    </row>
    <row r="22" spans="1:5" ht="32.25" customHeight="1" x14ac:dyDescent="0.25">
      <c r="A22" s="348" t="s">
        <v>87</v>
      </c>
      <c r="B22" s="424" t="str">
        <f>Identification!B4</f>
        <v>Sélectionner Commune/Supra</v>
      </c>
      <c r="C22" s="425"/>
      <c r="D22" s="425"/>
      <c r="E22" s="426"/>
    </row>
    <row r="23" spans="1:5" ht="30.75" customHeight="1" x14ac:dyDescent="0.25">
      <c r="A23" s="433" t="s">
        <v>88</v>
      </c>
      <c r="B23" s="433"/>
      <c r="D23" s="431">
        <f>Synthèse!F16</f>
        <v>0</v>
      </c>
      <c r="E23" s="432"/>
    </row>
    <row r="24" spans="1:5" ht="22.5" customHeight="1" x14ac:dyDescent="0.25">
      <c r="A24" s="348" t="s">
        <v>790</v>
      </c>
      <c r="B24" s="427" t="str">
        <f>_xlfn.CONCAT("P21 TH",IDENTIF_TH_PROJET)</f>
        <v>P21 THVeuillez sélectionner</v>
      </c>
      <c r="C24" s="428"/>
      <c r="D24" s="428"/>
      <c r="E24" s="429"/>
    </row>
    <row r="25" spans="1:5" ht="18.75" customHeight="1" x14ac:dyDescent="0.25"/>
    <row r="26" spans="1:5" ht="25.5" customHeight="1" x14ac:dyDescent="0.25">
      <c r="B26" s="351" t="s">
        <v>89</v>
      </c>
    </row>
    <row r="27" spans="1:5" ht="30.75" customHeight="1" x14ac:dyDescent="0.25">
      <c r="A27" s="352" t="s">
        <v>90</v>
      </c>
      <c r="B27" s="420" t="e">
        <f>IDENTIF_COMPTE_N°IBAN</f>
        <v>#N/A</v>
      </c>
      <c r="C27" s="421"/>
      <c r="D27" s="421"/>
      <c r="E27" s="422"/>
    </row>
    <row r="28" spans="1:5" ht="30.75" customHeight="1" x14ac:dyDescent="0.25">
      <c r="A28" s="352" t="s">
        <v>91</v>
      </c>
      <c r="B28" s="420">
        <f>IDENTIF_COMPTE_BIC</f>
        <v>0</v>
      </c>
      <c r="C28" s="421"/>
      <c r="D28" s="421"/>
      <c r="E28" s="422"/>
    </row>
    <row r="29" spans="1:5" ht="30.75" customHeight="1" x14ac:dyDescent="0.25">
      <c r="A29" s="352" t="s">
        <v>25</v>
      </c>
      <c r="B29" s="420">
        <f>IDENTIF_COMPTE_COM</f>
        <v>0</v>
      </c>
      <c r="C29" s="421"/>
      <c r="D29" s="421"/>
      <c r="E29" s="422"/>
    </row>
    <row r="30" spans="1:5" ht="30.75" customHeight="1" x14ac:dyDescent="0.25">
      <c r="A30" s="352" t="s">
        <v>27</v>
      </c>
      <c r="B30" s="424">
        <f>Identification!B9</f>
        <v>0</v>
      </c>
      <c r="C30" s="425"/>
      <c r="D30" s="425"/>
      <c r="E30" s="426"/>
    </row>
    <row r="31" spans="1:5" ht="30.75" customHeight="1" x14ac:dyDescent="0.25">
      <c r="A31" s="352" t="s">
        <v>92</v>
      </c>
      <c r="B31" s="420" t="e">
        <f>IDENTIF_BCE</f>
        <v>#N/A</v>
      </c>
      <c r="C31" s="421"/>
      <c r="D31" s="421"/>
      <c r="E31" s="422"/>
    </row>
    <row r="32" spans="1:5" ht="22.5" customHeight="1" x14ac:dyDescent="0.25"/>
    <row r="33" spans="1:5" x14ac:dyDescent="0.25">
      <c r="B33" s="351" t="s">
        <v>93</v>
      </c>
    </row>
    <row r="34" spans="1:5" ht="49.5" customHeight="1" x14ac:dyDescent="0.25">
      <c r="B34" s="210"/>
      <c r="C34" s="211"/>
      <c r="D34" s="211"/>
      <c r="E34" s="212"/>
    </row>
    <row r="35" spans="1:5" ht="33.75" customHeight="1" x14ac:dyDescent="0.25"/>
    <row r="36" spans="1:5" ht="26.25" customHeight="1" x14ac:dyDescent="0.25">
      <c r="A36" s="352" t="s">
        <v>94</v>
      </c>
      <c r="B36" s="146"/>
      <c r="C36" s="352" t="s">
        <v>95</v>
      </c>
      <c r="D36" s="146"/>
      <c r="E36" s="145"/>
    </row>
    <row r="38" spans="1:5" x14ac:dyDescent="0.25">
      <c r="D38" s="345" t="s">
        <v>96</v>
      </c>
      <c r="E38" s="345"/>
    </row>
    <row r="39" spans="1:5" x14ac:dyDescent="0.25">
      <c r="D39" s="345"/>
      <c r="E39" s="345"/>
    </row>
    <row r="40" spans="1:5" x14ac:dyDescent="0.25">
      <c r="D40" s="345"/>
      <c r="E40" s="345"/>
    </row>
    <row r="41" spans="1:5" x14ac:dyDescent="0.25">
      <c r="A41" s="333" t="s">
        <v>424</v>
      </c>
      <c r="D41" s="345"/>
      <c r="E41" s="345"/>
    </row>
    <row r="42" spans="1:5" x14ac:dyDescent="0.25">
      <c r="A42" s="343" t="s">
        <v>97</v>
      </c>
      <c r="D42" s="345"/>
      <c r="E42" s="345"/>
    </row>
    <row r="43" spans="1:5" x14ac:dyDescent="0.25">
      <c r="A43" s="333" t="s">
        <v>98</v>
      </c>
    </row>
  </sheetData>
  <sheetProtection algorithmName="SHA-512" hashValue="o++/hqJ9+iM9wt5vi6C9SJ+XNEyNzVWIiUe9nwYlqtj+vDs5BhT7TIz0zvNiaaZWK+xGwlY+2KsPdpvGhDWDrA==" saltValue="Qo5sdCdDO/NxP2xc34XgIg==" spinCount="100000" sheet="1" formatCells="0" formatColumns="0" formatRows="0"/>
  <customSheetViews>
    <customSheetView guid="{C3F58662-020B-4E56-B390-38D4A953D070}" scale="70" fitToPage="1">
      <selection activeCell="I31" sqref="I31"/>
      <pageMargins left="0" right="0" top="0" bottom="0" header="0" footer="0"/>
      <printOptions horizontalCentered="1" verticalCentered="1"/>
      <pageSetup paperSize="9" scale="71" orientation="portrait" blackAndWhite="1" r:id="rId1"/>
    </customSheetView>
  </customSheetViews>
  <mergeCells count="14">
    <mergeCell ref="B31:E31"/>
    <mergeCell ref="B29:E29"/>
    <mergeCell ref="B6:C6"/>
    <mergeCell ref="B30:E30"/>
    <mergeCell ref="B20:E20"/>
    <mergeCell ref="B21:C21"/>
    <mergeCell ref="B22:E22"/>
    <mergeCell ref="B27:E27"/>
    <mergeCell ref="B28:E28"/>
    <mergeCell ref="B24:E24"/>
    <mergeCell ref="C8:E8"/>
    <mergeCell ref="D23:E23"/>
    <mergeCell ref="A23:B23"/>
    <mergeCell ref="B14:E14"/>
  </mergeCells>
  <printOptions horizontalCentered="1" verticalCentered="1"/>
  <pageMargins left="0.7" right="0.7" top="0.75" bottom="0.75" header="0.3" footer="0.3"/>
  <pageSetup paperSize="9" scale="64" fitToHeight="0" orientation="portrait" blackAndWhite="1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_DC_CUM">
    <tabColor rgb="FF33CCFF"/>
    <pageSetUpPr fitToPage="1"/>
  </sheetPr>
  <dimension ref="D1:I32"/>
  <sheetViews>
    <sheetView showGridLines="0" zoomScale="120" zoomScaleNormal="120" zoomScalePageLayoutView="75" workbookViewId="0">
      <selection activeCell="F23" sqref="F23"/>
    </sheetView>
  </sheetViews>
  <sheetFormatPr baseColWidth="10" defaultColWidth="6.85546875" defaultRowHeight="15" x14ac:dyDescent="0.25"/>
  <cols>
    <col min="1" max="1" width="6.85546875" style="116"/>
    <col min="2" max="2" width="4.28515625" style="116" customWidth="1"/>
    <col min="3" max="3" width="6.85546875" style="116"/>
    <col min="4" max="4" width="35.85546875" style="116" customWidth="1"/>
    <col min="5" max="5" width="20.42578125" style="116" customWidth="1"/>
    <col min="6" max="6" width="20.42578125" style="206" customWidth="1"/>
    <col min="7" max="7" width="6.85546875" style="152"/>
    <col min="8" max="16384" width="6.85546875" style="116"/>
  </cols>
  <sheetData>
    <row r="1" spans="4:9" s="152" customFormat="1" ht="13.5" customHeight="1" x14ac:dyDescent="0.25">
      <c r="D1" s="147" t="s">
        <v>99</v>
      </c>
      <c r="E1" s="148">
        <f>DATE_DEB_CONV</f>
        <v>44562</v>
      </c>
      <c r="F1" s="150">
        <f>IDENTIF_DEB_DC</f>
        <v>0</v>
      </c>
      <c r="G1" s="151"/>
      <c r="H1" s="151"/>
    </row>
    <row r="2" spans="4:9" s="152" customFormat="1" ht="9" customHeight="1" x14ac:dyDescent="0.25">
      <c r="D2" s="153"/>
      <c r="E2" s="154" t="s">
        <v>100</v>
      </c>
      <c r="F2" s="155" t="s">
        <v>100</v>
      </c>
      <c r="G2" s="151"/>
      <c r="H2" s="151"/>
    </row>
    <row r="3" spans="4:9" s="152" customFormat="1" x14ac:dyDescent="0.25">
      <c r="D3" s="156"/>
      <c r="E3" s="148">
        <f>DATE_FIN_CONV</f>
        <v>46022</v>
      </c>
      <c r="F3" s="157">
        <f>IDENTIF_FIN_DC</f>
        <v>0</v>
      </c>
      <c r="G3" s="151"/>
      <c r="H3" s="151"/>
    </row>
    <row r="4" spans="4:9" s="159" customFormat="1" ht="9.75" customHeight="1" x14ac:dyDescent="0.25">
      <c r="D4" s="158"/>
      <c r="E4" s="158"/>
      <c r="F4" s="158"/>
      <c r="G4" s="151"/>
      <c r="H4" s="151"/>
    </row>
    <row r="5" spans="4:9" s="162" customFormat="1" ht="21.75" customHeight="1" x14ac:dyDescent="0.2">
      <c r="D5" s="160" t="s">
        <v>101</v>
      </c>
      <c r="E5" s="161" t="s">
        <v>102</v>
      </c>
      <c r="F5" s="161" t="str">
        <f>DC_N°</f>
        <v>Veuillez sélectionner</v>
      </c>
      <c r="G5" s="151"/>
      <c r="H5" s="151"/>
    </row>
    <row r="6" spans="4:9" ht="12.75" x14ac:dyDescent="0.2">
      <c r="D6" s="163" t="s">
        <v>103</v>
      </c>
      <c r="E6" s="164"/>
      <c r="F6" s="165" t="s">
        <v>104</v>
      </c>
      <c r="G6" s="151"/>
      <c r="H6" s="151"/>
    </row>
    <row r="7" spans="4:9" s="170" customFormat="1" ht="15.75" customHeight="1" x14ac:dyDescent="0.3">
      <c r="D7" s="167" t="s">
        <v>106</v>
      </c>
      <c r="E7" s="437"/>
      <c r="F7" s="168"/>
      <c r="G7" s="151"/>
      <c r="H7" s="151"/>
    </row>
    <row r="8" spans="4:9" s="173" customFormat="1" x14ac:dyDescent="0.25">
      <c r="D8" s="171"/>
      <c r="E8" s="438"/>
      <c r="F8" s="172">
        <f>MONTANT_TOT_PERSO_DECL</f>
        <v>0</v>
      </c>
      <c r="G8" s="151"/>
      <c r="H8" s="151"/>
    </row>
    <row r="9" spans="4:9" s="170" customFormat="1" ht="15.75" customHeight="1" x14ac:dyDescent="0.3">
      <c r="D9" s="174" t="s">
        <v>107</v>
      </c>
      <c r="E9" s="438"/>
      <c r="F9" s="175"/>
      <c r="G9" s="151"/>
      <c r="H9" s="151"/>
    </row>
    <row r="10" spans="4:9" s="173" customFormat="1" ht="18" customHeight="1" x14ac:dyDescent="0.25">
      <c r="D10" s="177"/>
      <c r="E10" s="439"/>
      <c r="F10" s="172">
        <f>MONTANT_TOT_SSTRAIT_DECL</f>
        <v>0</v>
      </c>
      <c r="G10" s="151"/>
      <c r="H10" s="151"/>
    </row>
    <row r="11" spans="4:9" s="173" customFormat="1" ht="18" customHeight="1" x14ac:dyDescent="0.25">
      <c r="D11" s="177" t="s">
        <v>787</v>
      </c>
      <c r="E11" s="323"/>
      <c r="F11" s="359"/>
      <c r="G11" s="151"/>
      <c r="H11" s="151"/>
    </row>
    <row r="12" spans="4:9" s="173" customFormat="1" ht="18" customHeight="1" x14ac:dyDescent="0.25">
      <c r="D12" s="177"/>
      <c r="E12" s="358"/>
      <c r="F12" s="172">
        <f>(SYNTH_PERSO_DECL_2+SYNTH_SST_DECL_2)*0.1</f>
        <v>0</v>
      </c>
      <c r="G12" s="151"/>
      <c r="H12" s="151"/>
    </row>
    <row r="13" spans="4:9" s="152" customFormat="1" ht="18.75" customHeight="1" x14ac:dyDescent="0.25">
      <c r="D13" s="178" t="s">
        <v>108</v>
      </c>
      <c r="E13" s="234" t="e">
        <f>IF(IDENTIF_MONTANT_SUBSIDE="","",IDENTIF_MONTANT_SUBSIDE/0.8)</f>
        <v>#N/A</v>
      </c>
      <c r="F13" s="233">
        <f>F8+F10+F12</f>
        <v>0</v>
      </c>
      <c r="G13" s="151"/>
      <c r="H13" s="151"/>
    </row>
    <row r="14" spans="4:9" s="170" customFormat="1" ht="10.15" customHeight="1" x14ac:dyDescent="0.3">
      <c r="D14" s="151"/>
      <c r="E14" s="151"/>
      <c r="F14" s="180"/>
      <c r="G14" s="151"/>
      <c r="H14" s="151"/>
    </row>
    <row r="15" spans="4:9" s="173" customFormat="1" ht="18" customHeight="1" x14ac:dyDescent="0.25">
      <c r="D15" s="181" t="s">
        <v>109</v>
      </c>
      <c r="E15" s="182">
        <f t="shared" ref="E15" si="0">IDENTIF_TAUX_DE_FINANCEMENT</f>
        <v>0.8</v>
      </c>
      <c r="F15" s="182">
        <f>IDENTIF_TAUX_DE_FINANCEMENT</f>
        <v>0.8</v>
      </c>
      <c r="G15" s="151"/>
      <c r="H15" s="151"/>
      <c r="I15" s="183"/>
    </row>
    <row r="16" spans="4:9" s="187" customFormat="1" ht="26.25" customHeight="1" x14ac:dyDescent="0.2">
      <c r="D16" s="184" t="s">
        <v>110</v>
      </c>
      <c r="E16" s="185" t="e">
        <f>IDENTIF_MONTANT_SUBSIDE</f>
        <v>#N/A</v>
      </c>
      <c r="F16" s="185">
        <f>(ROUND(F13*F15,2))</f>
        <v>0</v>
      </c>
      <c r="G16" s="151"/>
      <c r="H16" s="151"/>
    </row>
    <row r="17" spans="4:8" s="159" customFormat="1" ht="15.75" x14ac:dyDescent="0.25">
      <c r="D17" s="189"/>
      <c r="E17" s="189"/>
      <c r="F17" s="189"/>
      <c r="G17" s="151"/>
      <c r="H17" s="151"/>
    </row>
    <row r="18" spans="4:8" ht="12.75" x14ac:dyDescent="0.2">
      <c r="D18" s="196"/>
      <c r="E18" s="191"/>
      <c r="F18" s="189"/>
      <c r="G18" s="151"/>
      <c r="H18" s="151"/>
    </row>
    <row r="19" spans="4:8" s="152" customFormat="1" x14ac:dyDescent="0.25">
      <c r="D19" s="151"/>
      <c r="E19" s="191"/>
      <c r="F19" s="191"/>
      <c r="G19" s="151"/>
      <c r="H19" s="151"/>
    </row>
    <row r="20" spans="4:8" s="203" customFormat="1" ht="15" customHeight="1" x14ac:dyDescent="0.2">
      <c r="D20" s="201" t="s">
        <v>113</v>
      </c>
      <c r="E20" s="202" t="e">
        <f>Identification!B22</f>
        <v>#N/A</v>
      </c>
      <c r="F20" s="189"/>
      <c r="G20" s="151"/>
      <c r="H20" s="151"/>
    </row>
    <row r="21" spans="4:8" ht="21" x14ac:dyDescent="0.35">
      <c r="D21" s="204"/>
      <c r="E21" s="204"/>
      <c r="F21" s="116"/>
    </row>
    <row r="22" spans="4:8" ht="21" x14ac:dyDescent="0.35">
      <c r="D22" s="204"/>
      <c r="E22" s="204"/>
      <c r="F22" s="205"/>
    </row>
    <row r="23" spans="4:8" ht="21" x14ac:dyDescent="0.35">
      <c r="D23" s="204"/>
      <c r="E23" s="204"/>
      <c r="F23" s="205"/>
    </row>
    <row r="24" spans="4:8" ht="21" x14ac:dyDescent="0.35">
      <c r="D24" s="204"/>
      <c r="E24" s="204"/>
      <c r="F24" s="205"/>
    </row>
    <row r="25" spans="4:8" ht="21" x14ac:dyDescent="0.35">
      <c r="D25" s="204"/>
      <c r="E25" s="204"/>
      <c r="F25" s="205"/>
    </row>
    <row r="26" spans="4:8" ht="21" x14ac:dyDescent="0.35">
      <c r="D26" s="204"/>
      <c r="E26" s="204"/>
      <c r="F26" s="205"/>
    </row>
    <row r="27" spans="4:8" ht="21" x14ac:dyDescent="0.35">
      <c r="D27" s="204"/>
      <c r="E27" s="204"/>
      <c r="F27" s="205"/>
    </row>
    <row r="28" spans="4:8" ht="21" x14ac:dyDescent="0.35">
      <c r="D28" s="204"/>
      <c r="E28" s="204"/>
      <c r="F28" s="205"/>
    </row>
    <row r="29" spans="4:8" ht="21" x14ac:dyDescent="0.35">
      <c r="D29" s="204"/>
      <c r="E29" s="204"/>
      <c r="F29" s="205"/>
    </row>
    <row r="30" spans="4:8" ht="21" x14ac:dyDescent="0.35">
      <c r="D30" s="204"/>
      <c r="E30" s="204"/>
      <c r="F30" s="205"/>
    </row>
    <row r="31" spans="4:8" ht="21" x14ac:dyDescent="0.35">
      <c r="D31" s="204"/>
      <c r="E31" s="204"/>
      <c r="F31" s="205"/>
    </row>
    <row r="32" spans="4:8" ht="21" x14ac:dyDescent="0.35">
      <c r="D32" s="204"/>
      <c r="E32" s="204"/>
      <c r="F32" s="205"/>
    </row>
  </sheetData>
  <sheetProtection algorithmName="SHA-512" hashValue="7StTdI74M2IcYldJKfDrco9AcLspVO6knFviBzy+VDy7KzWCm47hjZnpSsKAF1ph1XLflgMAN5H4bV19g9LhuA==" saltValue="Kmo/HnRAspSkCxTSivkn7w==" spinCount="100000" sheet="1" formatCells="0" formatColumns="0" formatRows="0"/>
  <customSheetViews>
    <customSheetView guid="{C3F58662-020B-4E56-B390-38D4A953D070}" scale="90" showPageBreaks="1" showGridLines="0" printArea="1" view="pageBreakPreview">
      <selection activeCell="AE46" sqref="AE46"/>
      <colBreaks count="2" manualBreakCount="2">
        <brk id="9" min="3" max="59" man="1"/>
        <brk id="17" min="3" max="59" man="1"/>
      </colBreaks>
      <pageMargins left="0" right="0" top="0" bottom="0" header="0" footer="0"/>
      <pageSetup paperSize="9" scale="61" fitToWidth="3" orientation="portrait" horizontalDpi="0" verticalDpi="0" r:id="rId1"/>
      <headerFooter>
        <oddHeader>&amp;F</oddHeader>
        <oddFooter>&amp;C&amp;A&amp;R&amp;P/&amp;N</oddFooter>
      </headerFooter>
    </customSheetView>
  </customSheetViews>
  <mergeCells count="1">
    <mergeCell ref="E7:E10"/>
  </mergeCells>
  <conditionalFormatting sqref="F8 F10:F12">
    <cfRule type="cellIs" dxfId="33" priority="313" operator="equal">
      <formula>0</formula>
    </cfRule>
  </conditionalFormatting>
  <conditionalFormatting sqref="E16">
    <cfRule type="cellIs" dxfId="32" priority="5" operator="notEqual">
      <formula>TAB4_TOTAL_RW</formula>
    </cfRule>
  </conditionalFormatting>
  <pageMargins left="0.19685039370078741" right="0.19685039370078741" top="0.39370078740157483" bottom="0.39370078740157483" header="0" footer="0"/>
  <pageSetup paperSize="9" scale="69" orientation="landscape" horizontalDpi="300" verticalDpi="300" r:id="rId2"/>
  <headerFooter>
    <oddHeader>&amp;F</oddHeader>
    <oddFooter>&amp;C&amp;A&amp;R&amp;P/&amp;N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C3">
    <tabColor rgb="FF33CCFF"/>
  </sheetPr>
  <dimension ref="B1:AZ61"/>
  <sheetViews>
    <sheetView showGridLines="0" topLeftCell="B1" zoomScaleNormal="100" zoomScaleSheetLayoutView="100" workbookViewId="0">
      <selection activeCell="G37" sqref="G37"/>
    </sheetView>
  </sheetViews>
  <sheetFormatPr baseColWidth="10" defaultColWidth="10.7109375" defaultRowHeight="15.75" x14ac:dyDescent="0.25"/>
  <cols>
    <col min="1" max="1" width="16.7109375" style="7" customWidth="1"/>
    <col min="2" max="2" width="17.28515625" style="7" customWidth="1"/>
    <col min="3" max="3" width="11.42578125" style="7" customWidth="1"/>
    <col min="4" max="4" width="11.7109375" style="7" customWidth="1"/>
    <col min="5" max="5" width="7.28515625" style="7" customWidth="1"/>
    <col min="6" max="6" width="12.28515625" style="7" customWidth="1"/>
    <col min="7" max="7" width="10.7109375" style="7" customWidth="1"/>
    <col min="8" max="8" width="11.7109375" style="7" customWidth="1"/>
    <col min="9" max="9" width="11.28515625" style="7" customWidth="1"/>
    <col min="10" max="10" width="8.28515625" style="7" customWidth="1"/>
    <col min="11" max="12" width="11.42578125" style="7"/>
    <col min="13" max="13" width="1.7109375" style="7"/>
    <col min="14" max="14" width="2.7109375" style="7" customWidth="1"/>
    <col min="15" max="25" width="1.7109375" style="7"/>
    <col min="26" max="26" width="1.7109375" style="51"/>
    <col min="27" max="28" width="1.7109375" style="51" customWidth="1"/>
    <col min="29" max="52" width="10.7109375" style="51"/>
    <col min="53" max="16384" width="10.7109375" style="7"/>
  </cols>
  <sheetData>
    <row r="1" spans="2:14" x14ac:dyDescent="0.25">
      <c r="B1" s="17"/>
      <c r="C1" s="17"/>
      <c r="D1" s="17"/>
      <c r="E1" s="17"/>
      <c r="F1" s="17"/>
      <c r="G1" s="17"/>
      <c r="H1" s="17"/>
      <c r="I1" s="18"/>
      <c r="J1" s="18" t="s">
        <v>114</v>
      </c>
    </row>
    <row r="2" spans="2:14" ht="10.5" customHeight="1" x14ac:dyDescent="0.25">
      <c r="B2" s="17"/>
      <c r="C2" s="17"/>
      <c r="D2" s="17"/>
      <c r="E2" s="17"/>
      <c r="F2" s="17"/>
      <c r="G2" s="17"/>
      <c r="H2" s="17"/>
      <c r="I2" s="18"/>
      <c r="J2" s="18" t="s">
        <v>115</v>
      </c>
    </row>
    <row r="3" spans="2:14" ht="6" customHeight="1" thickBot="1" x14ac:dyDescent="0.3">
      <c r="B3" s="17"/>
      <c r="C3" s="17"/>
      <c r="D3" s="17"/>
      <c r="E3" s="17"/>
      <c r="F3" s="17"/>
      <c r="G3" s="17"/>
      <c r="H3" s="17"/>
      <c r="I3" s="17"/>
      <c r="J3" s="19"/>
      <c r="M3" s="8"/>
      <c r="N3" s="8"/>
    </row>
    <row r="4" spans="2:14" ht="27" customHeight="1" thickTop="1" thickBot="1" x14ac:dyDescent="0.3">
      <c r="B4" s="447" t="s">
        <v>116</v>
      </c>
      <c r="C4" s="448"/>
      <c r="D4" s="448"/>
      <c r="E4" s="448"/>
      <c r="F4" s="448"/>
      <c r="G4" s="448"/>
      <c r="H4" s="448"/>
      <c r="I4" s="448"/>
      <c r="J4" s="449"/>
      <c r="K4" s="3"/>
      <c r="L4" s="3"/>
      <c r="M4" s="3"/>
    </row>
    <row r="5" spans="2:14" ht="6" hidden="1" customHeight="1" thickTop="1" x14ac:dyDescent="0.25">
      <c r="B5" s="20"/>
      <c r="C5" s="20"/>
      <c r="D5" s="20"/>
      <c r="E5" s="20"/>
      <c r="F5" s="20"/>
      <c r="G5" s="20"/>
      <c r="H5" s="20"/>
      <c r="I5" s="20"/>
      <c r="J5" s="19"/>
      <c r="K5" s="3"/>
      <c r="L5" s="3"/>
      <c r="M5" s="3"/>
    </row>
    <row r="6" spans="2:14" ht="17.25" customHeight="1" thickTop="1" x14ac:dyDescent="0.25">
      <c r="B6" s="16" t="s">
        <v>117</v>
      </c>
      <c r="C6" s="21"/>
      <c r="D6" s="21"/>
      <c r="E6" s="21"/>
      <c r="F6" s="21"/>
      <c r="G6" s="21"/>
      <c r="H6" s="21"/>
      <c r="I6" s="21"/>
      <c r="J6" s="19"/>
      <c r="K6" s="4"/>
      <c r="L6" s="4"/>
      <c r="M6" s="4"/>
    </row>
    <row r="7" spans="2:14" ht="15" customHeight="1" x14ac:dyDescent="0.25">
      <c r="B7" s="22" t="s">
        <v>118</v>
      </c>
      <c r="C7" s="451" t="str">
        <f>IF(Identification!B4="","",Identification!B4)</f>
        <v>Sélectionner Commune/Supra</v>
      </c>
      <c r="D7" s="452"/>
      <c r="E7" s="17"/>
      <c r="F7" s="23" t="s">
        <v>119</v>
      </c>
      <c r="G7" s="23" t="s">
        <v>120</v>
      </c>
      <c r="H7" s="17"/>
      <c r="I7" s="24" t="s">
        <v>121</v>
      </c>
      <c r="J7" s="17"/>
    </row>
    <row r="8" spans="2:14" ht="15" customHeight="1" x14ac:dyDescent="0.25">
      <c r="B8" s="22" t="s">
        <v>122</v>
      </c>
      <c r="C8" s="451" t="str">
        <f>IF(Identification!B14="","",Identification!B14)</f>
        <v>Veuillez sélectionner</v>
      </c>
      <c r="D8" s="452"/>
      <c r="E8" s="17"/>
      <c r="F8" s="17"/>
      <c r="G8" s="17"/>
      <c r="H8" s="24"/>
      <c r="I8" s="24"/>
      <c r="J8" s="17"/>
    </row>
    <row r="9" spans="2:14" ht="15" customHeight="1" x14ac:dyDescent="0.25">
      <c r="B9" s="25" t="s">
        <v>123</v>
      </c>
      <c r="C9" s="451" t="e">
        <f>IF(Identification!B5="","",Identification!B5)</f>
        <v>#N/A</v>
      </c>
      <c r="D9" s="452"/>
      <c r="E9" s="17"/>
      <c r="F9" s="17"/>
      <c r="G9" s="17"/>
      <c r="H9" s="26"/>
      <c r="I9" s="24"/>
      <c r="J9" s="17"/>
    </row>
    <row r="10" spans="2:14" ht="15" customHeight="1" x14ac:dyDescent="0.25">
      <c r="B10" s="25" t="str">
        <f>'Déclaration de créance'!A27</f>
        <v>IBAN :</v>
      </c>
      <c r="C10" s="451" t="e">
        <f>IF('Déclaration de créance'!B27="","",'Déclaration de créance'!B27)</f>
        <v>#N/A</v>
      </c>
      <c r="D10" s="452"/>
      <c r="E10" s="17"/>
      <c r="F10" s="22" t="s">
        <v>124</v>
      </c>
      <c r="G10" s="46" t="str">
        <f>IF(Identification!F16="","",Identification!F16)</f>
        <v/>
      </c>
      <c r="H10" s="27" t="s">
        <v>100</v>
      </c>
      <c r="I10" s="47" t="str">
        <f>IF(Identification!F17="","",Identification!F17)</f>
        <v/>
      </c>
      <c r="J10" s="17"/>
    </row>
    <row r="11" spans="2:14" ht="15" customHeight="1" x14ac:dyDescent="0.25">
      <c r="B11" s="25" t="str">
        <f>'Déclaration de créance'!A28</f>
        <v>BIC :</v>
      </c>
      <c r="C11" s="451">
        <f>IF('Déclaration de créance'!B28="","",'Déclaration de créance'!B28)</f>
        <v>0</v>
      </c>
      <c r="D11" s="452"/>
      <c r="E11" s="17"/>
      <c r="F11" s="28"/>
      <c r="G11" s="17"/>
      <c r="H11" s="17"/>
      <c r="I11" s="29"/>
      <c r="J11" s="17"/>
    </row>
    <row r="12" spans="2:14" ht="15" customHeight="1" x14ac:dyDescent="0.25">
      <c r="B12" s="25" t="s">
        <v>125</v>
      </c>
      <c r="C12" s="456">
        <f>IF('Déclaration de créance'!B29="","",'Déclaration de créance'!B29)</f>
        <v>0</v>
      </c>
      <c r="D12" s="457"/>
      <c r="E12" s="17"/>
      <c r="F12" s="459" t="s">
        <v>126</v>
      </c>
      <c r="G12" s="459"/>
      <c r="H12" s="459"/>
      <c r="I12" s="103">
        <f>DC_TOT_DECL</f>
        <v>0</v>
      </c>
    </row>
    <row r="13" spans="2:14" ht="15" customHeight="1" x14ac:dyDescent="0.25">
      <c r="B13" s="25" t="str">
        <f>'Déclaration de créance'!A30</f>
        <v>ouvert au nom de :</v>
      </c>
      <c r="C13" s="454">
        <f>IF('Déclaration de créance'!B30="","",'Déclaration de créance'!B30)</f>
        <v>0</v>
      </c>
      <c r="D13" s="454"/>
      <c r="E13" s="454"/>
      <c r="F13" s="17"/>
      <c r="G13" s="24"/>
      <c r="H13" s="24"/>
      <c r="I13" s="24"/>
      <c r="J13" s="17"/>
    </row>
    <row r="14" spans="2:14" ht="6" customHeight="1" x14ac:dyDescent="0.25">
      <c r="B14" s="29"/>
      <c r="C14" s="29"/>
      <c r="D14" s="17"/>
      <c r="E14" s="29"/>
      <c r="F14" s="17"/>
      <c r="G14" s="29"/>
      <c r="H14" s="17"/>
      <c r="I14" s="17"/>
      <c r="J14" s="17"/>
    </row>
    <row r="15" spans="2:14" ht="18.75" customHeight="1" x14ac:dyDescent="0.25">
      <c r="B15" s="29"/>
      <c r="C15" s="30" t="s">
        <v>127</v>
      </c>
      <c r="D15" s="30" t="s">
        <v>128</v>
      </c>
      <c r="F15" s="30"/>
      <c r="G15" s="30"/>
      <c r="H15" s="30"/>
      <c r="I15" s="30"/>
    </row>
    <row r="16" spans="2:14" ht="13.5" customHeight="1" x14ac:dyDescent="0.25">
      <c r="B16" s="22" t="s">
        <v>129</v>
      </c>
      <c r="C16" s="71" t="e">
        <f>Identification!B21</f>
        <v>#N/A</v>
      </c>
      <c r="D16" s="45" t="e">
        <f>IF(IDENTIF_VISA_CONV="","",IDENTIF_VISA_CONV)</f>
        <v>#N/A</v>
      </c>
    </row>
    <row r="17" spans="2:52" ht="15" customHeight="1" x14ac:dyDescent="0.25">
      <c r="B17" s="31"/>
      <c r="C17" s="31"/>
      <c r="D17" s="31"/>
      <c r="E17" s="31"/>
      <c r="F17" s="17"/>
      <c r="G17" s="31"/>
      <c r="H17" s="31"/>
      <c r="I17" s="31"/>
      <c r="J17" s="17"/>
    </row>
    <row r="18" spans="2:52" s="9" customFormat="1" ht="23.25" customHeight="1" x14ac:dyDescent="0.25">
      <c r="B18" s="22" t="s">
        <v>130</v>
      </c>
      <c r="C18" s="105"/>
      <c r="D18" s="106" t="s">
        <v>416</v>
      </c>
      <c r="E18" s="32"/>
      <c r="F18" s="22" t="s">
        <v>132</v>
      </c>
      <c r="G18" s="48"/>
      <c r="H18" s="27" t="s">
        <v>133</v>
      </c>
      <c r="I18" s="450"/>
      <c r="J18" s="450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2:52" s="9" customFormat="1" ht="23.25" customHeight="1" x14ac:dyDescent="0.25">
      <c r="B19" s="33" t="s">
        <v>134</v>
      </c>
      <c r="C19" s="440" t="s">
        <v>135</v>
      </c>
      <c r="D19" s="440"/>
      <c r="E19" s="32"/>
      <c r="F19" s="32"/>
      <c r="G19" s="32"/>
      <c r="H19" s="32"/>
      <c r="I19" s="28"/>
      <c r="J19" s="3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</row>
    <row r="20" spans="2:52" ht="9" customHeight="1" x14ac:dyDescent="0.25">
      <c r="B20" s="17"/>
      <c r="C20" s="17"/>
      <c r="D20" s="17"/>
      <c r="E20" s="17"/>
      <c r="F20" s="17"/>
      <c r="G20" s="17"/>
      <c r="H20" s="17"/>
      <c r="I20" s="17"/>
      <c r="J20" s="17"/>
    </row>
    <row r="21" spans="2:52" ht="19.5" customHeight="1" x14ac:dyDescent="0.25">
      <c r="B21" s="34" t="s">
        <v>136</v>
      </c>
      <c r="C21" s="35"/>
      <c r="D21" s="32"/>
      <c r="E21" s="32"/>
      <c r="F21" s="32"/>
      <c r="G21" s="32"/>
      <c r="H21" s="32"/>
      <c r="I21" s="32"/>
      <c r="J21" s="17"/>
    </row>
    <row r="22" spans="2:52" ht="13.5" customHeight="1" x14ac:dyDescent="0.25">
      <c r="B22" s="455" t="s">
        <v>137</v>
      </c>
      <c r="C22" s="455"/>
      <c r="D22" s="455"/>
      <c r="E22" s="455"/>
      <c r="F22" s="455"/>
      <c r="G22" s="455"/>
      <c r="H22" s="455"/>
      <c r="I22" s="455"/>
      <c r="J22" s="455"/>
    </row>
    <row r="23" spans="2:52" ht="15" customHeight="1" x14ac:dyDescent="0.25">
      <c r="B23" s="32"/>
      <c r="C23" s="32"/>
      <c r="D23" s="36" t="s">
        <v>138</v>
      </c>
      <c r="E23" s="17"/>
      <c r="F23" s="17"/>
      <c r="G23" s="17"/>
      <c r="H23" s="458"/>
      <c r="I23" s="458"/>
      <c r="J23" s="17"/>
    </row>
    <row r="24" spans="2:52" ht="22.5" customHeight="1" x14ac:dyDescent="0.25">
      <c r="B24" s="453" t="s">
        <v>139</v>
      </c>
      <c r="C24" s="453"/>
      <c r="D24" s="62"/>
      <c r="E24" s="17"/>
      <c r="F24" s="17"/>
      <c r="G24" s="17"/>
      <c r="H24" s="17"/>
      <c r="I24" s="17"/>
      <c r="J24" s="17"/>
    </row>
    <row r="25" spans="2:52" ht="35.25" customHeight="1" x14ac:dyDescent="0.25">
      <c r="B25" s="453" t="s">
        <v>140</v>
      </c>
      <c r="C25" s="453"/>
      <c r="D25" s="62"/>
      <c r="E25" s="37"/>
      <c r="F25" s="17"/>
      <c r="G25" s="17"/>
      <c r="H25" s="17"/>
      <c r="I25" s="17"/>
      <c r="J25" s="17"/>
    </row>
    <row r="26" spans="2:52" ht="27.75" customHeight="1" x14ac:dyDescent="0.25">
      <c r="B26" s="453" t="s">
        <v>141</v>
      </c>
      <c r="C26" s="453"/>
      <c r="D26" s="62"/>
      <c r="E26" s="17"/>
      <c r="F26" s="17"/>
      <c r="G26" s="17"/>
      <c r="H26" s="17"/>
      <c r="I26" s="17"/>
      <c r="J26" s="17"/>
    </row>
    <row r="27" spans="2:52" ht="3.75" customHeight="1" x14ac:dyDescent="0.25">
      <c r="B27" s="17"/>
      <c r="C27" s="17"/>
      <c r="D27" s="17"/>
      <c r="E27" s="17"/>
      <c r="F27" s="17"/>
      <c r="G27" s="17"/>
      <c r="H27" s="17"/>
      <c r="I27" s="32"/>
      <c r="J27" s="17"/>
    </row>
    <row r="28" spans="2:52" ht="3.75" customHeight="1" x14ac:dyDescent="0.25">
      <c r="B28" s="17"/>
      <c r="C28" s="17"/>
      <c r="D28" s="17"/>
      <c r="E28" s="17"/>
      <c r="F28" s="17"/>
      <c r="G28" s="17"/>
      <c r="H28" s="17"/>
      <c r="I28" s="32"/>
      <c r="J28" s="17"/>
    </row>
    <row r="29" spans="2:52" ht="4.5" customHeight="1" x14ac:dyDescent="0.25">
      <c r="B29" s="17"/>
      <c r="C29" s="17"/>
      <c r="D29" s="17"/>
      <c r="E29" s="17"/>
      <c r="F29" s="17"/>
      <c r="G29" s="17"/>
      <c r="H29" s="17"/>
      <c r="I29" s="32"/>
      <c r="J29" s="17"/>
    </row>
    <row r="30" spans="2:52" x14ac:dyDescent="0.25">
      <c r="B30" s="34" t="s">
        <v>142</v>
      </c>
      <c r="C30" s="32"/>
      <c r="D30" s="32"/>
      <c r="E30" s="32"/>
      <c r="F30" s="32"/>
      <c r="G30" s="32"/>
      <c r="H30" s="32"/>
      <c r="I30" s="32"/>
      <c r="J30" s="17"/>
    </row>
    <row r="31" spans="2:52" ht="58.5" customHeight="1" x14ac:dyDescent="0.25">
      <c r="B31" s="445" t="s">
        <v>143</v>
      </c>
      <c r="C31" s="445"/>
      <c r="D31" s="445"/>
      <c r="E31" s="38" t="s">
        <v>144</v>
      </c>
      <c r="F31" s="446" t="s">
        <v>145</v>
      </c>
      <c r="G31" s="446"/>
      <c r="H31" s="446"/>
      <c r="I31" s="446"/>
      <c r="J31" s="446"/>
    </row>
    <row r="32" spans="2:52" ht="5.25" customHeight="1" x14ac:dyDescent="0.25">
      <c r="B32" s="17"/>
      <c r="C32" s="17"/>
      <c r="D32" s="17"/>
      <c r="E32" s="17"/>
      <c r="F32" s="17"/>
      <c r="G32" s="17"/>
      <c r="H32" s="17"/>
      <c r="I32" s="17"/>
      <c r="J32" s="17"/>
    </row>
    <row r="33" spans="2:52" x14ac:dyDescent="0.25">
      <c r="B33" s="33" t="s">
        <v>146</v>
      </c>
      <c r="C33" s="450"/>
      <c r="D33" s="450"/>
      <c r="E33" s="450"/>
      <c r="F33" s="450"/>
      <c r="G33" s="450"/>
      <c r="H33" s="450"/>
      <c r="I33" s="450"/>
      <c r="J33" s="450"/>
    </row>
    <row r="34" spans="2:52" customFormat="1" ht="8.25" customHeight="1" x14ac:dyDescent="0.25">
      <c r="B34" s="17"/>
      <c r="C34" s="17"/>
      <c r="D34" s="17"/>
      <c r="E34" s="17"/>
      <c r="F34" s="17"/>
      <c r="G34" s="17"/>
      <c r="H34" s="17"/>
      <c r="I34" s="17"/>
      <c r="J34" s="17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2:52" customFormat="1" ht="15" x14ac:dyDescent="0.25">
      <c r="B35" s="39" t="s">
        <v>147</v>
      </c>
      <c r="C35" s="17"/>
      <c r="D35" s="17"/>
      <c r="E35" s="17"/>
      <c r="F35" s="39" t="s">
        <v>148</v>
      </c>
      <c r="G35" s="17"/>
      <c r="H35" s="17"/>
      <c r="I35" s="17"/>
      <c r="J35" s="17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2:52" ht="24" customHeight="1" x14ac:dyDescent="0.25">
      <c r="B36" s="40"/>
      <c r="C36" s="38" t="s">
        <v>149</v>
      </c>
      <c r="D36" s="441" t="s">
        <v>150</v>
      </c>
      <c r="E36" s="441"/>
      <c r="F36" s="17"/>
      <c r="G36" s="17"/>
      <c r="H36" s="17"/>
      <c r="I36" s="17"/>
      <c r="J36" s="17"/>
    </row>
    <row r="37" spans="2:52" ht="18.75" customHeight="1" x14ac:dyDescent="0.25">
      <c r="B37" s="41" t="s">
        <v>129</v>
      </c>
      <c r="C37" s="44" t="e">
        <f>IF(Identification!$B24="","",Identification!$B$24)</f>
        <v>#N/A</v>
      </c>
      <c r="D37" s="81" t="e">
        <f>SYNTH_MONTANT_LIQUIDE_2</f>
        <v>#NAME?</v>
      </c>
      <c r="E37" s="17"/>
      <c r="F37" s="42" t="s">
        <v>151</v>
      </c>
      <c r="G37" s="70" t="e">
        <f>SYNTH_SOLDE_SUBV</f>
        <v>#NAME?</v>
      </c>
      <c r="H37" s="49"/>
      <c r="I37" s="50"/>
      <c r="J37" s="17"/>
    </row>
    <row r="38" spans="2:52" ht="17.25" customHeight="1" x14ac:dyDescent="0.25">
      <c r="B38" s="17"/>
      <c r="C38" s="17"/>
      <c r="D38" s="61"/>
      <c r="E38" s="17"/>
      <c r="F38" s="441" t="s">
        <v>152</v>
      </c>
      <c r="G38" s="441"/>
      <c r="H38" s="441"/>
      <c r="I38" s="441"/>
      <c r="J38" s="441"/>
    </row>
    <row r="39" spans="2:52" ht="26.25" customHeight="1" x14ac:dyDescent="0.25">
      <c r="B39" s="444" t="s">
        <v>153</v>
      </c>
      <c r="C39" s="444"/>
      <c r="D39" s="69" t="e">
        <f>SYNTH_FR_JUSTIF_2</f>
        <v>#NAME?</v>
      </c>
      <c r="E39" s="17"/>
      <c r="F39" s="441"/>
      <c r="G39" s="441"/>
      <c r="H39" s="441"/>
      <c r="I39" s="441"/>
      <c r="J39" s="441"/>
    </row>
    <row r="40" spans="2:52" ht="2.25" customHeight="1" x14ac:dyDescent="0.25">
      <c r="B40" s="17"/>
      <c r="C40" s="32"/>
      <c r="D40" s="43"/>
      <c r="E40" s="17"/>
      <c r="F40" s="441"/>
      <c r="G40" s="441"/>
      <c r="H40" s="441"/>
      <c r="I40" s="441"/>
      <c r="J40" s="441"/>
    </row>
    <row r="41" spans="2:52" ht="2.25" customHeight="1" x14ac:dyDescent="0.25">
      <c r="B41" s="17"/>
      <c r="C41" s="17"/>
      <c r="D41" s="17"/>
      <c r="E41" s="17"/>
      <c r="F41" s="17"/>
      <c r="G41" s="17"/>
      <c r="H41" s="17"/>
      <c r="I41" s="17"/>
      <c r="J41" s="17"/>
    </row>
    <row r="42" spans="2:52" x14ac:dyDescent="0.25">
      <c r="B42" s="39" t="s">
        <v>154</v>
      </c>
      <c r="C42" s="32"/>
      <c r="D42" s="32"/>
      <c r="E42" s="32"/>
      <c r="F42" s="17"/>
      <c r="G42" s="17"/>
      <c r="H42" s="17"/>
      <c r="I42" s="17"/>
      <c r="J42" s="17"/>
    </row>
    <row r="43" spans="2:52" ht="18.75" customHeight="1" x14ac:dyDescent="0.25">
      <c r="B43" s="32" t="s">
        <v>155</v>
      </c>
      <c r="C43" s="17"/>
      <c r="D43" s="17"/>
      <c r="E43" s="17"/>
      <c r="F43" s="17"/>
      <c r="G43" s="17"/>
      <c r="H43" s="17"/>
      <c r="I43" s="17"/>
      <c r="J43" s="17"/>
    </row>
    <row r="44" spans="2:52" ht="24.75" customHeight="1" x14ac:dyDescent="0.25">
      <c r="B44" s="33" t="s">
        <v>156</v>
      </c>
      <c r="C44" s="443" t="str">
        <f>D18</f>
        <v xml:space="preserve">Gestionnaire  </v>
      </c>
      <c r="D44" s="443"/>
      <c r="E44" s="32"/>
      <c r="F44" s="37"/>
      <c r="G44" s="37" t="s">
        <v>157</v>
      </c>
      <c r="H44" s="17"/>
      <c r="I44" s="32"/>
      <c r="J44" s="17"/>
    </row>
    <row r="45" spans="2:52" ht="39" customHeight="1" x14ac:dyDescent="0.25">
      <c r="B45" s="33" t="s">
        <v>158</v>
      </c>
      <c r="C45" s="442"/>
      <c r="D45" s="442"/>
      <c r="E45" s="32"/>
      <c r="F45" s="32"/>
      <c r="G45" s="32"/>
      <c r="H45" s="32"/>
      <c r="I45" s="32"/>
      <c r="J45" s="17"/>
    </row>
    <row r="60" spans="2:52" s="10" customFormat="1" x14ac:dyDescent="0.25">
      <c r="B60" s="1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</row>
    <row r="61" spans="2:52" s="10" customFormat="1" x14ac:dyDescent="0.25">
      <c r="B61" s="1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</row>
  </sheetData>
  <sheetProtection sheet="1" formatColumns="0" formatRows="0"/>
  <customSheetViews>
    <customSheetView guid="{C3F58662-020B-4E56-B390-38D4A953D070}" fitToPage="1">
      <selection activeCell="I31" sqref="I31"/>
      <pageMargins left="0" right="0" top="0" bottom="0" header="0" footer="0"/>
      <printOptions horizontalCentered="1"/>
      <pageSetup paperSize="9" scale="69" orientation="portrait" horizontalDpi="0" verticalDpi="0" r:id="rId1"/>
      <headerFooter>
        <oddHeader>&amp;F</oddHeader>
        <oddFooter>&amp;C&amp;A &amp;P/&amp;N</oddFooter>
      </headerFooter>
    </customSheetView>
  </customSheetViews>
  <mergeCells count="24">
    <mergeCell ref="B4:J4"/>
    <mergeCell ref="C33:J33"/>
    <mergeCell ref="C10:D10"/>
    <mergeCell ref="B24:C24"/>
    <mergeCell ref="C13:E13"/>
    <mergeCell ref="C7:D7"/>
    <mergeCell ref="C8:D8"/>
    <mergeCell ref="B26:C26"/>
    <mergeCell ref="B25:C25"/>
    <mergeCell ref="B22:J22"/>
    <mergeCell ref="C11:D11"/>
    <mergeCell ref="C12:D12"/>
    <mergeCell ref="C9:D9"/>
    <mergeCell ref="H23:I23"/>
    <mergeCell ref="F12:H12"/>
    <mergeCell ref="I18:J18"/>
    <mergeCell ref="C19:D19"/>
    <mergeCell ref="F38:J40"/>
    <mergeCell ref="C45:D45"/>
    <mergeCell ref="C44:D44"/>
    <mergeCell ref="B39:C39"/>
    <mergeCell ref="B31:D31"/>
    <mergeCell ref="F31:J31"/>
    <mergeCell ref="D36:E36"/>
  </mergeCells>
  <dataValidations count="3">
    <dataValidation type="list" showInputMessage="1" showErrorMessage="1" sqref="C19" xr:uid="{00000000-0002-0000-0800-000000000000}">
      <formula1>LISTE_AG_COMPTA</formula1>
    </dataValidation>
    <dataValidation type="list" allowBlank="1" showInputMessage="1" showErrorMessage="1" sqref="C44:D44" xr:uid="{FF975B19-B222-4461-9F7F-90EED3418CCB}">
      <formula1>LISTE_AG_TECH</formula1>
    </dataValidation>
    <dataValidation type="list" allowBlank="1" showInputMessage="1" showErrorMessage="1" sqref="D18" xr:uid="{B37ED722-A58B-4487-A8DA-097835184E56}">
      <formula1>#REF!</formula1>
    </dataValidation>
  </dataValidations>
  <printOptions horizontalCentered="1" verticalCentered="1"/>
  <pageMargins left="0" right="0" top="0" bottom="0" header="0" footer="0"/>
  <pageSetup paperSize="9" scale="96" orientation="portrait" blackAndWhite="1" horizontalDpi="1200" verticalDpi="1200" r:id="rId2"/>
  <headerFooter scaleWithDoc="0">
    <oddHeader>&amp;C&amp;8&amp;A - &amp;F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7</xdr:col>
                    <xdr:colOff>57150</xdr:colOff>
                    <xdr:row>6</xdr:row>
                    <xdr:rowOff>19050</xdr:rowOff>
                  </from>
                  <to>
                    <xdr:col>7</xdr:col>
                    <xdr:colOff>361950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19050</xdr:rowOff>
                  </from>
                  <to>
                    <xdr:col>9</xdr:col>
                    <xdr:colOff>304800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142875</xdr:rowOff>
                  </from>
                  <to>
                    <xdr:col>1</xdr:col>
                    <xdr:colOff>304800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1</xdr:col>
                    <xdr:colOff>323850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266700</xdr:rowOff>
                  </from>
                  <to>
                    <xdr:col>1</xdr:col>
                    <xdr:colOff>323850</xdr:colOff>
                    <xdr:row>30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5</xdr:col>
                    <xdr:colOff>104775</xdr:colOff>
                    <xdr:row>30</xdr:row>
                    <xdr:rowOff>133350</xdr:rowOff>
                  </from>
                  <to>
                    <xdr:col>5</xdr:col>
                    <xdr:colOff>104775</xdr:colOff>
                    <xdr:row>30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1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28575</xdr:rowOff>
                  </from>
                  <to>
                    <xdr:col>1</xdr:col>
                    <xdr:colOff>323850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2" name="Check Box 18">
              <controlPr defaultSize="0" autoFill="0" autoLine="0" autoPict="0">
                <anchor moveWithCells="1">
                  <from>
                    <xdr:col>5</xdr:col>
                    <xdr:colOff>76200</xdr:colOff>
                    <xdr:row>30</xdr:row>
                    <xdr:rowOff>190500</xdr:rowOff>
                  </from>
                  <to>
                    <xdr:col>5</xdr:col>
                    <xdr:colOff>381000</xdr:colOff>
                    <xdr:row>30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_ORDO">
    <tabColor rgb="FF33CCFF"/>
  </sheetPr>
  <dimension ref="B1:P37"/>
  <sheetViews>
    <sheetView showGridLines="0" zoomScale="90" zoomScaleNormal="90" zoomScaleSheetLayoutView="90" workbookViewId="0">
      <selection activeCell="C7" sqref="C7"/>
    </sheetView>
  </sheetViews>
  <sheetFormatPr baseColWidth="10" defaultColWidth="10.7109375" defaultRowHeight="15" x14ac:dyDescent="0.25"/>
  <cols>
    <col min="1" max="1" width="0.42578125" customWidth="1"/>
    <col min="2" max="2" width="25.7109375" customWidth="1"/>
    <col min="3" max="18" width="14.28515625" customWidth="1"/>
  </cols>
  <sheetData>
    <row r="1" spans="2:16" ht="23.25" customHeight="1" x14ac:dyDescent="0.25">
      <c r="B1" s="460" t="s">
        <v>159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P1" s="2" t="s">
        <v>59</v>
      </c>
    </row>
    <row r="2" spans="2:16" ht="23.25" customHeight="1" thickBot="1" x14ac:dyDescent="0.3">
      <c r="B2" s="53"/>
      <c r="C2" s="54" t="s">
        <v>160</v>
      </c>
    </row>
    <row r="3" spans="2:16" ht="15" customHeight="1" x14ac:dyDescent="0.25">
      <c r="B3" s="55" t="s">
        <v>161</v>
      </c>
      <c r="C3" s="56" t="e">
        <f>IDENTIF_VISA_CONV</f>
        <v>#N/A</v>
      </c>
      <c r="P3" s="1" t="s">
        <v>162</v>
      </c>
    </row>
    <row r="4" spans="2:16" ht="15" customHeight="1" thickBot="1" x14ac:dyDescent="0.3">
      <c r="B4" s="57" t="s">
        <v>163</v>
      </c>
      <c r="C4" s="58" t="str">
        <f>Identification!B4</f>
        <v>Sélectionner Commune/Supra</v>
      </c>
      <c r="P4" s="1"/>
    </row>
    <row r="5" spans="2:16" ht="15" customHeight="1" thickBot="1" x14ac:dyDescent="0.3">
      <c r="B5" s="59" t="s">
        <v>164</v>
      </c>
      <c r="C5" s="74" t="e">
        <f>Identification!B21</f>
        <v>#N/A</v>
      </c>
      <c r="P5" s="1"/>
    </row>
    <row r="6" spans="2:16" ht="15" customHeight="1" x14ac:dyDescent="0.25">
      <c r="B6" s="55" t="s">
        <v>165</v>
      </c>
      <c r="C6" s="75" t="e">
        <f>Synthèse!E20</f>
        <v>#N/A</v>
      </c>
      <c r="P6" s="1"/>
    </row>
    <row r="7" spans="2:16" ht="15" customHeight="1" x14ac:dyDescent="0.25">
      <c r="B7" s="60" t="s">
        <v>166</v>
      </c>
      <c r="C7" s="76" t="e">
        <f>Synthèse!#REF!</f>
        <v>#REF!</v>
      </c>
      <c r="P7" s="1"/>
    </row>
    <row r="8" spans="2:16" ht="15" customHeight="1" x14ac:dyDescent="0.25">
      <c r="B8" s="60" t="s">
        <v>167</v>
      </c>
      <c r="C8" s="76" t="e">
        <f>Synthèse!#REF!</f>
        <v>#REF!</v>
      </c>
      <c r="P8" s="1"/>
    </row>
    <row r="11" spans="2:16" ht="9" customHeight="1" x14ac:dyDescent="0.25"/>
    <row r="12" spans="2:16" x14ac:dyDescent="0.25">
      <c r="B12" s="5"/>
      <c r="C12" s="5"/>
      <c r="D12" s="5"/>
      <c r="E12" s="5"/>
      <c r="F12" s="5"/>
      <c r="G12" s="5"/>
    </row>
    <row r="13" spans="2:16" x14ac:dyDescent="0.25">
      <c r="B13" s="5"/>
      <c r="C13" s="5"/>
      <c r="D13" s="5"/>
      <c r="E13" s="5"/>
      <c r="F13" s="5"/>
      <c r="G13" s="5"/>
    </row>
    <row r="14" spans="2:16" x14ac:dyDescent="0.25">
      <c r="B14" s="5"/>
      <c r="C14" s="5"/>
      <c r="D14" s="5"/>
    </row>
    <row r="15" spans="2:16" x14ac:dyDescent="0.25">
      <c r="B15" s="5"/>
      <c r="C15" s="5"/>
      <c r="D15" s="5"/>
    </row>
    <row r="16" spans="2:16" x14ac:dyDescent="0.25">
      <c r="B16" s="5"/>
      <c r="C16" s="5"/>
      <c r="D16" s="5"/>
    </row>
    <row r="17" spans="2:9" x14ac:dyDescent="0.25">
      <c r="B17" s="5"/>
      <c r="C17" s="5"/>
      <c r="D17" s="5"/>
      <c r="E17" s="5"/>
    </row>
    <row r="18" spans="2:9" x14ac:dyDescent="0.25">
      <c r="B18" s="5"/>
      <c r="C18" s="5"/>
      <c r="D18" s="5"/>
      <c r="E18" s="5"/>
    </row>
    <row r="19" spans="2:9" x14ac:dyDescent="0.25">
      <c r="B19" s="5"/>
      <c r="C19" s="5"/>
      <c r="D19" s="5"/>
      <c r="E19" s="5"/>
    </row>
    <row r="20" spans="2:9" x14ac:dyDescent="0.25">
      <c r="B20" s="5"/>
      <c r="C20" s="5"/>
      <c r="D20" s="5"/>
      <c r="E20" s="5"/>
    </row>
    <row r="21" spans="2:9" x14ac:dyDescent="0.25">
      <c r="B21" s="5"/>
      <c r="C21" s="5"/>
      <c r="D21" s="5"/>
      <c r="E21" s="5"/>
    </row>
    <row r="22" spans="2:9" x14ac:dyDescent="0.25">
      <c r="B22" s="5"/>
      <c r="C22" s="5"/>
      <c r="D22" s="5"/>
      <c r="E22" s="5"/>
    </row>
    <row r="23" spans="2:9" x14ac:dyDescent="0.25">
      <c r="B23" s="5"/>
      <c r="C23" s="5"/>
      <c r="D23" s="5"/>
      <c r="E23" s="5"/>
    </row>
    <row r="24" spans="2:9" x14ac:dyDescent="0.25">
      <c r="B24" s="5"/>
      <c r="C24" s="5"/>
      <c r="D24" s="5"/>
      <c r="E24" s="5"/>
    </row>
    <row r="25" spans="2:9" x14ac:dyDescent="0.25">
      <c r="B25" s="5"/>
      <c r="C25" s="5"/>
      <c r="D25" s="5"/>
      <c r="E25" s="5"/>
    </row>
    <row r="26" spans="2:9" x14ac:dyDescent="0.25">
      <c r="B26" s="5"/>
      <c r="C26" s="5"/>
      <c r="D26" s="5"/>
      <c r="E26" s="5"/>
    </row>
    <row r="27" spans="2:9" x14ac:dyDescent="0.25">
      <c r="B27" s="5"/>
      <c r="C27" s="5"/>
      <c r="D27" s="5"/>
      <c r="E27" s="5"/>
    </row>
    <row r="28" spans="2:9" x14ac:dyDescent="0.25">
      <c r="B28" s="5"/>
      <c r="C28" s="5"/>
      <c r="D28" s="5"/>
      <c r="E28" s="5"/>
    </row>
    <row r="29" spans="2:9" x14ac:dyDescent="0.25">
      <c r="B29" s="5"/>
      <c r="C29" s="5"/>
      <c r="D29" s="5"/>
      <c r="E29" s="5"/>
      <c r="I29" s="12"/>
    </row>
    <row r="30" spans="2:9" x14ac:dyDescent="0.25">
      <c r="B30" s="13">
        <v>40179</v>
      </c>
      <c r="C30" s="13">
        <v>40544</v>
      </c>
      <c r="D30" s="13">
        <v>42005</v>
      </c>
      <c r="E30" s="13">
        <v>42370</v>
      </c>
      <c r="F30" s="13">
        <v>42736</v>
      </c>
      <c r="G30" s="12"/>
      <c r="H30" s="12"/>
      <c r="I30" s="12"/>
    </row>
    <row r="31" spans="2:9" x14ac:dyDescent="0.25">
      <c r="B31" s="13">
        <v>40543</v>
      </c>
      <c r="C31" s="13">
        <v>40908</v>
      </c>
      <c r="D31" s="13">
        <v>42369</v>
      </c>
      <c r="E31" s="13">
        <v>42735</v>
      </c>
      <c r="F31" s="13">
        <v>43100</v>
      </c>
      <c r="G31" s="12"/>
      <c r="H31" s="12"/>
    </row>
    <row r="32" spans="2:9" x14ac:dyDescent="0.25">
      <c r="B32" s="5"/>
      <c r="C32" s="5"/>
      <c r="D32" s="5"/>
      <c r="E32" s="5"/>
    </row>
    <row r="33" spans="2:5" x14ac:dyDescent="0.25">
      <c r="B33" s="5"/>
      <c r="C33" s="5"/>
      <c r="D33" s="5"/>
      <c r="E33" s="5"/>
    </row>
    <row r="34" spans="2:5" x14ac:dyDescent="0.25">
      <c r="E34" s="5"/>
    </row>
    <row r="35" spans="2:5" x14ac:dyDescent="0.25">
      <c r="E35" s="5"/>
    </row>
    <row r="36" spans="2:5" x14ac:dyDescent="0.25">
      <c r="E36" s="5"/>
    </row>
    <row r="37" spans="2:5" x14ac:dyDescent="0.25">
      <c r="E37" s="5"/>
    </row>
  </sheetData>
  <sheetProtection sheet="1" formatColumns="0" formatRows="0"/>
  <customSheetViews>
    <customSheetView guid="{C3F58662-020B-4E56-B390-38D4A953D070}" scale="90" showGridLines="0">
      <selection activeCell="I31" sqref="I31"/>
      <pageMargins left="0" right="0" top="0" bottom="0" header="0" footer="0"/>
      <pageSetup paperSize="9" scale="85" orientation="landscape" horizontalDpi="0" verticalDpi="0" r:id="rId1"/>
    </customSheetView>
  </customSheetViews>
  <mergeCells count="1">
    <mergeCell ref="B1:L1"/>
  </mergeCells>
  <pageMargins left="0.19685039370078741" right="0.19685039370078741" top="0.74803149606299213" bottom="0.74803149606299213" header="0.31496062992125984" footer="0.31496062992125984"/>
  <pageSetup paperSize="9" scale="65" orientation="landscape" r:id="rId2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C5">
    <tabColor rgb="FF33CCFF"/>
  </sheetPr>
  <dimension ref="B1:J25"/>
  <sheetViews>
    <sheetView showGridLines="0" zoomScale="90" zoomScaleNormal="90" zoomScaleSheetLayoutView="100" workbookViewId="0">
      <selection activeCell="G18" sqref="G18"/>
    </sheetView>
  </sheetViews>
  <sheetFormatPr baseColWidth="10" defaultColWidth="11.42578125" defaultRowHeight="15" x14ac:dyDescent="0.25"/>
  <cols>
    <col min="1" max="1" width="1.5703125" customWidth="1"/>
    <col min="2" max="2" width="12" customWidth="1"/>
    <col min="7" max="7" width="13.28515625" customWidth="1"/>
  </cols>
  <sheetData>
    <row r="1" spans="2:10" ht="15.75" x14ac:dyDescent="0.25">
      <c r="B1" s="7"/>
      <c r="C1" s="17"/>
      <c r="D1" s="17"/>
      <c r="E1" s="17"/>
      <c r="F1" s="17"/>
      <c r="G1" s="17"/>
      <c r="H1" s="17"/>
      <c r="I1" s="17"/>
      <c r="J1" s="18" t="s">
        <v>114</v>
      </c>
    </row>
    <row r="2" spans="2:10" ht="15.75" x14ac:dyDescent="0.25">
      <c r="B2" s="7"/>
      <c r="C2" s="17"/>
      <c r="D2" s="17"/>
      <c r="E2" s="17"/>
      <c r="F2" s="17"/>
      <c r="G2" s="17"/>
      <c r="H2" s="17"/>
      <c r="I2" s="17"/>
      <c r="J2" s="18" t="s">
        <v>115</v>
      </c>
    </row>
    <row r="3" spans="2:10" ht="16.5" thickBot="1" x14ac:dyDescent="0.3">
      <c r="B3" s="7"/>
      <c r="C3" s="17"/>
      <c r="D3" s="17"/>
      <c r="E3" s="17"/>
      <c r="F3" s="17"/>
      <c r="G3" s="17"/>
      <c r="H3" s="17"/>
      <c r="I3" s="17"/>
      <c r="J3" s="17"/>
    </row>
    <row r="4" spans="2:10" ht="17.25" thickTop="1" thickBot="1" x14ac:dyDescent="0.3">
      <c r="B4" s="465" t="s">
        <v>168</v>
      </c>
      <c r="C4" s="466"/>
      <c r="D4" s="466"/>
      <c r="E4" s="466"/>
      <c r="F4" s="466"/>
      <c r="G4" s="466"/>
      <c r="H4" s="466"/>
      <c r="I4" s="466"/>
      <c r="J4" s="467"/>
    </row>
    <row r="5" spans="2:10" ht="16.5" thickTop="1" x14ac:dyDescent="0.25">
      <c r="B5" s="7"/>
      <c r="C5" s="20"/>
      <c r="D5" s="20"/>
      <c r="E5" s="20"/>
      <c r="F5" s="20"/>
      <c r="G5" s="20"/>
      <c r="H5" s="20"/>
      <c r="I5" s="20"/>
      <c r="J5" s="20"/>
    </row>
    <row r="6" spans="2:10" ht="15.75" x14ac:dyDescent="0.25">
      <c r="B6" s="7"/>
      <c r="C6" s="16"/>
      <c r="D6" s="21"/>
      <c r="E6" s="21"/>
      <c r="F6" s="21"/>
      <c r="G6" s="21"/>
      <c r="H6" s="21"/>
      <c r="I6" s="21"/>
      <c r="J6" s="21"/>
    </row>
    <row r="7" spans="2:10" ht="24" x14ac:dyDescent="0.25">
      <c r="B7" t="s">
        <v>118</v>
      </c>
      <c r="C7" s="6"/>
      <c r="D7" s="73" t="str">
        <f>IF(Identification!B4="","",Identification!B4)</f>
        <v>Sélectionner Commune/Supra</v>
      </c>
      <c r="E7" s="72"/>
      <c r="F7" s="17"/>
      <c r="G7" s="23"/>
      <c r="H7" s="23"/>
      <c r="I7" s="17"/>
      <c r="J7" s="24"/>
    </row>
    <row r="8" spans="2:10" x14ac:dyDescent="0.25">
      <c r="B8" s="468" t="s">
        <v>122</v>
      </c>
      <c r="C8" s="469"/>
      <c r="D8" s="73" t="str">
        <f>IF(Identification!B14="","",Identification!B14)</f>
        <v>Veuillez sélectionner</v>
      </c>
      <c r="E8" s="72"/>
      <c r="F8" s="17"/>
      <c r="G8" s="17"/>
      <c r="H8" s="17"/>
      <c r="I8" s="24"/>
      <c r="J8" s="24"/>
    </row>
    <row r="10" spans="2:10" x14ac:dyDescent="0.25">
      <c r="B10" s="29"/>
      <c r="C10" s="30" t="s">
        <v>127</v>
      </c>
      <c r="D10" s="65" t="s">
        <v>128</v>
      </c>
      <c r="F10" s="30"/>
      <c r="G10" s="30"/>
      <c r="H10" s="30"/>
      <c r="I10" s="30"/>
    </row>
    <row r="11" spans="2:10" ht="18.75" customHeight="1" x14ac:dyDescent="0.25">
      <c r="B11" s="68" t="s">
        <v>129</v>
      </c>
      <c r="C11" s="71" t="e">
        <f>Identification!B21</f>
        <v>#N/A</v>
      </c>
      <c r="D11" s="64" t="e">
        <f>IDENTIF_VISA_CONV</f>
        <v>#N/A</v>
      </c>
      <c r="F11" s="17"/>
      <c r="G11" s="17"/>
      <c r="H11" s="17"/>
      <c r="I11" s="17"/>
      <c r="J11" s="17"/>
    </row>
    <row r="13" spans="2:10" ht="30.75" customHeight="1" x14ac:dyDescent="0.25">
      <c r="B13" s="462" t="s">
        <v>425</v>
      </c>
      <c r="C13" s="462"/>
      <c r="D13" s="462"/>
      <c r="E13" s="462"/>
      <c r="F13" s="462"/>
      <c r="G13" s="462"/>
      <c r="H13" s="462"/>
      <c r="I13" s="462"/>
      <c r="J13" s="462"/>
    </row>
    <row r="14" spans="2:10" x14ac:dyDescent="0.25">
      <c r="B14" s="67" t="s">
        <v>426</v>
      </c>
      <c r="D14" s="77"/>
      <c r="E14" s="78"/>
      <c r="F14" t="s">
        <v>169</v>
      </c>
    </row>
    <row r="17" spans="2:9" x14ac:dyDescent="0.25">
      <c r="F17" s="67" t="s">
        <v>170</v>
      </c>
      <c r="G17" s="79" t="e">
        <f>Synthèse!#REF!</f>
        <v>#REF!</v>
      </c>
      <c r="H17" s="66"/>
    </row>
    <row r="18" spans="2:9" x14ac:dyDescent="0.25">
      <c r="F18" s="67" t="s">
        <v>171</v>
      </c>
      <c r="G18" s="79" t="e">
        <f>SYNTH_SOLDE_SUBV</f>
        <v>#NAME?</v>
      </c>
      <c r="H18" s="66"/>
      <c r="I18" t="s">
        <v>172</v>
      </c>
    </row>
    <row r="19" spans="2:9" x14ac:dyDescent="0.25">
      <c r="F19" s="67" t="s">
        <v>171</v>
      </c>
      <c r="G19" s="79" t="e">
        <f>SYNTH_FR_NON_JUSTIF</f>
        <v>#NAME?</v>
      </c>
      <c r="H19" s="66"/>
      <c r="I19" t="s">
        <v>173</v>
      </c>
    </row>
    <row r="22" spans="2:9" x14ac:dyDescent="0.25">
      <c r="B22" s="63" t="s">
        <v>156</v>
      </c>
      <c r="D22" s="470" t="str">
        <f>IF('C3'!C44="","",'C3'!C44)</f>
        <v xml:space="preserve">Gestionnaire  </v>
      </c>
      <c r="E22" s="471"/>
    </row>
    <row r="23" spans="2:9" ht="39" customHeight="1" x14ac:dyDescent="0.25">
      <c r="B23" s="63" t="s">
        <v>174</v>
      </c>
      <c r="D23" s="463"/>
      <c r="E23" s="464"/>
    </row>
    <row r="24" spans="2:9" ht="24" customHeight="1" x14ac:dyDescent="0.25"/>
    <row r="25" spans="2:9" x14ac:dyDescent="0.25">
      <c r="B25" s="63" t="s">
        <v>175</v>
      </c>
      <c r="D25" s="463"/>
      <c r="E25" s="464"/>
    </row>
  </sheetData>
  <sheetProtection sheet="1" objects="1" scenarios="1"/>
  <mergeCells count="6">
    <mergeCell ref="B13:J13"/>
    <mergeCell ref="D23:E23"/>
    <mergeCell ref="D25:E25"/>
    <mergeCell ref="B4:J4"/>
    <mergeCell ref="B8:C8"/>
    <mergeCell ref="D22:E22"/>
  </mergeCells>
  <pageMargins left="0.7" right="0.7" top="0.75" bottom="0.75" header="0.3" footer="0.3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Button 1">
              <controlPr defaultSize="0" print="0" autoFill="0" autoPict="0" macro="[0]!exportpdf_C5">
                <anchor moveWithCells="1" sizeWithCells="1">
                  <from>
                    <xdr:col>1</xdr:col>
                    <xdr:colOff>209550</xdr:colOff>
                    <xdr:row>26</xdr:row>
                    <xdr:rowOff>133350</xdr:rowOff>
                  </from>
                  <to>
                    <xdr:col>5</xdr:col>
                    <xdr:colOff>19050</xdr:colOff>
                    <xdr:row>29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9A65A2DD5DF44A80A654981849549B" ma:contentTypeVersion="18" ma:contentTypeDescription="Crée un document." ma:contentTypeScope="" ma:versionID="28e23cc3a681c515576c43da351f9e13">
  <xsd:schema xmlns:xsd="http://www.w3.org/2001/XMLSchema" xmlns:xs="http://www.w3.org/2001/XMLSchema" xmlns:p="http://schemas.microsoft.com/office/2006/metadata/properties" xmlns:ns2="c1a3df3e-33cb-4260-8132-609fc1ecef07" xmlns:ns3="db7435c9-3aa2-4ddd-a3fd-7413ce4a853b" targetNamespace="http://schemas.microsoft.com/office/2006/metadata/properties" ma:root="true" ma:fieldsID="d30dcce89bba5ce87255e50c83a74176" ns2:_="" ns3:_="">
    <xsd:import namespace="c1a3df3e-33cb-4260-8132-609fc1ecef07"/>
    <xsd:import namespace="db7435c9-3aa2-4ddd-a3fd-7413ce4a8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3df3e-33cb-4260-8132-609fc1ece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435c9-3aa2-4ddd-a3fd-7413ce4a853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8778c9c-666d-4ff1-a670-db9690eff8b8}" ma:internalName="TaxCatchAll" ma:showField="CatchAllData" ma:web="db7435c9-3aa2-4ddd-a3fd-7413ce4a85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a3df3e-33cb-4260-8132-609fc1ecef07">
      <Terms xmlns="http://schemas.microsoft.com/office/infopath/2007/PartnerControls"/>
    </lcf76f155ced4ddcb4097134ff3c332f>
    <TaxCatchAll xmlns="db7435c9-3aa2-4ddd-a3fd-7413ce4a853b" xsi:nil="true"/>
  </documentManagement>
</p:properties>
</file>

<file path=customXml/itemProps1.xml><?xml version="1.0" encoding="utf-8"?>
<ds:datastoreItem xmlns:ds="http://schemas.openxmlformats.org/officeDocument/2006/customXml" ds:itemID="{4A07C846-057A-4351-A773-4C8E877715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3DE5C-AB25-429C-B042-47D04F2A6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3df3e-33cb-4260-8132-609fc1ecef07"/>
    <ds:schemaRef ds:uri="db7435c9-3aa2-4ddd-a3fd-7413ce4a8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6BE80B-17BF-4683-9231-F9B3439CA542}">
  <ds:schemaRefs>
    <ds:schemaRef ds:uri="c1a3df3e-33cb-4260-8132-609fc1ecef07"/>
    <ds:schemaRef ds:uri="http://www.w3.org/XML/1998/namespace"/>
    <ds:schemaRef ds:uri="db7435c9-3aa2-4ddd-a3fd-7413ce4a853b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90</vt:i4>
      </vt:variant>
    </vt:vector>
  </HeadingPairs>
  <TitlesOfParts>
    <vt:vector size="103" baseType="lpstr">
      <vt:lpstr>INFOS</vt:lpstr>
      <vt:lpstr>Identification</vt:lpstr>
      <vt:lpstr>Frais de personnel</vt:lpstr>
      <vt:lpstr>Sous-traitance</vt:lpstr>
      <vt:lpstr>Déclaration de créance</vt:lpstr>
      <vt:lpstr>Synthèse</vt:lpstr>
      <vt:lpstr>C3</vt:lpstr>
      <vt:lpstr>Plan ord.</vt:lpstr>
      <vt:lpstr>C5</vt:lpstr>
      <vt:lpstr>PUBLI</vt:lpstr>
      <vt:lpstr>5-Synthèse_SPW</vt:lpstr>
      <vt:lpstr>infos bénéficiaires</vt:lpstr>
      <vt:lpstr>LISTE</vt:lpstr>
      <vt:lpstr>'infos bénéficiaires'!BENEFICIAIRE</vt:lpstr>
      <vt:lpstr>DATE_DEB_CONV</vt:lpstr>
      <vt:lpstr>DATE_FIN_CONV</vt:lpstr>
      <vt:lpstr>DC_N°</vt:lpstr>
      <vt:lpstr>DC_TOT_DECL</vt:lpstr>
      <vt:lpstr>ETP</vt:lpstr>
      <vt:lpstr>F_FONCT</vt:lpstr>
      <vt:lpstr>GT</vt:lpstr>
      <vt:lpstr>IDENTIF_ADRESSE_LOC</vt:lpstr>
      <vt:lpstr>IDENTIF_AGT_CIV</vt:lpstr>
      <vt:lpstr>IDENTIF_AGT_EMAIL</vt:lpstr>
      <vt:lpstr>IDENTIF_AGT_NOM</vt:lpstr>
      <vt:lpstr>IDENTIF_AGT_SERVICE</vt:lpstr>
      <vt:lpstr>IDENTIF_AGT_TEL</vt:lpstr>
      <vt:lpstr>IDENTIF_BCE</vt:lpstr>
      <vt:lpstr>IDENTIF_BUDG_AB_CONV</vt:lpstr>
      <vt:lpstr>IDENTIF_BUDG_PROGRAMME_CONV</vt:lpstr>
      <vt:lpstr>IDENTIF_COMPTE_BIC</vt:lpstr>
      <vt:lpstr>IDENTIF_COMPTE_COM</vt:lpstr>
      <vt:lpstr>IDENTIF_COMPTE_N°IBAN</vt:lpstr>
      <vt:lpstr>IDENTIF_COMPTE_OUVERT_NOM_DE</vt:lpstr>
      <vt:lpstr>IDENTIF_DEB_DC</vt:lpstr>
      <vt:lpstr>IDENTIF_FIN_DC</vt:lpstr>
      <vt:lpstr>IDENTIF_LEGALE</vt:lpstr>
      <vt:lpstr>IDENTIF_MONTANT_SUBSIDE</vt:lpstr>
      <vt:lpstr>IDENTIF_NOM_REQUERANT</vt:lpstr>
      <vt:lpstr>IDENTIF_REF_PROJET</vt:lpstr>
      <vt:lpstr>IDENTIF_TAUX_DE_FINANCEMENT</vt:lpstr>
      <vt:lpstr>IDENTIF_TH_PROJET</vt:lpstr>
      <vt:lpstr>IDENTIF_VISA_CONV</vt:lpstr>
      <vt:lpstr>'5-Synthèse_SPW'!l_ri_rf</vt:lpstr>
      <vt:lpstr>l_ri_rf</vt:lpstr>
      <vt:lpstr>'5-Synthèse_SPW'!l_thematiques</vt:lpstr>
      <vt:lpstr>l_thematiques</vt:lpstr>
      <vt:lpstr>LISTE!LISTE_AG_TECH</vt:lpstr>
      <vt:lpstr>LISTE!LISTE_CIV</vt:lpstr>
      <vt:lpstr>LISTE!LISTE_EMAIL_GT</vt:lpstr>
      <vt:lpstr>LISTE!LISTE_MOIS</vt:lpstr>
      <vt:lpstr>LISTE_N_DC</vt:lpstr>
      <vt:lpstr>LISTE!LISTE_OUI_NON</vt:lpstr>
      <vt:lpstr>LISTE_PERSO</vt:lpstr>
      <vt:lpstr>LISTE!LISTE_RUBRIQUE_FONCT_NV</vt:lpstr>
      <vt:lpstr>LISTE!LISTE_TVA</vt:lpstr>
      <vt:lpstr>LISTE!LISTE_V_S</vt:lpstr>
      <vt:lpstr>MONTANT_DC_C3_FONDS_ROULEMENT_JUSTIFIE</vt:lpstr>
      <vt:lpstr>MONTANT_DC_C3_SOLDE_DESENGAGE</vt:lpstr>
      <vt:lpstr>MONTANT_DC_C3_TOT_LIQUIDE</vt:lpstr>
      <vt:lpstr>MONTANT_TOT_PERSO_ACC</vt:lpstr>
      <vt:lpstr>MONTANT_TOT_PERSO_DECL</vt:lpstr>
      <vt:lpstr>MONTANT_TOT_SSTRAIT_ACC</vt:lpstr>
      <vt:lpstr>MONTANT_TOT_SSTRAIT_DECL</vt:lpstr>
      <vt:lpstr>Rubrique_INV</vt:lpstr>
      <vt:lpstr>Rubrique_MOB</vt:lpstr>
      <vt:lpstr>SYNT_A_REMBOURSER</vt:lpstr>
      <vt:lpstr>'5-Synthèse_SPW'!SYNT_BUDGET_100</vt:lpstr>
      <vt:lpstr>SYNT_BUDGET_100</vt:lpstr>
      <vt:lpstr>'5-Synthèse_SPW'!SYNT_FR_OLD</vt:lpstr>
      <vt:lpstr>'5-Synthèse_SPW'!SYNT_MONTANT_TOT_LIQUIDE</vt:lpstr>
      <vt:lpstr>'5-Synthèse_SPW'!SYNTH_ACC_2_100</vt:lpstr>
      <vt:lpstr>'5-Synthèse_SPW'!SYNTH_DECL_2_100</vt:lpstr>
      <vt:lpstr>SYNTH_DECL_2_100</vt:lpstr>
      <vt:lpstr>'5-Synthèse_SPW'!SYNTH_DIFF_2</vt:lpstr>
      <vt:lpstr>'5-Synthèse_SPW'!SYNTH_FR</vt:lpstr>
      <vt:lpstr>SYNTH_FR</vt:lpstr>
      <vt:lpstr>'5-Synthèse_SPW'!SYNTH_FR_JUSTIF_2</vt:lpstr>
      <vt:lpstr>'5-Synthèse_SPW'!SYNTH_FR_NON_JUSTIF</vt:lpstr>
      <vt:lpstr>'5-Synthèse_SPW'!SYNTH_MONTANT_LIQUIDE_2</vt:lpstr>
      <vt:lpstr>'5-Synthèse_SPW'!SYNTH_Montant_liquidé_OLD</vt:lpstr>
      <vt:lpstr>'5-Synthèse_SPW'!SYNTH_PERSO_ACC_2</vt:lpstr>
      <vt:lpstr>'5-Synthèse_SPW'!SYNTH_PERSO_DECL_2</vt:lpstr>
      <vt:lpstr>SYNTH_PERSO_DECL_2</vt:lpstr>
      <vt:lpstr>'5-Synthèse_SPW'!SYNTH_SOLDE_SUBV</vt:lpstr>
      <vt:lpstr>'5-Synthèse_SPW'!SYNTH_SST_ACC_2</vt:lpstr>
      <vt:lpstr>'5-Synthèse_SPW'!SYNTH_SST_DECL_2</vt:lpstr>
      <vt:lpstr>SYNTH_SST_DECL_2</vt:lpstr>
      <vt:lpstr>'5-Synthèse_SPW'!SYNTH_SUBSIDE</vt:lpstr>
      <vt:lpstr>SYNTH_SUBSIDE</vt:lpstr>
      <vt:lpstr>'5-Synthèse_SPW'!SYNTH_TOT_DC_ACC_2</vt:lpstr>
      <vt:lpstr>'5-Synthèse_SPW'!SYNTH_TOT_DC_DECL_2</vt:lpstr>
      <vt:lpstr>SYNTH_TOT_DC_DECL_2</vt:lpstr>
      <vt:lpstr>TVA</vt:lpstr>
      <vt:lpstr>VOS_REF</vt:lpstr>
      <vt:lpstr>'5-Synthèse_SPW'!Zone_d_impression</vt:lpstr>
      <vt:lpstr>'C3'!Zone_d_impression</vt:lpstr>
      <vt:lpstr>'C5'!Zone_d_impression</vt:lpstr>
      <vt:lpstr>'Déclaration de créance'!Zone_d_impression</vt:lpstr>
      <vt:lpstr>'Frais de personnel'!Zone_d_impression</vt:lpstr>
      <vt:lpstr>Identification!Zone_d_impression</vt:lpstr>
      <vt:lpstr>'Plan ord.'!Zone_d_impression</vt:lpstr>
      <vt:lpstr>Synthèse!Zone_d_impression</vt:lpstr>
    </vt:vector>
  </TitlesOfParts>
  <Manager/>
  <Company>Service Public Wallon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135432</dc:creator>
  <cp:keywords/>
  <dc:description/>
  <cp:lastModifiedBy>S. Piccirilli</cp:lastModifiedBy>
  <cp:revision/>
  <dcterms:created xsi:type="dcterms:W3CDTF">2013-02-14T10:32:48Z</dcterms:created>
  <dcterms:modified xsi:type="dcterms:W3CDTF">2024-02-28T15:22:11Z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0x010100559A65A2DD5DF44A80A654981849549B</vt:lpwstr>
  </property>
  <property fmtid="{D5CDD505-2E9C-101B-9397-08002B2CF9AE}" pid="3" name="MediaServiceImageTags">
    <vt:lpwstr/>
  </property>
  <property fmtid="{D5CDD505-2E9C-101B-9397-08002B2CF9AE}" pid="4" name="MSIP_Label_8903f633-4a78-4eed-bb49-365e45b1f3e8_Enabled">
    <vt:lpwstr>true</vt:lpwstr>
  </property>
  <property fmtid="{D5CDD505-2E9C-101B-9397-08002B2CF9AE}" pid="5" name="MSIP_Label_8903f633-4a78-4eed-bb49-365e45b1f3e8_SetDate">
    <vt:lpwstr>2023-08-31T13:14:12Z</vt:lpwstr>
  </property>
  <property fmtid="{D5CDD505-2E9C-101B-9397-08002B2CF9AE}" pid="6" name="MSIP_Label_8903f633-4a78-4eed-bb49-365e45b1f3e8_Method">
    <vt:lpwstr>Privileged</vt:lpwstr>
  </property>
  <property fmtid="{D5CDD505-2E9C-101B-9397-08002B2CF9AE}" pid="7" name="MSIP_Label_8903f633-4a78-4eed-bb49-365e45b1f3e8_Name">
    <vt:lpwstr>8903f633-4a78-4eed-bb49-365e45b1f3e8</vt:lpwstr>
  </property>
  <property fmtid="{D5CDD505-2E9C-101B-9397-08002B2CF9AE}" pid="8" name="MSIP_Label_8903f633-4a78-4eed-bb49-365e45b1f3e8_SiteId">
    <vt:lpwstr>1f816a84-7aa6-4a56-b22a-7b3452fa8681</vt:lpwstr>
  </property>
  <property fmtid="{D5CDD505-2E9C-101B-9397-08002B2CF9AE}" pid="9" name="MSIP_Label_8903f633-4a78-4eed-bb49-365e45b1f3e8_ActionId">
    <vt:lpwstr>629f8c54-5f80-4c38-80b0-02010e387a71</vt:lpwstr>
  </property>
  <property fmtid="{D5CDD505-2E9C-101B-9397-08002B2CF9AE}" pid="10" name="MSIP_Label_8903f633-4a78-4eed-bb49-365e45b1f3e8_ContentBits">
    <vt:lpwstr>0</vt:lpwstr>
  </property>
</Properties>
</file>