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walloniegov.sharepoint.com/sites/AGWAMURE-RvisionAMURE/Documents partages/AMUREBA - Soutien unifié aux audits et études/Step 3. Révision Méthodo/1_documents publiés/docs en cours finalisation/"/>
    </mc:Choice>
  </mc:AlternateContent>
  <xr:revisionPtr revIDLastSave="740" documentId="8_{EC3E3EFF-F358-4936-8D3D-1954723A8A30}" xr6:coauthVersionLast="47" xr6:coauthVersionMax="47" xr10:uidLastSave="{2D828FCC-7E28-4773-8ECB-30D8C3033183}"/>
  <bookViews>
    <workbookView xWindow="-25320" yWindow="-3495" windowWidth="25440" windowHeight="15270" tabRatio="791" activeTab="4" xr2:uid="{00000000-000D-0000-FFFF-FFFF00000000}"/>
  </bookViews>
  <sheets>
    <sheet name="Entête" sheetId="44" r:id="rId1"/>
    <sheet name="Paramètres" sheetId="17" r:id="rId2"/>
    <sheet name="2023" sheetId="83" r:id="rId3"/>
    <sheet name="PA" sheetId="79" r:id="rId4"/>
    <sheet name="AA1" sheetId="81" r:id="rId5"/>
  </sheets>
  <externalReferences>
    <externalReference r:id="rId6"/>
  </externalReferences>
  <definedNames>
    <definedName name="_xlnm._FilterDatabase" localSheetId="3" hidden="1">PA!$B$4:$K$13</definedName>
    <definedName name="_xlnm.Database">#REF!</definedName>
    <definedName name="EE">#REF!</definedName>
    <definedName name="EFF">#REF!</definedName>
    <definedName name="Efficacité_énergétique">#REF!</definedName>
    <definedName name="ENR">#REF!</definedName>
    <definedName name="GrondLambda">[1]Constantes0!$B$2</definedName>
    <definedName name="GrondwaterfactorGw">[1]Constantes0!$B$3</definedName>
    <definedName name="_xlnm.Print_Titles" localSheetId="3">PA!$A:$B,PA!$1:$3</definedName>
    <definedName name="_xlnm.Print_Titles">#REF!</definedName>
    <definedName name="ListeSecteur">#REF!</definedName>
    <definedName name="Poste">Paramètres!$A$27:$A$29</definedName>
    <definedName name="SECT">#REF!</definedName>
    <definedName name="Secteur">#REF!,#REF!,#REF!</definedName>
    <definedName name="table">[1]Constantes!$A$8:$A$9</definedName>
    <definedName name="TCONSCh">#REF!</definedName>
    <definedName name="TCONSFd">#REF!</definedName>
    <definedName name="Touinon">[1]Constantes!$A$8:$B$9</definedName>
    <definedName name="WeerstandRse">[1]Constantes0!$B$5</definedName>
    <definedName name="WeerstandRsi">[1]Constantes0!$B$4</definedName>
    <definedName name="_xlnm.Print_Area" localSheetId="4">'AA1'!$A$1:$G$70</definedName>
    <definedName name="_xlnm.Print_Area" localSheetId="0">Entête!$A$1:$F$27</definedName>
    <definedName name="_xlnm.Print_Area" localSheetId="3">PA!$B$1:$K$13</definedName>
  </definedNames>
  <calcPr calcId="191029" concurrentCalc="0"/>
  <pivotCaches>
    <pivotCache cacheId="0" r:id="rId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0" i="83" l="1"/>
  <c r="G20" i="83"/>
  <c r="H31" i="83"/>
  <c r="H30" i="83"/>
  <c r="G31" i="83"/>
  <c r="G30" i="83"/>
  <c r="AQ13" i="83"/>
  <c r="AQ12" i="83"/>
  <c r="AQ10" i="83"/>
  <c r="AQ9" i="83"/>
  <c r="AQ7" i="83"/>
  <c r="AQ6" i="83"/>
  <c r="AQ18" i="83"/>
  <c r="AQ3" i="83"/>
  <c r="AS8" i="83"/>
  <c r="AS9" i="83"/>
  <c r="AS10" i="83"/>
  <c r="AS11" i="83"/>
  <c r="AS12" i="83"/>
  <c r="AS13" i="83"/>
  <c r="I17" i="83"/>
  <c r="I25" i="83"/>
  <c r="G38" i="83"/>
  <c r="F25" i="83"/>
  <c r="E25" i="83"/>
  <c r="A7" i="83"/>
  <c r="A9" i="83"/>
  <c r="A10" i="83"/>
  <c r="A12" i="83"/>
  <c r="A13" i="83"/>
  <c r="A15" i="83"/>
  <c r="A16" i="83"/>
  <c r="AQ17" i="83"/>
  <c r="G36" i="83"/>
  <c r="G17" i="83"/>
  <c r="F33" i="83"/>
  <c r="A33" i="83"/>
  <c r="F28" i="83"/>
  <c r="E28" i="83"/>
  <c r="D28" i="83"/>
  <c r="C28" i="83"/>
  <c r="E17" i="83"/>
  <c r="F48" i="81"/>
  <c r="E21" i="81"/>
  <c r="E38" i="83"/>
  <c r="K13" i="83"/>
  <c r="K12" i="83"/>
  <c r="K10" i="83"/>
  <c r="K9" i="83"/>
  <c r="K7" i="83"/>
  <c r="K6" i="83"/>
  <c r="E48" i="17"/>
  <c r="C48" i="17"/>
  <c r="B20" i="17"/>
  <c r="B48" i="17"/>
  <c r="D48" i="17"/>
  <c r="G5" i="79"/>
  <c r="A61" i="81"/>
  <c r="A69" i="81"/>
  <c r="A36" i="81"/>
  <c r="A35" i="81"/>
  <c r="A59" i="81"/>
  <c r="A67" i="81"/>
  <c r="A60" i="81"/>
  <c r="A68" i="81"/>
  <c r="M28" i="81"/>
  <c r="M27" i="81"/>
  <c r="M26" i="81"/>
  <c r="J28" i="81"/>
  <c r="J27" i="81"/>
  <c r="J26" i="81"/>
  <c r="J12" i="81"/>
  <c r="AQ88" i="81"/>
  <c r="J14" i="81"/>
  <c r="J29" i="81"/>
  <c r="J30" i="81"/>
  <c r="J31" i="81"/>
  <c r="M37" i="81"/>
  <c r="L52" i="81"/>
  <c r="M66" i="81"/>
  <c r="M67" i="81"/>
  <c r="M68" i="81"/>
  <c r="N69" i="81"/>
  <c r="O69" i="81"/>
  <c r="P69" i="81"/>
  <c r="Q69" i="81"/>
  <c r="R69" i="81"/>
  <c r="S69" i="81"/>
  <c r="T69" i="81"/>
  <c r="U69" i="81"/>
  <c r="V69" i="81"/>
  <c r="W69" i="81"/>
  <c r="X69" i="81"/>
  <c r="Y69" i="81"/>
  <c r="Z69" i="81"/>
  <c r="AA69" i="81"/>
  <c r="AB69" i="81"/>
  <c r="AC69" i="81"/>
  <c r="AD69" i="81"/>
  <c r="AE69" i="81"/>
  <c r="AF69" i="81"/>
  <c r="AG69" i="81"/>
  <c r="AH69" i="81"/>
  <c r="AI69" i="81"/>
  <c r="AJ69" i="81"/>
  <c r="AK69" i="81"/>
  <c r="AL69" i="81"/>
  <c r="AM69" i="81"/>
  <c r="AN69" i="81"/>
  <c r="AO69" i="81"/>
  <c r="AP69" i="81"/>
  <c r="AQ69" i="81"/>
  <c r="M84" i="81"/>
  <c r="M85" i="81"/>
  <c r="M86" i="81"/>
  <c r="N87" i="81"/>
  <c r="O87" i="81"/>
  <c r="P87" i="81"/>
  <c r="Q87" i="81"/>
  <c r="R87" i="81"/>
  <c r="S87" i="81"/>
  <c r="T87" i="81"/>
  <c r="U87" i="81"/>
  <c r="V87" i="81"/>
  <c r="W87" i="81"/>
  <c r="X87" i="81"/>
  <c r="Y87" i="81"/>
  <c r="Z87" i="81"/>
  <c r="AA87" i="81"/>
  <c r="AB87" i="81"/>
  <c r="AC87" i="81"/>
  <c r="AD87" i="81"/>
  <c r="AE87" i="81"/>
  <c r="AF87" i="81"/>
  <c r="AG87" i="81"/>
  <c r="AH87" i="81"/>
  <c r="AI87" i="81"/>
  <c r="AJ87" i="81"/>
  <c r="AK87" i="81"/>
  <c r="AL87" i="81"/>
  <c r="AM87" i="81"/>
  <c r="AN87" i="81"/>
  <c r="AO87" i="81"/>
  <c r="AP87" i="81"/>
  <c r="AQ87" i="81"/>
  <c r="N89" i="81"/>
  <c r="O89" i="81"/>
  <c r="P89" i="81"/>
  <c r="Q89" i="81"/>
  <c r="R89" i="81"/>
  <c r="S89" i="81"/>
  <c r="T89" i="81"/>
  <c r="U89" i="81"/>
  <c r="V89" i="81"/>
  <c r="W89" i="81"/>
  <c r="X89" i="81"/>
  <c r="Y89" i="81"/>
  <c r="Z89" i="81"/>
  <c r="AA89" i="81"/>
  <c r="AB89" i="81"/>
  <c r="AC89" i="81"/>
  <c r="AD89" i="81"/>
  <c r="AE89" i="81"/>
  <c r="AF89" i="81"/>
  <c r="AG89" i="81"/>
  <c r="AH89" i="81"/>
  <c r="AI89" i="81"/>
  <c r="AJ89" i="81"/>
  <c r="AK89" i="81"/>
  <c r="AL89" i="81"/>
  <c r="AM89" i="81"/>
  <c r="AN89" i="81"/>
  <c r="AO89" i="81"/>
  <c r="AP89" i="81"/>
  <c r="AQ89" i="81"/>
  <c r="N90" i="81"/>
  <c r="O90" i="81"/>
  <c r="P90" i="81"/>
  <c r="Q90" i="81"/>
  <c r="R90" i="81"/>
  <c r="S90" i="81"/>
  <c r="T90" i="81"/>
  <c r="U90" i="81"/>
  <c r="V90" i="81"/>
  <c r="W90" i="81"/>
  <c r="X90" i="81"/>
  <c r="Y90" i="81"/>
  <c r="Z90" i="81"/>
  <c r="AA90" i="81"/>
  <c r="AB90" i="81"/>
  <c r="AC90" i="81"/>
  <c r="AD90" i="81"/>
  <c r="AE90" i="81"/>
  <c r="AF90" i="81"/>
  <c r="AG90" i="81"/>
  <c r="AH90" i="81"/>
  <c r="AI90" i="81"/>
  <c r="AJ90" i="81"/>
  <c r="AK90" i="81"/>
  <c r="AL90" i="81"/>
  <c r="AM90" i="81"/>
  <c r="AN90" i="81"/>
  <c r="AO90" i="81"/>
  <c r="AP90" i="81"/>
  <c r="AQ90" i="81"/>
  <c r="W93" i="81"/>
  <c r="D69" i="81"/>
  <c r="D68" i="81"/>
  <c r="D67" i="81"/>
  <c r="C66" i="81"/>
  <c r="B66" i="81"/>
  <c r="A66" i="81"/>
  <c r="D61" i="81"/>
  <c r="C61" i="81"/>
  <c r="C69" i="81"/>
  <c r="B61" i="81"/>
  <c r="D60" i="81"/>
  <c r="C60" i="81"/>
  <c r="C68" i="81"/>
  <c r="D59" i="81"/>
  <c r="C59" i="81"/>
  <c r="C67" i="81"/>
  <c r="B59" i="81"/>
  <c r="B67" i="81"/>
  <c r="F54" i="81"/>
  <c r="B60" i="81"/>
  <c r="A1" i="81"/>
  <c r="AL88" i="81"/>
  <c r="AD93" i="81"/>
  <c r="AN93" i="81"/>
  <c r="S93" i="81"/>
  <c r="Q71" i="81"/>
  <c r="AH93" i="81"/>
  <c r="AM93" i="81"/>
  <c r="AB93" i="81"/>
  <c r="R93" i="81"/>
  <c r="AI88" i="81"/>
  <c r="AI91" i="81"/>
  <c r="AI92" i="81"/>
  <c r="AN70" i="81"/>
  <c r="AI93" i="81"/>
  <c r="X93" i="81"/>
  <c r="N93" i="81"/>
  <c r="AD88" i="81"/>
  <c r="AD91" i="81"/>
  <c r="AD92" i="81"/>
  <c r="Y71" i="81"/>
  <c r="AO71" i="81"/>
  <c r="F67" i="81"/>
  <c r="AG71" i="81"/>
  <c r="AF70" i="81"/>
  <c r="AQ93" i="81"/>
  <c r="AL93" i="81"/>
  <c r="AF93" i="81"/>
  <c r="AA93" i="81"/>
  <c r="V93" i="81"/>
  <c r="P93" i="81"/>
  <c r="AP88" i="81"/>
  <c r="AP91" i="81"/>
  <c r="AP92" i="81"/>
  <c r="AH88" i="81"/>
  <c r="AH91" i="81"/>
  <c r="AH92" i="81"/>
  <c r="AK71" i="81"/>
  <c r="AC71" i="81"/>
  <c r="U71" i="81"/>
  <c r="M71" i="81"/>
  <c r="M72" i="81"/>
  <c r="M73" i="81"/>
  <c r="M74" i="81"/>
  <c r="AJ70" i="81"/>
  <c r="AL71" i="81"/>
  <c r="AD71" i="81"/>
  <c r="V71" i="81"/>
  <c r="N71" i="81"/>
  <c r="AK70" i="81"/>
  <c r="AC70" i="81"/>
  <c r="AP93" i="81"/>
  <c r="AJ93" i="81"/>
  <c r="AE93" i="81"/>
  <c r="Z93" i="81"/>
  <c r="T93" i="81"/>
  <c r="O93" i="81"/>
  <c r="AM88" i="81"/>
  <c r="AM91" i="81"/>
  <c r="AM92" i="81"/>
  <c r="AE88" i="81"/>
  <c r="AE91" i="81"/>
  <c r="AE92" i="81"/>
  <c r="AP71" i="81"/>
  <c r="AH71" i="81"/>
  <c r="Z71" i="81"/>
  <c r="R71" i="81"/>
  <c r="AO70" i="81"/>
  <c r="AG70" i="81"/>
  <c r="E19" i="81"/>
  <c r="AQ91" i="81"/>
  <c r="AQ92" i="81"/>
  <c r="F61" i="81"/>
  <c r="M92" i="81"/>
  <c r="M94" i="81"/>
  <c r="AL91" i="81"/>
  <c r="AL92" i="81"/>
  <c r="F59" i="81"/>
  <c r="AO93" i="81"/>
  <c r="AK93" i="81"/>
  <c r="AG93" i="81"/>
  <c r="AC93" i="81"/>
  <c r="Y93" i="81"/>
  <c r="U93" i="81"/>
  <c r="Q93" i="81"/>
  <c r="M93" i="81"/>
  <c r="AO88" i="81"/>
  <c r="AK88" i="81"/>
  <c r="AG88" i="81"/>
  <c r="AC88" i="81"/>
  <c r="AN71" i="81"/>
  <c r="AJ71" i="81"/>
  <c r="AF71" i="81"/>
  <c r="AB71" i="81"/>
  <c r="X71" i="81"/>
  <c r="T71" i="81"/>
  <c r="P71" i="81"/>
  <c r="AQ70" i="81"/>
  <c r="AM70" i="81"/>
  <c r="AI70" i="81"/>
  <c r="AE70" i="81"/>
  <c r="AN88" i="81"/>
  <c r="AJ88" i="81"/>
  <c r="AJ91" i="81"/>
  <c r="AJ92" i="81"/>
  <c r="AF88" i="81"/>
  <c r="AF91" i="81"/>
  <c r="AF92" i="81"/>
  <c r="AQ71" i="81"/>
  <c r="AM71" i="81"/>
  <c r="AI71" i="81"/>
  <c r="AE71" i="81"/>
  <c r="AA71" i="81"/>
  <c r="W71" i="81"/>
  <c r="S71" i="81"/>
  <c r="O71" i="81"/>
  <c r="AP70" i="81"/>
  <c r="AL70" i="81"/>
  <c r="AH70" i="81"/>
  <c r="AD70" i="81"/>
  <c r="F60" i="81"/>
  <c r="B68" i="81"/>
  <c r="F68" i="81"/>
  <c r="B69" i="81"/>
  <c r="F69" i="81"/>
  <c r="F4" i="83"/>
  <c r="U3" i="83"/>
  <c r="T3" i="83"/>
  <c r="AI94" i="81"/>
  <c r="AI95" i="81"/>
  <c r="AI96" i="81"/>
  <c r="AO72" i="81"/>
  <c r="AO73" i="81"/>
  <c r="AO74" i="81"/>
  <c r="AH94" i="81"/>
  <c r="AH95" i="81"/>
  <c r="AH96" i="81"/>
  <c r="AL72" i="81"/>
  <c r="AL73" i="81"/>
  <c r="AL74" i="81"/>
  <c r="AN72" i="81"/>
  <c r="AN73" i="81"/>
  <c r="AN74" i="81"/>
  <c r="AD94" i="81"/>
  <c r="AD95" i="81"/>
  <c r="AD96" i="81"/>
  <c r="AG72" i="81"/>
  <c r="AG73" i="81"/>
  <c r="AG74" i="81"/>
  <c r="AM94" i="81"/>
  <c r="AM95" i="81"/>
  <c r="AM96" i="81"/>
  <c r="AJ72" i="81"/>
  <c r="AJ73" i="81"/>
  <c r="AJ74" i="81"/>
  <c r="AP72" i="81"/>
  <c r="AP73" i="81"/>
  <c r="AP74" i="81"/>
  <c r="AQ94" i="81"/>
  <c r="AQ95" i="81"/>
  <c r="AQ96" i="81"/>
  <c r="M95" i="81"/>
  <c r="M96" i="81"/>
  <c r="AF72" i="81"/>
  <c r="AF73" i="81"/>
  <c r="AF74" i="81"/>
  <c r="AH72" i="81"/>
  <c r="AH73" i="81"/>
  <c r="AH74" i="81"/>
  <c r="AE72" i="81"/>
  <c r="AE73" i="81"/>
  <c r="AE74" i="81"/>
  <c r="F70" i="81"/>
  <c r="AE94" i="81"/>
  <c r="AE95" i="81"/>
  <c r="AE96" i="81"/>
  <c r="AP94" i="81"/>
  <c r="AP95" i="81"/>
  <c r="AP96" i="81"/>
  <c r="AK72" i="81"/>
  <c r="AK73" i="81"/>
  <c r="AK74" i="81"/>
  <c r="AI72" i="81"/>
  <c r="AI73" i="81"/>
  <c r="AI74" i="81"/>
  <c r="AC72" i="81"/>
  <c r="AC73" i="81"/>
  <c r="AC74" i="81"/>
  <c r="AD72" i="81"/>
  <c r="AD73" i="81"/>
  <c r="AD74" i="81"/>
  <c r="AQ72" i="81"/>
  <c r="AQ73" i="81"/>
  <c r="AQ74" i="81"/>
  <c r="F62" i="81"/>
  <c r="M36" i="81"/>
  <c r="L51" i="81"/>
  <c r="AL94" i="81"/>
  <c r="AL95" i="81"/>
  <c r="AL96" i="81"/>
  <c r="AF94" i="81"/>
  <c r="AF95" i="81"/>
  <c r="AF96" i="81"/>
  <c r="AG91" i="81"/>
  <c r="AG92" i="81"/>
  <c r="AG94" i="81"/>
  <c r="AG95" i="81"/>
  <c r="AG96" i="81"/>
  <c r="AK91" i="81"/>
  <c r="AK92" i="81"/>
  <c r="AK94" i="81"/>
  <c r="AK95" i="81"/>
  <c r="AK96" i="81"/>
  <c r="AJ94" i="81"/>
  <c r="AJ95" i="81"/>
  <c r="AJ96" i="81"/>
  <c r="AO91" i="81"/>
  <c r="AO92" i="81"/>
  <c r="AO94" i="81"/>
  <c r="AO95" i="81"/>
  <c r="AO96" i="81"/>
  <c r="AN91" i="81"/>
  <c r="AN92" i="81"/>
  <c r="AN94" i="81"/>
  <c r="AN95" i="81"/>
  <c r="AN96" i="81"/>
  <c r="AM72" i="81"/>
  <c r="AM73" i="81"/>
  <c r="AM74" i="81"/>
  <c r="AC91" i="81"/>
  <c r="AC92" i="81"/>
  <c r="AC94" i="81"/>
  <c r="AC95" i="81"/>
  <c r="AC96" i="81"/>
  <c r="E4" i="83"/>
  <c r="D4" i="83"/>
  <c r="C4" i="83"/>
  <c r="N88" i="81"/>
  <c r="N70" i="81"/>
  <c r="AG11" i="83"/>
  <c r="AG8" i="83"/>
  <c r="AD8" i="83"/>
  <c r="AH8" i="83"/>
  <c r="AD11" i="83"/>
  <c r="D30" i="83"/>
  <c r="C30" i="83"/>
  <c r="F31" i="83"/>
  <c r="S16" i="83"/>
  <c r="R16" i="83"/>
  <c r="S15" i="83"/>
  <c r="R15" i="83"/>
  <c r="S14" i="83"/>
  <c r="R14" i="83"/>
  <c r="AG12" i="83"/>
  <c r="AV11" i="83"/>
  <c r="AU11" i="83"/>
  <c r="AH11" i="83"/>
  <c r="AF11" i="83"/>
  <c r="AG10" i="83"/>
  <c r="AV9" i="83"/>
  <c r="AW8" i="83"/>
  <c r="AV8" i="83"/>
  <c r="AU8" i="83"/>
  <c r="AF8" i="83"/>
  <c r="AP3" i="83"/>
  <c r="AO3" i="83"/>
  <c r="AN3" i="83"/>
  <c r="AM3" i="83"/>
  <c r="AL3" i="83"/>
  <c r="AK3" i="83"/>
  <c r="AB3" i="83"/>
  <c r="AA3" i="83"/>
  <c r="Z3" i="83"/>
  <c r="E3" i="83"/>
  <c r="E33" i="83"/>
  <c r="D3" i="83"/>
  <c r="D33" i="83"/>
  <c r="C3" i="83"/>
  <c r="C33" i="83"/>
  <c r="D7" i="17"/>
  <c r="E11" i="17"/>
  <c r="D11" i="17"/>
  <c r="I5" i="79"/>
  <c r="B5" i="79"/>
  <c r="C5" i="79"/>
  <c r="AN15" i="83"/>
  <c r="AN9" i="83"/>
  <c r="AN10" i="83"/>
  <c r="AN16" i="83"/>
  <c r="AN12" i="83"/>
  <c r="AN6" i="83"/>
  <c r="AN13" i="83"/>
  <c r="AN7" i="83"/>
  <c r="X16" i="83"/>
  <c r="X15" i="83"/>
  <c r="X13" i="83"/>
  <c r="X12" i="83"/>
  <c r="X10" i="83"/>
  <c r="X9" i="83"/>
  <c r="X7" i="83"/>
  <c r="X6" i="83"/>
  <c r="W7" i="83"/>
  <c r="W16" i="83"/>
  <c r="W15" i="83"/>
  <c r="W13" i="83"/>
  <c r="W12" i="83"/>
  <c r="W10" i="83"/>
  <c r="W9" i="83"/>
  <c r="W6" i="83"/>
  <c r="N91" i="81"/>
  <c r="N92" i="81"/>
  <c r="N94" i="81"/>
  <c r="O88" i="81"/>
  <c r="N72" i="81"/>
  <c r="N73" i="81"/>
  <c r="N74" i="81"/>
  <c r="O70" i="81"/>
  <c r="AW11" i="83"/>
  <c r="D5" i="79"/>
  <c r="AG6" i="83"/>
  <c r="AG9" i="83"/>
  <c r="AV12" i="83"/>
  <c r="X3" i="83"/>
  <c r="W3" i="83"/>
  <c r="Y3" i="83"/>
  <c r="AV6" i="83"/>
  <c r="AV10" i="83"/>
  <c r="N95" i="81"/>
  <c r="N96" i="81"/>
  <c r="O72" i="81"/>
  <c r="O73" i="81"/>
  <c r="O74" i="81"/>
  <c r="P70" i="81"/>
  <c r="P88" i="81"/>
  <c r="O91" i="81"/>
  <c r="O92" i="81"/>
  <c r="O94" i="81"/>
  <c r="O95" i="81"/>
  <c r="O96" i="81"/>
  <c r="L99" i="81" a="1"/>
  <c r="L99" i="81"/>
  <c r="M14" i="81"/>
  <c r="E5" i="79"/>
  <c r="Q88" i="81"/>
  <c r="P91" i="81"/>
  <c r="P92" i="81"/>
  <c r="P94" i="81"/>
  <c r="P95" i="81"/>
  <c r="P72" i="81"/>
  <c r="Q70" i="81"/>
  <c r="Q72" i="81"/>
  <c r="Q73" i="81"/>
  <c r="R70" i="81"/>
  <c r="P73" i="81"/>
  <c r="P74" i="81"/>
  <c r="Q91" i="81"/>
  <c r="Q92" i="81"/>
  <c r="Q94" i="81"/>
  <c r="Q95" i="81"/>
  <c r="R88" i="81"/>
  <c r="AG13" i="83"/>
  <c r="AV13" i="83"/>
  <c r="R72" i="81"/>
  <c r="R73" i="81"/>
  <c r="S70" i="81"/>
  <c r="R91" i="81"/>
  <c r="R92" i="81"/>
  <c r="R94" i="81"/>
  <c r="R95" i="81"/>
  <c r="S88" i="81"/>
  <c r="Q74" i="81"/>
  <c r="R74" i="81"/>
  <c r="L77" i="81" a="1"/>
  <c r="L77" i="81"/>
  <c r="M11" i="81"/>
  <c r="P96" i="81"/>
  <c r="Q96" i="81"/>
  <c r="R96" i="81"/>
  <c r="T70" i="81"/>
  <c r="S72" i="81"/>
  <c r="S91" i="81"/>
  <c r="S92" i="81"/>
  <c r="S94" i="81"/>
  <c r="S95" i="81"/>
  <c r="T88" i="81"/>
  <c r="AV7" i="83"/>
  <c r="AG7" i="83"/>
  <c r="T91" i="81"/>
  <c r="T92" i="81"/>
  <c r="T94" i="81"/>
  <c r="T95" i="81"/>
  <c r="U88" i="81"/>
  <c r="S73" i="81"/>
  <c r="S74" i="81"/>
  <c r="U70" i="81"/>
  <c r="T72" i="81"/>
  <c r="T73" i="81"/>
  <c r="S96" i="81"/>
  <c r="T96" i="81"/>
  <c r="V88" i="81"/>
  <c r="U91" i="81"/>
  <c r="U92" i="81"/>
  <c r="U94" i="81"/>
  <c r="U95" i="81"/>
  <c r="U72" i="81"/>
  <c r="U73" i="81"/>
  <c r="V70" i="81"/>
  <c r="T74" i="81"/>
  <c r="W70" i="81"/>
  <c r="V72" i="81"/>
  <c r="U96" i="81"/>
  <c r="V91" i="81"/>
  <c r="V92" i="81"/>
  <c r="V94" i="81"/>
  <c r="V95" i="81"/>
  <c r="W88" i="81"/>
  <c r="U74" i="81"/>
  <c r="V73" i="81"/>
  <c r="V74" i="81"/>
  <c r="W91" i="81"/>
  <c r="W92" i="81"/>
  <c r="W94" i="81"/>
  <c r="W95" i="81"/>
  <c r="X88" i="81"/>
  <c r="X70" i="81"/>
  <c r="W72" i="81"/>
  <c r="W73" i="81"/>
  <c r="W74" i="81"/>
  <c r="V96" i="81"/>
  <c r="W96" i="81"/>
  <c r="Y88" i="81"/>
  <c r="X91" i="81"/>
  <c r="X92" i="81"/>
  <c r="X94" i="81"/>
  <c r="X95" i="81"/>
  <c r="X96" i="81"/>
  <c r="Y70" i="81"/>
  <c r="X72" i="81"/>
  <c r="X73" i="81"/>
  <c r="X74" i="81"/>
  <c r="Y72" i="81"/>
  <c r="Z70" i="81"/>
  <c r="Z88" i="81"/>
  <c r="Y91" i="81"/>
  <c r="Y92" i="81"/>
  <c r="Y94" i="81"/>
  <c r="Y95" i="81"/>
  <c r="AA88" i="81"/>
  <c r="Z91" i="81"/>
  <c r="Z92" i="81"/>
  <c r="Z94" i="81"/>
  <c r="Z95" i="81"/>
  <c r="AA70" i="81"/>
  <c r="Z72" i="81"/>
  <c r="Z73" i="81"/>
  <c r="Y73" i="81"/>
  <c r="Y74" i="81"/>
  <c r="Y96" i="81"/>
  <c r="Z74" i="81"/>
  <c r="Z96" i="81"/>
  <c r="AB70" i="81"/>
  <c r="AB72" i="81"/>
  <c r="AA72" i="81"/>
  <c r="AA73" i="81"/>
  <c r="AA91" i="81"/>
  <c r="AA92" i="81"/>
  <c r="AA94" i="81"/>
  <c r="AA95" i="81"/>
  <c r="AB88" i="81"/>
  <c r="AB91" i="81"/>
  <c r="AB92" i="81"/>
  <c r="AB94" i="81"/>
  <c r="AA74" i="81"/>
  <c r="AB73" i="81"/>
  <c r="AB74" i="81"/>
  <c r="L76" i="81"/>
  <c r="M10" i="81"/>
  <c r="AB95" i="81"/>
  <c r="L98" i="81"/>
  <c r="M13" i="81"/>
  <c r="F5" i="79"/>
  <c r="AA96" i="81"/>
  <c r="AB96" i="81"/>
  <c r="B3" i="17"/>
  <c r="C1" i="83"/>
  <c r="F7" i="17"/>
  <c r="F10" i="17"/>
  <c r="F30" i="83"/>
  <c r="Z7" i="83"/>
  <c r="Z16" i="83"/>
  <c r="Z12" i="83"/>
  <c r="Z9" i="83"/>
  <c r="Z15" i="83"/>
  <c r="Z13" i="83"/>
  <c r="Z10" i="83"/>
  <c r="Z6" i="83"/>
  <c r="E7" i="17"/>
  <c r="F8" i="17"/>
  <c r="F11" i="17"/>
  <c r="C18" i="44"/>
  <c r="C31" i="83"/>
  <c r="D31" i="83"/>
  <c r="AL16" i="83"/>
  <c r="AL12" i="83"/>
  <c r="AL6" i="83"/>
  <c r="AL10" i="83"/>
  <c r="AL13" i="83"/>
  <c r="AL7" i="83"/>
  <c r="AL15" i="83"/>
  <c r="AL9" i="83"/>
  <c r="AK10" i="83"/>
  <c r="AK13" i="83"/>
  <c r="AK15" i="83"/>
  <c r="AK9" i="83"/>
  <c r="AK16" i="83"/>
  <c r="AK12" i="83"/>
  <c r="AK6" i="83"/>
  <c r="AK7" i="83"/>
  <c r="E31" i="83"/>
  <c r="E30" i="83"/>
  <c r="AM13" i="83"/>
  <c r="AM7" i="83"/>
  <c r="AM16" i="83"/>
  <c r="AM12" i="83"/>
  <c r="AM15" i="83"/>
  <c r="AM9" i="83"/>
  <c r="AM10" i="83"/>
  <c r="AM6" i="83"/>
  <c r="Y16" i="83"/>
  <c r="Y15" i="83"/>
  <c r="Y13" i="83"/>
  <c r="Y12" i="83"/>
  <c r="Y10" i="83"/>
  <c r="Y9" i="83"/>
  <c r="Y7" i="83"/>
  <c r="Y6" i="83"/>
  <c r="E35" i="83"/>
  <c r="E36" i="83"/>
  <c r="AO10" i="83"/>
  <c r="AO7" i="83"/>
  <c r="AO16" i="83"/>
  <c r="AO12" i="83"/>
  <c r="AO6" i="83"/>
  <c r="AO13" i="83"/>
  <c r="AO15" i="83"/>
  <c r="AO9" i="83"/>
  <c r="AA13" i="83"/>
  <c r="AA6" i="83"/>
  <c r="AA7" i="83"/>
  <c r="AA16" i="83"/>
  <c r="AA10" i="83"/>
  <c r="AA12" i="83"/>
  <c r="AA9" i="83"/>
  <c r="AA15" i="83"/>
  <c r="E37" i="83"/>
  <c r="F71" i="81"/>
  <c r="F63" i="81"/>
  <c r="H5" i="79"/>
  <c r="K5" i="79"/>
  <c r="F14" i="79"/>
  <c r="J5" i="79"/>
  <c r="D14" i="79"/>
  <c r="AT11" i="83"/>
  <c r="AT8" i="83"/>
  <c r="T13" i="83"/>
  <c r="T10" i="83"/>
  <c r="U13" i="83"/>
  <c r="U9" i="83"/>
  <c r="U12" i="83"/>
  <c r="T12" i="83"/>
  <c r="T9" i="83"/>
  <c r="U10" i="83"/>
  <c r="AI11" i="83"/>
  <c r="AI8" i="83"/>
  <c r="AX11" i="83"/>
  <c r="AX8" i="83"/>
  <c r="D17" i="83"/>
  <c r="D25" i="83"/>
  <c r="C17" i="83"/>
  <c r="C25" i="83"/>
  <c r="F17" i="83"/>
  <c r="E27" i="83"/>
  <c r="H17" i="83"/>
  <c r="F38" i="83"/>
  <c r="F36" i="83"/>
  <c r="F35" i="83"/>
  <c r="C38" i="83"/>
  <c r="C35" i="83"/>
  <c r="C36" i="83"/>
  <c r="Z17" i="83"/>
  <c r="AN18" i="83"/>
  <c r="Z18" i="83"/>
  <c r="AK17" i="83"/>
  <c r="X17" i="83"/>
  <c r="W18" i="83"/>
  <c r="F27" i="83"/>
  <c r="W17" i="83"/>
  <c r="Y17" i="83"/>
  <c r="X18" i="83"/>
  <c r="AM18" i="83"/>
  <c r="AM17" i="83"/>
  <c r="AL17" i="83"/>
  <c r="AL18" i="83"/>
  <c r="AN17" i="83"/>
  <c r="Y18" i="83"/>
  <c r="AK18" i="83"/>
  <c r="AC18" i="83"/>
  <c r="AR18" i="83"/>
  <c r="AP16" i="83"/>
  <c r="AP12" i="83"/>
  <c r="AP6" i="83"/>
  <c r="AS6" i="83"/>
  <c r="AP9" i="83"/>
  <c r="AP13" i="83"/>
  <c r="AP7" i="83"/>
  <c r="AS7" i="83"/>
  <c r="AP15" i="83"/>
  <c r="AP10" i="83"/>
  <c r="AB16" i="83"/>
  <c r="AB6" i="83"/>
  <c r="AB10" i="83"/>
  <c r="AB13" i="83"/>
  <c r="AB9" i="83"/>
  <c r="AB7" i="83"/>
  <c r="AD7" i="83"/>
  <c r="AB15" i="83"/>
  <c r="AB12" i="83"/>
  <c r="F37" i="83"/>
  <c r="D38" i="83"/>
  <c r="H38" i="83"/>
  <c r="D35" i="83"/>
  <c r="H35" i="83"/>
  <c r="B45" i="83"/>
  <c r="D36" i="83"/>
  <c r="H36" i="83"/>
  <c r="D27" i="83"/>
  <c r="C37" i="83"/>
  <c r="AW13" i="83"/>
  <c r="AU12" i="83"/>
  <c r="AD12" i="83"/>
  <c r="AI12" i="83"/>
  <c r="AD13" i="83"/>
  <c r="AH13" i="83"/>
  <c r="AD10" i="83"/>
  <c r="AH10" i="83"/>
  <c r="AD9" i="83"/>
  <c r="AH9" i="83"/>
  <c r="AU9" i="83"/>
  <c r="AX10" i="83"/>
  <c r="AF12" i="83"/>
  <c r="AH12" i="83"/>
  <c r="AX9" i="83"/>
  <c r="AF9" i="83"/>
  <c r="AU10" i="83"/>
  <c r="AW10" i="83"/>
  <c r="AI10" i="83"/>
  <c r="AF10" i="83"/>
  <c r="C27" i="83"/>
  <c r="AF7" i="83"/>
  <c r="AU7" i="83"/>
  <c r="AU6" i="83"/>
  <c r="Q6" i="83"/>
  <c r="U6" i="83"/>
  <c r="D37" i="83"/>
  <c r="B44" i="83"/>
  <c r="H37" i="83"/>
  <c r="AP17" i="83"/>
  <c r="AI9" i="83"/>
  <c r="AF13" i="83"/>
  <c r="AI13" i="83"/>
  <c r="AU13" i="83"/>
  <c r="AW12" i="83"/>
  <c r="AX12" i="83"/>
  <c r="AX13" i="83"/>
  <c r="AW9" i="83"/>
  <c r="AO17" i="83"/>
  <c r="AR17" i="83"/>
  <c r="AA17" i="83"/>
  <c r="AB17" i="83"/>
  <c r="AD6" i="83"/>
  <c r="U7" i="83"/>
  <c r="AW7" i="83"/>
  <c r="AH7" i="83"/>
  <c r="T7" i="83"/>
  <c r="U17" i="83"/>
  <c r="AX7" i="83"/>
  <c r="AW6" i="83"/>
  <c r="F10" i="79"/>
  <c r="AS18" i="83"/>
  <c r="G71" i="81"/>
  <c r="AD14" i="83"/>
  <c r="AF6" i="83"/>
  <c r="P6" i="83"/>
  <c r="AS14" i="83"/>
  <c r="AC17" i="83"/>
  <c r="AD18" i="83"/>
  <c r="D10" i="79"/>
  <c r="AX6" i="83"/>
  <c r="AX14" i="83"/>
  <c r="T6" i="83"/>
  <c r="T17" i="83"/>
  <c r="B50" i="83"/>
  <c r="B51" i="83"/>
  <c r="F11" i="79"/>
  <c r="S5" i="79"/>
  <c r="AI7" i="83"/>
  <c r="AH6" i="83"/>
  <c r="AE6" i="83"/>
  <c r="AT7" i="83"/>
  <c r="AT13" i="83"/>
  <c r="AT9" i="83"/>
  <c r="AT12" i="83"/>
  <c r="AT6" i="83"/>
  <c r="AT10" i="83"/>
  <c r="AE13" i="83"/>
  <c r="AE9" i="83"/>
  <c r="AE12" i="83"/>
  <c r="AE7" i="83"/>
  <c r="AE10" i="83"/>
  <c r="B43" i="83"/>
  <c r="B49" i="83"/>
  <c r="D11" i="79"/>
  <c r="E12" i="79"/>
  <c r="AI6" i="83"/>
  <c r="AI14" i="83"/>
  <c r="G63" i="81"/>
  <c r="F12" i="79"/>
  <c r="G14" i="79"/>
  <c r="G12" i="79"/>
  <c r="AE14" i="83"/>
  <c r="AT14" i="83"/>
  <c r="E14" i="79"/>
  <c r="D12" i="79"/>
  <c r="R5" i="7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Jean-Benoit Verbeke</author>
  </authors>
  <commentList>
    <comment ref="F7" authorId="0" shapeId="0" xr:uid="{B49F6BF2-40F3-4C28-A8FF-A4206DE89E37}">
      <text>
        <r>
          <rPr>
            <b/>
            <sz val="9"/>
            <color indexed="81"/>
            <rFont val="Tahoma"/>
            <family val="2"/>
          </rPr>
          <t>Jean-Benoit Verbeke:</t>
        </r>
        <r>
          <rPr>
            <sz val="9"/>
            <color indexed="81"/>
            <rFont val="Tahoma"/>
            <family val="2"/>
          </rPr>
          <t xml:space="preserve">
Idem bois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tc={182FFEE0-0990-4151-BA76-2781471CF1D6}</author>
  </authors>
  <commentList>
    <comment ref="AI3" authorId="0" shapeId="0" xr:uid="{182FFEE0-0990-4151-BA76-2781471CF1D6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(CRAp - CREp)/CRAg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<sst xmlns="http://schemas.openxmlformats.org/spreadsheetml/2006/main" count="399" uniqueCount="299">
  <si>
    <t>GZN</t>
  </si>
  <si>
    <t>Totaux</t>
  </si>
  <si>
    <t>Gaz Naturel</t>
  </si>
  <si>
    <t>GJp/Unité</t>
  </si>
  <si>
    <t>Utilités</t>
  </si>
  <si>
    <t>Description</t>
  </si>
  <si>
    <t>Unités</t>
  </si>
  <si>
    <t>Année :</t>
  </si>
  <si>
    <t>Difference Calcul / Factures</t>
  </si>
  <si>
    <t>Difference en %</t>
  </si>
  <si>
    <t>Somme 
par usage</t>
  </si>
  <si>
    <t>Energies approvisionnées</t>
  </si>
  <si>
    <t>Consommations spécifiques</t>
  </si>
  <si>
    <t>Emissions de CO2</t>
  </si>
  <si>
    <t xml:space="preserve">Facteur de conversion en énergie primaire </t>
  </si>
  <si>
    <t xml:space="preserve">Facteur de conversion en CO2 </t>
  </si>
  <si>
    <t>kgCO2</t>
  </si>
  <si>
    <t>kgCO2/Unité</t>
  </si>
  <si>
    <t>Emissions spécifiques</t>
  </si>
  <si>
    <t>Prix</t>
  </si>
  <si>
    <t>€</t>
  </si>
  <si>
    <t>Fuel léger</t>
  </si>
  <si>
    <t xml:space="preserve">DEGRES-JOURS 16.5 </t>
  </si>
  <si>
    <t>source:</t>
  </si>
  <si>
    <t>janvier</t>
  </si>
  <si>
    <t>fevrier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</si>
  <si>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</si>
  <si>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</si>
  <si>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</si>
  <si>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</si>
  <si>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</si>
  <si>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</si>
  <si>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</si>
  <si>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</si>
  <si>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</si>
  <si>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</si>
  <si>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 année</t>
  </si>
  <si>
    <t>%</t>
  </si>
  <si>
    <t>CS Réf</t>
  </si>
  <si>
    <t>ES Réf</t>
  </si>
  <si>
    <t>AEE partiel</t>
  </si>
  <si>
    <t>Partiel</t>
  </si>
  <si>
    <t>Réparti</t>
  </si>
  <si>
    <t>Emissions CO2</t>
  </si>
  <si>
    <t>www.pirotech.be</t>
  </si>
  <si>
    <t>ELEC</t>
  </si>
  <si>
    <t>MAZ</t>
  </si>
  <si>
    <t>Cabosse</t>
  </si>
  <si>
    <t>https://www.gas.be/fr/degr%C3%A9s-jours</t>
  </si>
  <si>
    <t>Spécifiques</t>
  </si>
  <si>
    <t>ACO2 partiel</t>
  </si>
  <si>
    <t>iCO2</t>
  </si>
  <si>
    <t>Energie finale</t>
  </si>
  <si>
    <t>MWh</t>
  </si>
  <si>
    <t>Intensité carbone</t>
  </si>
  <si>
    <t>kgCO2/ GJi</t>
  </si>
  <si>
    <t xml:space="preserve">Facteur de conversion en énergie finale </t>
  </si>
  <si>
    <t>kWhf/Unité</t>
  </si>
  <si>
    <t>Rapport PCI/PCS</t>
  </si>
  <si>
    <t>kWhi/kWhf</t>
  </si>
  <si>
    <t>kgCO2/ GJs</t>
  </si>
  <si>
    <t>Total Investissement</t>
  </si>
  <si>
    <t>Total Economie (kg CO2)</t>
  </si>
  <si>
    <t>Total Economie (GJp)</t>
  </si>
  <si>
    <t>Total NB Pistes</t>
  </si>
  <si>
    <t>Investissement</t>
  </si>
  <si>
    <t>Economie (kg CO2)</t>
  </si>
  <si>
    <t>Economie (GJp)</t>
  </si>
  <si>
    <t>NB Pistes</t>
  </si>
  <si>
    <t>C_Rent</t>
  </si>
  <si>
    <t>Données</t>
  </si>
  <si>
    <r>
      <t>kg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/ an</t>
    </r>
  </si>
  <si>
    <t>Consommation référence</t>
  </si>
  <si>
    <t>CO2</t>
  </si>
  <si>
    <t>Ep</t>
  </si>
  <si>
    <t>F_ADB</t>
  </si>
  <si>
    <t>Rent</t>
  </si>
  <si>
    <t>Invest.</t>
  </si>
  <si>
    <t>réf</t>
  </si>
  <si>
    <t>amélioration réf.</t>
  </si>
  <si>
    <r>
      <t>kg CO</t>
    </r>
    <r>
      <rPr>
        <b/>
        <vertAlign val="subscript"/>
        <sz val="10"/>
        <color indexed="13"/>
        <rFont val="Arial"/>
        <family val="2"/>
      </rPr>
      <t>2</t>
    </r>
    <r>
      <rPr>
        <b/>
        <sz val="10"/>
        <color indexed="13"/>
        <rFont val="Arial"/>
        <family val="2"/>
      </rPr>
      <t xml:space="preserve"> /an</t>
    </r>
  </si>
  <si>
    <t>Faisabilité</t>
  </si>
  <si>
    <t>Autres</t>
  </si>
  <si>
    <t>Energie</t>
  </si>
  <si>
    <t>année</t>
  </si>
  <si>
    <t>Euros</t>
  </si>
  <si>
    <t>avec</t>
  </si>
  <si>
    <t>Remarques et commentaires</t>
  </si>
  <si>
    <t>Éventuelle liaison</t>
  </si>
  <si>
    <t>Econo non-</t>
  </si>
  <si>
    <t>Economies en vecteurs énergétiques</t>
  </si>
  <si>
    <t>Economie</t>
  </si>
  <si>
    <t>Intitulé</t>
  </si>
  <si>
    <t>N° référence amél</t>
  </si>
  <si>
    <t>N° ordre</t>
  </si>
  <si>
    <t>kg CO2 / kWh</t>
  </si>
  <si>
    <r>
      <t>kg CO</t>
    </r>
    <r>
      <rPr>
        <vertAlign val="subscript"/>
        <sz val="10"/>
        <rFont val="Arial"/>
        <family val="2"/>
      </rPr>
      <t xml:space="preserve">2 </t>
    </r>
    <r>
      <rPr>
        <sz val="10"/>
        <rFont val="Arial"/>
        <family val="2"/>
      </rPr>
      <t>/ an</t>
    </r>
  </si>
  <si>
    <t>Quantités</t>
  </si>
  <si>
    <t>Vecteurs énergétiques</t>
  </si>
  <si>
    <t>€/an</t>
  </si>
  <si>
    <t>Total des autres économies (non énergétiques)</t>
  </si>
  <si>
    <t>Autres économies (non énergétiques)</t>
  </si>
  <si>
    <t>Total des investissements</t>
  </si>
  <si>
    <t>Investissements</t>
  </si>
  <si>
    <t>kWh/an</t>
  </si>
  <si>
    <t>Economies</t>
  </si>
  <si>
    <t>Hypothèses de calcul</t>
  </si>
  <si>
    <t>Remarques / commentaires</t>
  </si>
  <si>
    <t>Classification</t>
  </si>
  <si>
    <t>Investissement correspondant</t>
  </si>
  <si>
    <t>Economie attendue</t>
  </si>
  <si>
    <t>Description de l'amélioration</t>
  </si>
  <si>
    <t>Situation existante</t>
  </si>
  <si>
    <t>Intitulé / objet</t>
  </si>
  <si>
    <t>N° amélioration</t>
  </si>
  <si>
    <t>FICHE DE DESCRIPTION D'AMELIORATION</t>
  </si>
  <si>
    <t>SER</t>
  </si>
  <si>
    <t>Facteur d'émission CO2 sur PCI</t>
  </si>
  <si>
    <t>Facteur d'émission CO2 sur PCS</t>
  </si>
  <si>
    <t>kWhs/an</t>
  </si>
  <si>
    <t>kg CO2 / kWhs</t>
  </si>
  <si>
    <t>kg CO2 / lit</t>
  </si>
  <si>
    <t>Réductions d'émissions de gaz à effet de serre</t>
  </si>
  <si>
    <r>
      <t>Coeff.Emissions CO</t>
    </r>
    <r>
      <rPr>
        <b/>
        <vertAlign val="subscript"/>
        <sz val="10"/>
        <rFont val="Arial"/>
        <family val="2"/>
      </rPr>
      <t>2</t>
    </r>
  </si>
  <si>
    <r>
      <t>kg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/an</t>
    </r>
  </si>
  <si>
    <t>Economies de consommation en énergie finale (Ef)</t>
  </si>
  <si>
    <r>
      <t>Ef</t>
    </r>
    <r>
      <rPr>
        <sz val="10"/>
        <rFont val="Arial"/>
        <family val="2"/>
      </rPr>
      <t xml:space="preserve"> (MWh/an)</t>
    </r>
  </si>
  <si>
    <t>Coeff.E finale</t>
  </si>
  <si>
    <t>kWh / kWh</t>
  </si>
  <si>
    <t>kWh / kWhs</t>
  </si>
  <si>
    <t>kWh / litre</t>
  </si>
  <si>
    <t>MWh/an</t>
  </si>
  <si>
    <t>Total économies en énergie de l'amélioration (MWhf/an)</t>
  </si>
  <si>
    <r>
      <t xml:space="preserve">Total réductions en GES de l'amélioration </t>
    </r>
    <r>
      <rPr>
        <sz val="10"/>
        <rFont val="Arial"/>
        <family val="2"/>
      </rPr>
      <t>(kg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/an) :</t>
    </r>
  </si>
  <si>
    <t>Ef</t>
  </si>
  <si>
    <t>MWh / an</t>
  </si>
  <si>
    <t>gain iEE</t>
  </si>
  <si>
    <t>gain ACO2</t>
  </si>
  <si>
    <t>Gain sur indices</t>
  </si>
  <si>
    <t>Gain calcul de l'amélioration</t>
  </si>
  <si>
    <t>Template AMUREBA</t>
  </si>
  <si>
    <t>Nom de l'entité :</t>
  </si>
  <si>
    <t>kWh</t>
  </si>
  <si>
    <t>kWhs</t>
  </si>
  <si>
    <t>litres</t>
  </si>
  <si>
    <t>tonnes</t>
  </si>
  <si>
    <t>Electricité 
achetée</t>
  </si>
  <si>
    <t>MWh/unité</t>
  </si>
  <si>
    <t>kgCO2/unité</t>
  </si>
  <si>
    <t>Finale</t>
  </si>
  <si>
    <t>Gain sur énergie</t>
  </si>
  <si>
    <t>Gain sur CO2</t>
  </si>
  <si>
    <t>€/Unité</t>
  </si>
  <si>
    <t>PBT</t>
  </si>
  <si>
    <t>IRR</t>
  </si>
  <si>
    <t>Flux de trésorerie actualisés cumulés</t>
  </si>
  <si>
    <t>Flux de trésorerie actualisé</t>
  </si>
  <si>
    <t>Flux de trésorerie</t>
  </si>
  <si>
    <t>Valeur résiduelle en fin de vie</t>
  </si>
  <si>
    <t>Valeur résiduelle</t>
  </si>
  <si>
    <t>Taxe sur les bénéfices (ISOC)</t>
  </si>
  <si>
    <t>Base imposable</t>
  </si>
  <si>
    <t>Amortissements</t>
  </si>
  <si>
    <t>Déductions fiscales</t>
  </si>
  <si>
    <t>Fiscalité</t>
  </si>
  <si>
    <t>Variation OPEX</t>
  </si>
  <si>
    <t>Aides à la production</t>
  </si>
  <si>
    <t>Aides à l'investissement</t>
  </si>
  <si>
    <t>Aides &amp; Primes</t>
  </si>
  <si>
    <t>Coûts d'installation</t>
  </si>
  <si>
    <t>Investissement CAPEX</t>
  </si>
  <si>
    <t>Installation</t>
  </si>
  <si>
    <t>Année</t>
  </si>
  <si>
    <t>Calcul après impôt</t>
  </si>
  <si>
    <t>Années</t>
  </si>
  <si>
    <t>Calcul avant impôt</t>
  </si>
  <si>
    <t>k€/an</t>
  </si>
  <si>
    <t>Rating ESG</t>
  </si>
  <si>
    <t>Renforcement de la sécurité</t>
  </si>
  <si>
    <t>Fiabilité de l'outil</t>
  </si>
  <si>
    <t>Augmenation de la qualité de l'environnement de travail</t>
  </si>
  <si>
    <t>Positionnement stratégique de l'entreprise</t>
  </si>
  <si>
    <t>Co-bénéfices ( autres gains liés aux investissments) (+)</t>
  </si>
  <si>
    <t>Variation des coûts d'opération et de maintenance</t>
  </si>
  <si>
    <t>Coûts de Maintenance (+)</t>
  </si>
  <si>
    <t>Variation des coûts CO2</t>
  </si>
  <si>
    <t>Variation des coûts énergétiques</t>
  </si>
  <si>
    <t>Energie et CO2 (+)</t>
  </si>
  <si>
    <t>années</t>
  </si>
  <si>
    <t>Durée d'octroi</t>
  </si>
  <si>
    <t>Certificats verts</t>
  </si>
  <si>
    <t>Aides à la production (+)</t>
  </si>
  <si>
    <t>Nouveaux engagements liés à l'investissement</t>
  </si>
  <si>
    <t>Dépenses autres qu'en capital (-)</t>
  </si>
  <si>
    <t>OPEX</t>
  </si>
  <si>
    <t>k€</t>
  </si>
  <si>
    <t>Fin de vie (+)</t>
  </si>
  <si>
    <t>Aides AMUREBA</t>
  </si>
  <si>
    <t>Aides UDE</t>
  </si>
  <si>
    <t>Aides à l'investissment (+)</t>
  </si>
  <si>
    <t>Investissement initial (-)</t>
  </si>
  <si>
    <t>CAPEX</t>
  </si>
  <si>
    <t>3. Données financières</t>
  </si>
  <si>
    <t>Economies émissions de CO2</t>
  </si>
  <si>
    <t>Economies consommation énergétique</t>
  </si>
  <si>
    <t>Autres combustible</t>
  </si>
  <si>
    <t>Bois</t>
  </si>
  <si>
    <t>Charbon</t>
  </si>
  <si>
    <t>Diesel</t>
  </si>
  <si>
    <t>Essence</t>
  </si>
  <si>
    <t>Mazout</t>
  </si>
  <si>
    <t>Electricité réseau</t>
  </si>
  <si>
    <t>Coût CO2</t>
  </si>
  <si>
    <t>Prix du combustible (€/MWh)</t>
  </si>
  <si>
    <t>Consommation finale (MWh)</t>
  </si>
  <si>
    <t>Consommation initiale (MWh)</t>
  </si>
  <si>
    <t xml:space="preserve">Coefficient d'émission CO2 (t/MWh) </t>
  </si>
  <si>
    <t>Vecteur énergétique</t>
  </si>
  <si>
    <t>Prix moyen HTVA tels que achetés par l'entité durant les 12 derniers mois</t>
  </si>
  <si>
    <t>2. Données énergétiques</t>
  </si>
  <si>
    <t>OUI</t>
  </si>
  <si>
    <t>Projet donnant droit à des déduction fiscales ?</t>
  </si>
  <si>
    <t>NON</t>
  </si>
  <si>
    <t>Entreprise soumise aux ETS ?</t>
  </si>
  <si>
    <t>Durée d'amortissement réelle</t>
  </si>
  <si>
    <t>PBT après impôt</t>
  </si>
  <si>
    <t>Durée d'amortissement estimée</t>
  </si>
  <si>
    <t>IRR après impôt</t>
  </si>
  <si>
    <t>Durée de vie économique</t>
  </si>
  <si>
    <t>PBT avant impôt</t>
  </si>
  <si>
    <t>IRR avant impôt</t>
  </si>
  <si>
    <t>Consommables &amp; comportements</t>
  </si>
  <si>
    <t>Type d'investissement</t>
  </si>
  <si>
    <t>4. Résultats</t>
  </si>
  <si>
    <t>1. Description de l'action d'amélioration</t>
  </si>
  <si>
    <t>Données de l'action d'amélioration à compléter</t>
  </si>
  <si>
    <t>Détermination du Taux de Rentabilité Interne (IRR) &amp; du Temps de Retour Actualisé (PBT)</t>
  </si>
  <si>
    <t>SPF</t>
  </si>
  <si>
    <t>Travaux d’infrastructure lourde &amp; de génie civil (bâtiment, process industriel, réseau énergétique, PV, éolien, géothermie, hydroélectricité, Biométhanisation,…)</t>
  </si>
  <si>
    <t>Infrastructures lourdes</t>
  </si>
  <si>
    <t>Prix à la consommation | Statbel (fgov.be)</t>
  </si>
  <si>
    <t>ISOC</t>
  </si>
  <si>
    <t>Impot des sociétés</t>
  </si>
  <si>
    <t xml:space="preserve">Eléments de production et procédés industriels ( moteur, bruleurs, compresseurs, ventilateurs, groupes frigorifiques, éléments de chauffage, isolation, réfractaire, PAC, Solaire thermique, cogénération,..) </t>
  </si>
  <si>
    <t>Elements techniques</t>
  </si>
  <si>
    <t>Indice à la consommation lissé 2023</t>
  </si>
  <si>
    <t>Taux d'indexation</t>
  </si>
  <si>
    <t>Eclairage, bureautique, automatisation, régulation, optimisation de process</t>
  </si>
  <si>
    <t>SPW</t>
  </si>
  <si>
    <t>Taux d'actualisation</t>
  </si>
  <si>
    <t>Durée d'amortissement conseillée</t>
  </si>
  <si>
    <t>Descritption</t>
  </si>
  <si>
    <t>Poste</t>
  </si>
  <si>
    <t>Source</t>
  </si>
  <si>
    <t>Paramètre</t>
  </si>
  <si>
    <t>Durée de vie économique et d'amortissement de l'action d'amélioration</t>
  </si>
  <si>
    <t>Paramètres économiques</t>
  </si>
  <si>
    <t>par an</t>
  </si>
  <si>
    <t>Facteur de conversion</t>
  </si>
  <si>
    <t>Actualisés</t>
  </si>
  <si>
    <t>Facteurs d'influence</t>
  </si>
  <si>
    <t>NOM DE L'ENTITE</t>
  </si>
  <si>
    <t>Activité opérationnelle</t>
  </si>
  <si>
    <t>Bâtiments</t>
  </si>
  <si>
    <t>Utilité</t>
  </si>
  <si>
    <t>Valeur</t>
  </si>
  <si>
    <t>FI</t>
  </si>
  <si>
    <t>Prix (moyenne 2023)</t>
  </si>
  <si>
    <t>Total</t>
  </si>
  <si>
    <t>Nombre de C_Rent</t>
  </si>
  <si>
    <t>Total Nombre de C_Rent</t>
  </si>
  <si>
    <t>Indices principaux</t>
  </si>
  <si>
    <t>IEE</t>
  </si>
  <si>
    <t>Indices secondaires</t>
  </si>
  <si>
    <t>Description 1</t>
  </si>
  <si>
    <t>tonne</t>
  </si>
  <si>
    <t>Factures / Compteur entrée</t>
  </si>
  <si>
    <t>Transport</t>
  </si>
  <si>
    <t>Intensité Carbone (IC)</t>
  </si>
  <si>
    <t>kgCO2/MWhf</t>
  </si>
  <si>
    <t>MWhf</t>
  </si>
  <si>
    <t>Facteur de conversion énergie finale (kWhf/Unité)</t>
  </si>
  <si>
    <t>Facteur de conversion CO2 (kgCO2/Unité)</t>
  </si>
  <si>
    <t>iSER</t>
  </si>
  <si>
    <t>Utilité 1</t>
  </si>
  <si>
    <t>Utilité 2</t>
  </si>
  <si>
    <t>Unité 1</t>
  </si>
  <si>
    <t>Unité 2</t>
  </si>
  <si>
    <t>Usage 1</t>
  </si>
  <si>
    <t>AEE</t>
  </si>
  <si>
    <t>ACO2</t>
  </si>
  <si>
    <t>Export</t>
  </si>
  <si>
    <r>
      <rPr>
        <sz val="10"/>
        <rFont val="Arial"/>
        <family val="2"/>
      </rPr>
      <t>Stock</t>
    </r>
    <r>
      <rPr>
        <sz val="10"/>
        <rFont val="Arial"/>
        <family val="1"/>
        <charset val="2"/>
      </rPr>
      <t xml:space="preserve"> final - Stock initial</t>
    </r>
  </si>
  <si>
    <t>Emissions Process</t>
  </si>
  <si>
    <t>Procédé</t>
  </si>
  <si>
    <t>Prix  (€/unité)</t>
  </si>
  <si>
    <t>Total du périmètre</t>
  </si>
  <si>
    <t>Consommation réelle</t>
  </si>
  <si>
    <t>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</si>
</sst>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4" formatCode="_-* #,##0.00\ &quot;€&quot;_-;\-* #,##0.00\ &quot;€&quot;_-;_-* &quot;-&quot;??\ &quot;€&quot;_-;_-@_-"/>
    <numFmt numFmtId="164" formatCode="##,##0.00000"/>
    <numFmt numFmtId="165" formatCode="##,##0"/>
    <numFmt numFmtId="166" formatCode="#,##0.0"/>
    <numFmt numFmtId="167" formatCode="0.0"/>
    <numFmt numFmtId="168" formatCode="##,##0.0000"/>
    <numFmt numFmtId="169" formatCode="##,##0.0"/>
    <numFmt numFmtId="170" formatCode="0.0%"/>
    <numFmt numFmtId="171" formatCode="0.0000"/>
    <numFmt numFmtId="172" formatCode="#,##0.00000"/>
    <numFmt numFmtId="173" formatCode="##,##0.00"/>
    <numFmt numFmtId="174" formatCode="##,##0.000"/>
    <numFmt numFmtId="175" formatCode="#,##0.0000"/>
    <numFmt numFmtId="176" formatCode="_-* #,##0.00_-;_-* #,##0.00\-;_-* &quot;-&quot;??_-;_-@_-"/>
    <numFmt numFmtId="177" formatCode="#,##0\ &quot;€&quot;"/>
    <numFmt numFmtId="178" formatCode="&quot;€&quot;\ #,##0"/>
    <numFmt numFmtId="179" formatCode="#,##0.000"/>
    <numFmt numFmtId="180" formatCode="_-* #,##0.00\ _F_-;\-* #,##0.00\ _F_-;_-* &quot;-&quot;??\ _F_-;_-@_-"/>
    <numFmt numFmtId="181" formatCode="0.000"/>
    <numFmt numFmtId="182" formatCode="_-* #,##0.00\ _B_F_-;\-* #,##0.00\ _B_F_-;_-* &quot;-&quot;??\ _B_F_-;_-@_-"/>
    <numFmt numFmtId="183" formatCode="#,##0.00\ &quot;ans&quot;"/>
    <numFmt numFmtId="184" formatCode="#,##0\ &quot;ans&quot;"/>
    <numFmt numFmtId="185" formatCode="#,##0.00_ ;[Red]\-#,##0.00\ "/>
    <numFmt numFmtId="186" formatCode="#,##0.0;\(\-#,##0.0\)"/>
    <numFmt numFmtId="187" formatCode="#,###;\(\-#,###\);#,###"/>
    <numFmt numFmtId="188" formatCode="_-* #,##0\ &quot;€&quot;_-;\-* #,##0\ &quot;€&quot;_-;_-* &quot;-&quot;??\ &quot;€&quot;_-;_-@_-"/>
    <numFmt numFmtId="189" formatCode="#,##0\ &quot;€/TCO2&quot;"/>
    <numFmt numFmtId="190" formatCode="#,##0\ &quot;€/MWh&quot;"/>
    <numFmt numFmtId="191" formatCode="#,##0\ &quot;MWh&quot;"/>
    <numFmt numFmtId="192" formatCode="0\ &quot;ans&quot;"/>
    <numFmt numFmtId="193" formatCode="#,##0.0\ &quot;ans&quot;"/>
    <numFmt numFmtId="194" formatCode="#,##0.00\ &quot;€&quot;"/>
    <numFmt numFmtId="195" formatCode="#,##0.00\ \k&quot;€&quot;"/>
  </numFmts>
  <fonts count="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name val="Arial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u/>
      <sz val="10"/>
      <color indexed="12"/>
      <name val="MS Sans Serif"/>
      <family val="2"/>
    </font>
    <font>
      <sz val="12"/>
      <name val="Times New Roman"/>
      <family val="1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name val="Times New Roman"/>
      <family val="1"/>
    </font>
    <font>
      <sz val="12"/>
      <name val="Times New Roman"/>
      <family val="1"/>
    </font>
    <font>
      <b/>
      <sz val="10"/>
      <color indexed="12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4"/>
      <color indexed="12"/>
      <name val="Arial"/>
      <family val="2"/>
    </font>
    <font>
      <sz val="12"/>
      <name val="Comic Sans MS"/>
      <family val="4"/>
    </font>
    <font>
      <b/>
      <sz val="20"/>
      <name val="Comic Sans MS"/>
      <family val="4"/>
    </font>
    <font>
      <b/>
      <sz val="12"/>
      <name val="Comic Sans MS"/>
      <family val="4"/>
    </font>
    <font>
      <b/>
      <u/>
      <sz val="18"/>
      <name val="Comic Sans MS"/>
      <family val="4"/>
    </font>
    <font>
      <b/>
      <u/>
      <sz val="14"/>
      <name val="Comic Sans MS"/>
      <family val="4"/>
    </font>
    <font>
      <b/>
      <sz val="10"/>
      <color indexed="10"/>
      <name val="Comic Sans MS"/>
      <family val="4"/>
    </font>
    <font>
      <sz val="11"/>
      <name val="Times New Roman"/>
      <family val="1"/>
    </font>
    <font>
      <b/>
      <sz val="10"/>
      <name val="Comic Sans MS"/>
      <family val="4"/>
    </font>
    <font>
      <b/>
      <sz val="9"/>
      <color indexed="10"/>
      <name val="Comic Sans MS"/>
      <family val="4"/>
    </font>
    <font>
      <sz val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 tint="-0.14999847407452621"/>
      <name val="Tahoma"/>
      <family val="2"/>
    </font>
    <font>
      <sz val="10"/>
      <color theme="0" tint="-4.9989318521683403E-2"/>
      <name val="Tahoma"/>
      <family val="2"/>
    </font>
    <font>
      <sz val="12"/>
      <color theme="0" tint="-4.9989318521683403E-2"/>
      <name val="Comic Sans MS"/>
      <family val="4"/>
    </font>
    <font>
      <b/>
      <sz val="18"/>
      <color theme="0" tint="-4.9989318521683403E-2"/>
      <name val="Comic Sans MS"/>
      <family val="4"/>
    </font>
    <font>
      <b/>
      <u/>
      <sz val="18"/>
      <color theme="0" tint="-4.9989318521683403E-2"/>
      <name val="Comic Sans MS"/>
      <family val="4"/>
    </font>
    <font>
      <sz val="11"/>
      <color theme="0" tint="-4.9989318521683403E-2"/>
      <name val="Times New Roman"/>
      <family val="1"/>
    </font>
    <font>
      <b/>
      <sz val="12"/>
      <color theme="0" tint="-4.9989318521683403E-2"/>
      <name val="Comic Sans MS"/>
      <family val="4"/>
    </font>
    <font>
      <sz val="12"/>
      <color rgb="FF0000FF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charset val="186"/>
      <scheme val="minor"/>
    </font>
    <font>
      <sz val="10"/>
      <name val="Arial"/>
      <family val="2"/>
    </font>
    <font>
      <b/>
      <vertAlign val="subscript"/>
      <sz val="10"/>
      <name val="Arial"/>
      <family val="2"/>
    </font>
    <font>
      <b/>
      <sz val="10"/>
      <color rgb="FFFFFF00"/>
      <name val="Arial"/>
      <family val="2"/>
    </font>
    <font>
      <b/>
      <vertAlign val="subscript"/>
      <sz val="10"/>
      <color indexed="13"/>
      <name val="Arial"/>
      <family val="2"/>
    </font>
    <font>
      <b/>
      <sz val="10"/>
      <color indexed="13"/>
      <name val="Arial"/>
      <family val="2"/>
    </font>
    <font>
      <sz val="10"/>
      <color rgb="FFFFFF00"/>
      <name val="Arial"/>
      <family val="2"/>
    </font>
    <font>
      <vertAlign val="subscript"/>
      <sz val="10"/>
      <name val="Arial"/>
      <family val="2"/>
    </font>
    <font>
      <b/>
      <u/>
      <sz val="10"/>
      <name val="Arial"/>
      <family val="2"/>
    </font>
    <font>
      <b/>
      <u/>
      <sz val="12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sz val="10"/>
      <color rgb="FF0070C0"/>
      <name val="Arial"/>
      <family val="2"/>
    </font>
    <font>
      <b/>
      <sz val="10"/>
      <color rgb="FF0000FF"/>
      <name val="Arial"/>
      <family val="2"/>
    </font>
    <font>
      <sz val="11"/>
      <color rgb="FF000000"/>
      <name val="Calibri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b/>
      <sz val="10"/>
      <color rgb="FFFFFFFF"/>
      <name val="Arial"/>
      <family val="2"/>
    </font>
    <font>
      <sz val="10"/>
      <color rgb="FF0000FF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Arial"/>
      <family val="2"/>
    </font>
    <font>
      <sz val="10"/>
      <name val="Arial"/>
      <family val="1"/>
      <charset val="2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rgb="FFABABAB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63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20" borderId="1" applyNumberFormat="0" applyAlignment="0" applyProtection="0"/>
    <xf numFmtId="0" fontId="18" fillId="0" borderId="2" applyNumberFormat="0" applyFill="0" applyAlignment="0" applyProtection="0"/>
    <xf numFmtId="0" fontId="19" fillId="21" borderId="3" applyNumberFormat="0" applyFont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0" fontId="22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23" fillId="0" borderId="0"/>
    <xf numFmtId="9" fontId="7" fillId="0" borderId="0" applyFont="0" applyFill="0" applyBorder="0" applyAlignment="0" applyProtection="0"/>
    <xf numFmtId="0" fontId="25" fillId="4" borderId="0" applyNumberFormat="0" applyBorder="0" applyAlignment="0" applyProtection="0"/>
    <xf numFmtId="0" fontId="26" fillId="20" borderId="4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5" applyNumberFormat="0" applyFill="0" applyAlignment="0" applyProtection="0"/>
    <xf numFmtId="0" fontId="30" fillId="0" borderId="6" applyNumberFormat="0" applyFill="0" applyAlignment="0" applyProtection="0"/>
    <xf numFmtId="0" fontId="31" fillId="0" borderId="7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8" applyNumberFormat="0" applyFill="0" applyAlignment="0" applyProtection="0"/>
    <xf numFmtId="0" fontId="33" fillId="23" borderId="9" applyNumberFormat="0" applyAlignment="0" applyProtection="0"/>
    <xf numFmtId="0" fontId="65" fillId="0" borderId="0"/>
    <xf numFmtId="0" fontId="6" fillId="0" borderId="0"/>
    <xf numFmtId="0" fontId="7" fillId="0" borderId="0"/>
    <xf numFmtId="176" fontId="7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0" fontId="4" fillId="0" borderId="0"/>
    <xf numFmtId="0" fontId="3" fillId="0" borderId="0"/>
    <xf numFmtId="0" fontId="7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180" fontId="66" fillId="0" borderId="0" applyFont="0" applyFill="0" applyBorder="0" applyAlignment="0" applyProtection="0"/>
    <xf numFmtId="18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86" fillId="0" borderId="0" applyNumberFormat="0" applyFill="0" applyBorder="0" applyAlignment="0" applyProtection="0"/>
  </cellStyleXfs>
  <cellXfs count="779">
    <xf numFmtId="0" fontId="0" fillId="0" borderId="0" xfId="0"/>
    <xf numFmtId="3" fontId="0" fillId="0" borderId="0" xfId="0" applyNumberFormat="1"/>
    <xf numFmtId="0" fontId="0" fillId="0" borderId="13" xfId="0" applyBorder="1"/>
    <xf numFmtId="0" fontId="37" fillId="0" borderId="0" xfId="0" applyFont="1"/>
    <xf numFmtId="0" fontId="0" fillId="0" borderId="32" xfId="0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21" xfId="0" applyBorder="1" applyAlignment="1">
      <alignment vertical="top"/>
    </xf>
    <xf numFmtId="0" fontId="0" fillId="27" borderId="0" xfId="0" applyFill="1"/>
    <xf numFmtId="0" fontId="0" fillId="27" borderId="24" xfId="0" applyFill="1" applyBorder="1" applyAlignment="1">
      <alignment vertical="top"/>
    </xf>
    <xf numFmtId="0" fontId="0" fillId="27" borderId="60" xfId="0" applyFill="1" applyBorder="1" applyAlignment="1">
      <alignment vertical="top"/>
    </xf>
    <xf numFmtId="0" fontId="0" fillId="27" borderId="45" xfId="0" applyFill="1" applyBorder="1" applyAlignment="1">
      <alignment vertical="top"/>
    </xf>
    <xf numFmtId="0" fontId="0" fillId="27" borderId="20" xfId="0" applyFill="1" applyBorder="1" applyAlignment="1">
      <alignment vertical="top"/>
    </xf>
    <xf numFmtId="0" fontId="13" fillId="27" borderId="0" xfId="0" applyFont="1" applyFill="1" applyAlignment="1">
      <alignment vertical="center"/>
    </xf>
    <xf numFmtId="0" fontId="0" fillId="27" borderId="44" xfId="0" applyFill="1" applyBorder="1" applyAlignment="1">
      <alignment vertical="top"/>
    </xf>
    <xf numFmtId="0" fontId="0" fillId="27" borderId="14" xfId="0" applyFill="1" applyBorder="1" applyAlignment="1">
      <alignment vertical="top"/>
    </xf>
    <xf numFmtId="0" fontId="0" fillId="27" borderId="35" xfId="0" applyFill="1" applyBorder="1" applyAlignment="1">
      <alignment vertical="top"/>
    </xf>
    <xf numFmtId="3" fontId="10" fillId="0" borderId="61" xfId="0" applyNumberFormat="1" applyFont="1" applyBorder="1" applyAlignment="1">
      <alignment vertical="top"/>
    </xf>
    <xf numFmtId="0" fontId="0" fillId="27" borderId="35" xfId="0" applyFill="1" applyBorder="1" applyAlignment="1">
      <alignment horizontal="center" vertical="top" wrapText="1"/>
    </xf>
    <xf numFmtId="3" fontId="0" fillId="0" borderId="15" xfId="0" applyNumberFormat="1" applyBorder="1"/>
    <xf numFmtId="0" fontId="10" fillId="27" borderId="12" xfId="0" applyFont="1" applyFill="1" applyBorder="1"/>
    <xf numFmtId="2" fontId="10" fillId="27" borderId="62" xfId="0" applyNumberFormat="1" applyFont="1" applyFill="1" applyBorder="1"/>
    <xf numFmtId="2" fontId="10" fillId="27" borderId="63" xfId="0" applyNumberFormat="1" applyFont="1" applyFill="1" applyBorder="1"/>
    <xf numFmtId="0" fontId="35" fillId="27" borderId="0" xfId="34" applyFont="1" applyFill="1"/>
    <xf numFmtId="0" fontId="0" fillId="27" borderId="60" xfId="0" applyFill="1" applyBorder="1" applyAlignment="1">
      <alignment horizontal="center" vertical="top" wrapText="1"/>
    </xf>
    <xf numFmtId="0" fontId="0" fillId="27" borderId="45" xfId="0" applyFill="1" applyBorder="1" applyAlignment="1">
      <alignment horizontal="center" vertical="top" wrapText="1"/>
    </xf>
    <xf numFmtId="0" fontId="41" fillId="27" borderId="0" xfId="33" applyFont="1" applyFill="1"/>
    <xf numFmtId="0" fontId="41" fillId="27" borderId="71" xfId="33" applyFont="1" applyFill="1" applyBorder="1"/>
    <xf numFmtId="0" fontId="41" fillId="27" borderId="72" xfId="33" applyFont="1" applyFill="1" applyBorder="1"/>
    <xf numFmtId="0" fontId="42" fillId="27" borderId="73" xfId="33" applyFont="1" applyFill="1" applyBorder="1"/>
    <xf numFmtId="0" fontId="41" fillId="27" borderId="74" xfId="33" applyFont="1" applyFill="1" applyBorder="1"/>
    <xf numFmtId="0" fontId="41" fillId="27" borderId="75" xfId="33" applyFont="1" applyFill="1" applyBorder="1"/>
    <xf numFmtId="0" fontId="41" fillId="27" borderId="76" xfId="33" applyFont="1" applyFill="1" applyBorder="1"/>
    <xf numFmtId="0" fontId="43" fillId="27" borderId="76" xfId="33" applyFont="1" applyFill="1" applyBorder="1" applyAlignment="1">
      <alignment horizontal="right"/>
    </xf>
    <xf numFmtId="0" fontId="41" fillId="27" borderId="0" xfId="33" applyFont="1" applyFill="1" applyAlignment="1">
      <alignment horizontal="left" indent="1"/>
    </xf>
    <xf numFmtId="0" fontId="41" fillId="27" borderId="77" xfId="33" applyFont="1" applyFill="1" applyBorder="1"/>
    <xf numFmtId="0" fontId="41" fillId="27" borderId="78" xfId="33" applyFont="1" applyFill="1" applyBorder="1"/>
    <xf numFmtId="0" fontId="50" fillId="27" borderId="0" xfId="0" applyFont="1" applyFill="1" applyAlignment="1">
      <alignment vertical="center"/>
    </xf>
    <xf numFmtId="0" fontId="19" fillId="27" borderId="0" xfId="0" applyFont="1" applyFill="1" applyAlignment="1">
      <alignment vertical="center"/>
    </xf>
    <xf numFmtId="0" fontId="47" fillId="27" borderId="0" xfId="34" applyFont="1" applyFill="1"/>
    <xf numFmtId="0" fontId="19" fillId="27" borderId="25" xfId="0" applyFont="1" applyFill="1" applyBorder="1" applyAlignment="1">
      <alignment vertical="center"/>
    </xf>
    <xf numFmtId="0" fontId="51" fillId="27" borderId="24" xfId="0" applyFont="1" applyFill="1" applyBorder="1" applyAlignment="1">
      <alignment vertical="top"/>
    </xf>
    <xf numFmtId="0" fontId="51" fillId="27" borderId="22" xfId="0" applyFont="1" applyFill="1" applyBorder="1" applyAlignment="1">
      <alignment vertical="top"/>
    </xf>
    <xf numFmtId="0" fontId="51" fillId="27" borderId="23" xfId="0" applyFont="1" applyFill="1" applyBorder="1" applyAlignment="1">
      <alignment vertical="top"/>
    </xf>
    <xf numFmtId="0" fontId="51" fillId="27" borderId="0" xfId="34" applyFont="1" applyFill="1" applyAlignment="1">
      <alignment horizontal="center"/>
    </xf>
    <xf numFmtId="0" fontId="41" fillId="27" borderId="76" xfId="33" applyFont="1" applyFill="1" applyBorder="1" applyAlignment="1">
      <alignment horizontal="centerContinuous"/>
    </xf>
    <xf numFmtId="0" fontId="41" fillId="27" borderId="75" xfId="33" applyFont="1" applyFill="1" applyBorder="1" applyAlignment="1">
      <alignment horizontal="centerContinuous"/>
    </xf>
    <xf numFmtId="0" fontId="51" fillId="27" borderId="11" xfId="0" applyFont="1" applyFill="1" applyBorder="1" applyAlignment="1">
      <alignment horizontal="center" vertical="top" wrapText="1"/>
    </xf>
    <xf numFmtId="0" fontId="0" fillId="27" borderId="20" xfId="0" applyFill="1" applyBorder="1" applyAlignment="1">
      <alignment horizontal="center" vertical="top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10" fillId="0" borderId="0" xfId="0" applyNumberFormat="1" applyFont="1" applyAlignment="1">
      <alignment horizontal="center"/>
    </xf>
    <xf numFmtId="171" fontId="0" fillId="0" borderId="0" xfId="0" applyNumberFormat="1" applyAlignment="1">
      <alignment horizontal="center"/>
    </xf>
    <xf numFmtId="169" fontId="53" fillId="27" borderId="13" xfId="0" applyNumberFormat="1" applyFont="1" applyFill="1" applyBorder="1" applyAlignment="1">
      <alignment horizontal="center"/>
    </xf>
    <xf numFmtId="0" fontId="12" fillId="0" borderId="0" xfId="0" applyFont="1"/>
    <xf numFmtId="0" fontId="56" fillId="27" borderId="0" xfId="33" applyFont="1" applyFill="1"/>
    <xf numFmtId="0" fontId="57" fillId="27" borderId="0" xfId="33" applyFont="1" applyFill="1"/>
    <xf numFmtId="0" fontId="58" fillId="27" borderId="0" xfId="33" applyFont="1" applyFill="1"/>
    <xf numFmtId="0" fontId="59" fillId="27" borderId="0" xfId="33" applyFont="1" applyFill="1" applyAlignment="1">
      <alignment horizontal="center"/>
    </xf>
    <xf numFmtId="0" fontId="60" fillId="27" borderId="0" xfId="33" applyFont="1" applyFill="1" applyAlignment="1">
      <alignment horizontal="center"/>
    </xf>
    <xf numFmtId="0" fontId="61" fillId="27" borderId="0" xfId="33" applyFont="1" applyFill="1" applyAlignment="1">
      <alignment horizontal="justify"/>
    </xf>
    <xf numFmtId="0" fontId="61" fillId="27" borderId="0" xfId="33" applyFont="1" applyFill="1"/>
    <xf numFmtId="0" fontId="62" fillId="27" borderId="0" xfId="33" applyFont="1" applyFill="1"/>
    <xf numFmtId="0" fontId="11" fillId="27" borderId="25" xfId="0" applyFont="1" applyFill="1" applyBorder="1" applyAlignment="1">
      <alignment horizontal="right" vertical="top" wrapText="1"/>
    </xf>
    <xf numFmtId="0" fontId="0" fillId="27" borderId="0" xfId="0" applyFill="1" applyAlignment="1">
      <alignment wrapText="1"/>
    </xf>
    <xf numFmtId="3" fontId="36" fillId="0" borderId="0" xfId="0" applyNumberFormat="1" applyFont="1" applyAlignment="1">
      <alignment horizontal="center"/>
    </xf>
    <xf numFmtId="9" fontId="12" fillId="0" borderId="0" xfId="35" applyFont="1" applyFill="1" applyAlignment="1">
      <alignment horizontal="center"/>
    </xf>
    <xf numFmtId="3" fontId="12" fillId="0" borderId="0" xfId="0" applyNumberFormat="1" applyFont="1" applyAlignment="1">
      <alignment horizontal="center"/>
    </xf>
    <xf numFmtId="0" fontId="0" fillId="0" borderId="27" xfId="0" applyBorder="1"/>
    <xf numFmtId="0" fontId="0" fillId="27" borderId="32" xfId="0" applyFill="1" applyBorder="1"/>
    <xf numFmtId="0" fontId="10" fillId="27" borderId="48" xfId="0" applyFont="1" applyFill="1" applyBorder="1"/>
    <xf numFmtId="0" fontId="10" fillId="27" borderId="65" xfId="0" applyFont="1" applyFill="1" applyBorder="1"/>
    <xf numFmtId="9" fontId="10" fillId="0" borderId="0" xfId="35" applyFont="1" applyFill="1" applyBorder="1"/>
    <xf numFmtId="9" fontId="0" fillId="0" borderId="13" xfId="35" applyFont="1" applyBorder="1"/>
    <xf numFmtId="0" fontId="9" fillId="24" borderId="15" xfId="0" applyFont="1" applyFill="1" applyBorder="1" applyAlignment="1">
      <alignment horizontal="center" vertical="top"/>
    </xf>
    <xf numFmtId="0" fontId="9" fillId="24" borderId="67" xfId="0" applyFont="1" applyFill="1" applyBorder="1" applyAlignment="1">
      <alignment horizontal="center" vertical="top"/>
    </xf>
    <xf numFmtId="9" fontId="0" fillId="0" borderId="29" xfId="35" applyFont="1" applyBorder="1"/>
    <xf numFmtId="9" fontId="0" fillId="0" borderId="11" xfId="35" applyFont="1" applyBorder="1"/>
    <xf numFmtId="2" fontId="10" fillId="27" borderId="82" xfId="0" applyNumberFormat="1" applyFont="1" applyFill="1" applyBorder="1"/>
    <xf numFmtId="0" fontId="12" fillId="27" borderId="35" xfId="0" applyFont="1" applyFill="1" applyBorder="1" applyAlignment="1">
      <alignment horizontal="center" vertical="top" wrapText="1"/>
    </xf>
    <xf numFmtId="0" fontId="0" fillId="27" borderId="14" xfId="0" applyFill="1" applyBorder="1" applyAlignment="1">
      <alignment horizontal="center" vertical="top" wrapText="1"/>
    </xf>
    <xf numFmtId="0" fontId="41" fillId="29" borderId="76" xfId="33" applyFont="1" applyFill="1" applyBorder="1"/>
    <xf numFmtId="0" fontId="41" fillId="29" borderId="0" xfId="33" applyFont="1" applyFill="1"/>
    <xf numFmtId="0" fontId="41" fillId="29" borderId="75" xfId="33" applyFont="1" applyFill="1" applyBorder="1"/>
    <xf numFmtId="0" fontId="22" fillId="0" borderId="0" xfId="31" applyAlignment="1">
      <alignment horizontal="left" vertical="center"/>
    </xf>
    <xf numFmtId="0" fontId="7" fillId="0" borderId="0" xfId="48"/>
    <xf numFmtId="0" fontId="7" fillId="0" borderId="0" xfId="48" applyAlignment="1">
      <alignment horizontal="center"/>
    </xf>
    <xf numFmtId="3" fontId="7" fillId="26" borderId="13" xfId="0" applyNumberFormat="1" applyFont="1" applyFill="1" applyBorder="1" applyAlignment="1">
      <alignment horizontal="center" vertical="top"/>
    </xf>
    <xf numFmtId="3" fontId="12" fillId="0" borderId="0" xfId="35" applyNumberFormat="1" applyFont="1" applyFill="1" applyBorder="1" applyAlignment="1">
      <alignment horizontal="center"/>
    </xf>
    <xf numFmtId="1" fontId="0" fillId="0" borderId="0" xfId="0" applyNumberFormat="1"/>
    <xf numFmtId="0" fontId="10" fillId="0" borderId="0" xfId="34" applyFont="1" applyAlignment="1">
      <alignment horizontal="centerContinuous"/>
    </xf>
    <xf numFmtId="0" fontId="12" fillId="0" borderId="0" xfId="34" applyFont="1" applyAlignment="1">
      <alignment horizontal="left"/>
    </xf>
    <xf numFmtId="3" fontId="10" fillId="0" borderId="0" xfId="34" applyNumberFormat="1" applyFont="1" applyAlignment="1">
      <alignment horizontal="right"/>
    </xf>
    <xf numFmtId="3" fontId="10" fillId="0" borderId="0" xfId="34" applyNumberFormat="1" applyFont="1" applyAlignment="1">
      <alignment horizontal="left"/>
    </xf>
    <xf numFmtId="170" fontId="10" fillId="0" borderId="0" xfId="35" applyNumberFormat="1" applyFont="1" applyFill="1" applyBorder="1" applyAlignment="1">
      <alignment horizontal="right"/>
    </xf>
    <xf numFmtId="0" fontId="10" fillId="0" borderId="0" xfId="0" applyFont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0" fillId="27" borderId="37" xfId="0" applyFill="1" applyBorder="1" applyAlignment="1">
      <alignment horizontal="center" vertical="top" wrapText="1"/>
    </xf>
    <xf numFmtId="3" fontId="10" fillId="27" borderId="42" xfId="0" applyNumberFormat="1" applyFont="1" applyFill="1" applyBorder="1" applyAlignment="1">
      <alignment horizontal="center" vertical="top"/>
    </xf>
    <xf numFmtId="0" fontId="7" fillId="0" borderId="13" xfId="0" applyFont="1" applyBorder="1" applyAlignment="1">
      <alignment vertical="top"/>
    </xf>
    <xf numFmtId="0" fontId="19" fillId="27" borderId="15" xfId="0" applyFont="1" applyFill="1" applyBorder="1" applyAlignment="1">
      <alignment horizontal="center" vertical="top" wrapText="1"/>
    </xf>
    <xf numFmtId="0" fontId="0" fillId="27" borderId="36" xfId="0" applyFill="1" applyBorder="1" applyAlignment="1">
      <alignment horizontal="center" vertical="top" wrapText="1"/>
    </xf>
    <xf numFmtId="0" fontId="0" fillId="27" borderId="0" xfId="0" applyFill="1" applyAlignment="1">
      <alignment horizontal="center"/>
    </xf>
    <xf numFmtId="172" fontId="0" fillId="0" borderId="15" xfId="0" applyNumberFormat="1" applyBorder="1" applyAlignment="1">
      <alignment horizontal="center"/>
    </xf>
    <xf numFmtId="0" fontId="12" fillId="0" borderId="0" xfId="0" applyFont="1" applyAlignment="1">
      <alignment horizontal="center"/>
    </xf>
    <xf numFmtId="3" fontId="0" fillId="0" borderId="16" xfId="0" applyNumberFormat="1" applyBorder="1" applyAlignment="1">
      <alignment horizontal="center"/>
    </xf>
    <xf numFmtId="170" fontId="9" fillId="0" borderId="0" xfId="35" applyNumberFormat="1" applyFont="1" applyFill="1" applyAlignment="1">
      <alignment horizontal="center"/>
    </xf>
    <xf numFmtId="3" fontId="10" fillId="0" borderId="41" xfId="0" applyNumberFormat="1" applyFont="1" applyBorder="1" applyAlignment="1">
      <alignment horizontal="center" vertical="top"/>
    </xf>
    <xf numFmtId="3" fontId="10" fillId="0" borderId="43" xfId="0" applyNumberFormat="1" applyFont="1" applyBorder="1" applyAlignment="1">
      <alignment horizontal="center" vertical="top"/>
    </xf>
    <xf numFmtId="3" fontId="10" fillId="0" borderId="39" xfId="0" applyNumberFormat="1" applyFont="1" applyBorder="1" applyAlignment="1">
      <alignment horizontal="center" vertical="top"/>
    </xf>
    <xf numFmtId="3" fontId="10" fillId="0" borderId="61" xfId="0" applyNumberFormat="1" applyFont="1" applyBorder="1" applyAlignment="1">
      <alignment horizontal="center" vertical="top"/>
    </xf>
    <xf numFmtId="3" fontId="10" fillId="0" borderId="40" xfId="0" applyNumberFormat="1" applyFont="1" applyBorder="1" applyAlignment="1">
      <alignment horizontal="center" vertical="top"/>
    </xf>
    <xf numFmtId="0" fontId="12" fillId="27" borderId="14" xfId="0" applyFont="1" applyFill="1" applyBorder="1" applyAlignment="1">
      <alignment horizontal="center" vertical="top" wrapText="1"/>
    </xf>
    <xf numFmtId="0" fontId="12" fillId="27" borderId="45" xfId="0" applyFont="1" applyFill="1" applyBorder="1" applyAlignment="1">
      <alignment horizontal="center" vertical="top" wrapText="1"/>
    </xf>
    <xf numFmtId="170" fontId="12" fillId="0" borderId="67" xfId="35" applyNumberFormat="1" applyFont="1" applyBorder="1" applyAlignment="1">
      <alignment horizontal="center"/>
    </xf>
    <xf numFmtId="170" fontId="12" fillId="0" borderId="57" xfId="35" applyNumberFormat="1" applyFont="1" applyBorder="1" applyAlignment="1">
      <alignment horizontal="center"/>
    </xf>
    <xf numFmtId="170" fontId="12" fillId="0" borderId="15" xfId="35" applyNumberFormat="1" applyFont="1" applyBorder="1" applyAlignment="1">
      <alignment horizontal="center"/>
    </xf>
    <xf numFmtId="170" fontId="12" fillId="0" borderId="13" xfId="35" applyNumberFormat="1" applyFont="1" applyBorder="1" applyAlignment="1">
      <alignment horizontal="center"/>
    </xf>
    <xf numFmtId="170" fontId="12" fillId="0" borderId="16" xfId="35" applyNumberFormat="1" applyFont="1" applyBorder="1" applyAlignment="1">
      <alignment horizontal="center"/>
    </xf>
    <xf numFmtId="170" fontId="12" fillId="0" borderId="28" xfId="35" applyNumberFormat="1" applyFont="1" applyBorder="1" applyAlignment="1">
      <alignment horizontal="center"/>
    </xf>
    <xf numFmtId="170" fontId="12" fillId="0" borderId="29" xfId="35" applyNumberFormat="1" applyFont="1" applyBorder="1" applyAlignment="1">
      <alignment horizontal="center"/>
    </xf>
    <xf numFmtId="170" fontId="12" fillId="0" borderId="30" xfId="35" applyNumberFormat="1" applyFont="1" applyBorder="1" applyAlignment="1">
      <alignment horizontal="center"/>
    </xf>
    <xf numFmtId="0" fontId="0" fillId="27" borderId="36" xfId="0" applyFill="1" applyBorder="1" applyAlignment="1">
      <alignment horizontal="center" vertical="top"/>
    </xf>
    <xf numFmtId="0" fontId="7" fillId="27" borderId="60" xfId="0" applyFont="1" applyFill="1" applyBorder="1" applyAlignment="1">
      <alignment horizontal="center" vertical="top" wrapText="1"/>
    </xf>
    <xf numFmtId="0" fontId="7" fillId="27" borderId="45" xfId="0" applyFont="1" applyFill="1" applyBorder="1" applyAlignment="1">
      <alignment horizontal="center" vertical="top" wrapText="1"/>
    </xf>
    <xf numFmtId="0" fontId="7" fillId="27" borderId="14" xfId="0" applyFont="1" applyFill="1" applyBorder="1" applyAlignment="1">
      <alignment horizontal="center" vertical="top" wrapText="1"/>
    </xf>
    <xf numFmtId="0" fontId="7" fillId="27" borderId="35" xfId="0" applyFont="1" applyFill="1" applyBorder="1" applyAlignment="1">
      <alignment horizontal="center" vertical="top" wrapText="1"/>
    </xf>
    <xf numFmtId="0" fontId="0" fillId="27" borderId="35" xfId="0" applyFill="1" applyBorder="1" applyAlignment="1">
      <alignment horizontal="center" vertical="top"/>
    </xf>
    <xf numFmtId="0" fontId="7" fillId="27" borderId="20" xfId="0" applyFont="1" applyFill="1" applyBorder="1" applyAlignment="1">
      <alignment horizontal="center" vertical="top" wrapText="1"/>
    </xf>
    <xf numFmtId="172" fontId="0" fillId="0" borderId="21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4" fontId="64" fillId="27" borderId="51" xfId="0" applyNumberFormat="1" applyFont="1" applyFill="1" applyBorder="1" applyAlignment="1">
      <alignment horizontal="center"/>
    </xf>
    <xf numFmtId="4" fontId="64" fillId="27" borderId="21" xfId="0" applyNumberFormat="1" applyFont="1" applyFill="1" applyBorder="1" applyAlignment="1">
      <alignment horizontal="center"/>
    </xf>
    <xf numFmtId="4" fontId="64" fillId="27" borderId="11" xfId="0" applyNumberFormat="1" applyFont="1" applyFill="1" applyBorder="1" applyAlignment="1">
      <alignment horizontal="center"/>
    </xf>
    <xf numFmtId="4" fontId="64" fillId="27" borderId="29" xfId="0" applyNumberFormat="1" applyFont="1" applyFill="1" applyBorder="1" applyAlignment="1">
      <alignment horizontal="center"/>
    </xf>
    <xf numFmtId="0" fontId="0" fillId="27" borderId="49" xfId="0" applyFill="1" applyBorder="1"/>
    <xf numFmtId="3" fontId="10" fillId="0" borderId="41" xfId="0" applyNumberFormat="1" applyFont="1" applyBorder="1" applyAlignment="1">
      <alignment horizontal="center"/>
    </xf>
    <xf numFmtId="3" fontId="10" fillId="0" borderId="40" xfId="0" applyNumberFormat="1" applyFont="1" applyBorder="1" applyAlignment="1">
      <alignment horizontal="center"/>
    </xf>
    <xf numFmtId="0" fontId="0" fillId="29" borderId="0" xfId="0" applyFill="1"/>
    <xf numFmtId="0" fontId="19" fillId="27" borderId="27" xfId="0" applyFont="1" applyFill="1" applyBorder="1" applyAlignment="1">
      <alignment horizontal="center" vertical="top" wrapText="1"/>
    </xf>
    <xf numFmtId="166" fontId="37" fillId="0" borderId="0" xfId="0" applyNumberFormat="1" applyFont="1" applyAlignment="1">
      <alignment horizontal="center"/>
    </xf>
    <xf numFmtId="0" fontId="11" fillId="29" borderId="24" xfId="0" applyFont="1" applyFill="1" applyBorder="1" applyAlignment="1">
      <alignment vertical="top"/>
    </xf>
    <xf numFmtId="0" fontId="0" fillId="29" borderId="24" xfId="0" applyFill="1" applyBorder="1" applyAlignment="1">
      <alignment vertical="top"/>
    </xf>
    <xf numFmtId="0" fontId="0" fillId="29" borderId="0" xfId="0" applyFill="1" applyAlignment="1">
      <alignment wrapText="1"/>
    </xf>
    <xf numFmtId="0" fontId="0" fillId="29" borderId="0" xfId="0" applyFill="1" applyAlignment="1">
      <alignment horizontal="center" vertical="top" wrapText="1"/>
    </xf>
    <xf numFmtId="0" fontId="9" fillId="29" borderId="0" xfId="0" applyFont="1" applyFill="1" applyAlignment="1">
      <alignment horizontal="center" vertical="top"/>
    </xf>
    <xf numFmtId="0" fontId="8" fillId="29" borderId="87" xfId="0" applyFont="1" applyFill="1" applyBorder="1" applyAlignment="1">
      <alignment horizontal="center" vertical="top"/>
    </xf>
    <xf numFmtId="0" fontId="8" fillId="29" borderId="0" xfId="0" applyFont="1" applyFill="1" applyAlignment="1">
      <alignment horizontal="center" vertical="top"/>
    </xf>
    <xf numFmtId="3" fontId="10" fillId="29" borderId="0" xfId="0" applyNumberFormat="1" applyFont="1" applyFill="1" applyAlignment="1">
      <alignment vertical="top"/>
    </xf>
    <xf numFmtId="0" fontId="7" fillId="0" borderId="0" xfId="0" applyFont="1" applyAlignment="1">
      <alignment horizontal="center"/>
    </xf>
    <xf numFmtId="170" fontId="10" fillId="0" borderId="0" xfId="0" applyNumberFormat="1" applyFont="1" applyAlignment="1">
      <alignment horizontal="center"/>
    </xf>
    <xf numFmtId="170" fontId="0" fillId="0" borderId="13" xfId="35" applyNumberFormat="1" applyFont="1" applyBorder="1" applyAlignment="1">
      <alignment horizontal="center"/>
    </xf>
    <xf numFmtId="9" fontId="10" fillId="0" borderId="0" xfId="35" applyFont="1" applyFill="1" applyBorder="1" applyAlignment="1">
      <alignment horizontal="center"/>
    </xf>
    <xf numFmtId="0" fontId="7" fillId="0" borderId="0" xfId="48" applyAlignment="1">
      <alignment horizontal="left" vertical="center"/>
    </xf>
    <xf numFmtId="0" fontId="7" fillId="0" borderId="61" xfId="48" applyBorder="1"/>
    <xf numFmtId="0" fontId="10" fillId="0" borderId="81" xfId="48" applyFont="1" applyBorder="1"/>
    <xf numFmtId="1" fontId="7" fillId="0" borderId="11" xfId="48" applyNumberFormat="1" applyBorder="1" applyAlignment="1">
      <alignment horizontal="center"/>
    </xf>
    <xf numFmtId="0" fontId="10" fillId="0" borderId="53" xfId="48" applyFont="1" applyBorder="1"/>
    <xf numFmtId="1" fontId="7" fillId="0" borderId="13" xfId="48" applyNumberFormat="1" applyBorder="1" applyAlignment="1">
      <alignment horizontal="center"/>
    </xf>
    <xf numFmtId="0" fontId="10" fillId="0" borderId="54" xfId="48" applyFont="1" applyBorder="1"/>
    <xf numFmtId="0" fontId="10" fillId="0" borderId="61" xfId="48" applyFont="1" applyBorder="1" applyAlignment="1">
      <alignment vertical="center"/>
    </xf>
    <xf numFmtId="0" fontId="12" fillId="27" borderId="20" xfId="0" applyFont="1" applyFill="1" applyBorder="1" applyAlignment="1">
      <alignment horizontal="center" vertical="top" wrapText="1"/>
    </xf>
    <xf numFmtId="3" fontId="10" fillId="27" borderId="40" xfId="0" applyNumberFormat="1" applyFont="1" applyFill="1" applyBorder="1" applyAlignment="1">
      <alignment horizontal="center" vertical="top"/>
    </xf>
    <xf numFmtId="0" fontId="37" fillId="0" borderId="0" xfId="0" applyFont="1" applyAlignment="1">
      <alignment horizontal="center"/>
    </xf>
    <xf numFmtId="4" fontId="64" fillId="27" borderId="79" xfId="0" applyNumberFormat="1" applyFont="1" applyFill="1" applyBorder="1" applyAlignment="1">
      <alignment horizontal="center"/>
    </xf>
    <xf numFmtId="4" fontId="64" fillId="27" borderId="63" xfId="0" applyNumberFormat="1" applyFont="1" applyFill="1" applyBorder="1" applyAlignment="1">
      <alignment horizontal="center"/>
    </xf>
    <xf numFmtId="170" fontId="0" fillId="0" borderId="0" xfId="35" applyNumberFormat="1" applyFont="1"/>
    <xf numFmtId="0" fontId="7" fillId="0" borderId="0" xfId="0" applyFont="1"/>
    <xf numFmtId="0" fontId="23" fillId="29" borderId="14" xfId="0" applyFont="1" applyFill="1" applyBorder="1"/>
    <xf numFmtId="0" fontId="23" fillId="29" borderId="13" xfId="0" applyFont="1" applyFill="1" applyBorder="1" applyAlignment="1">
      <alignment horizontal="center"/>
    </xf>
    <xf numFmtId="0" fontId="23" fillId="29" borderId="13" xfId="0" applyFont="1" applyFill="1" applyBorder="1"/>
    <xf numFmtId="0" fontId="0" fillId="0" borderId="0" xfId="0" applyAlignment="1">
      <alignment horizontal="left"/>
    </xf>
    <xf numFmtId="0" fontId="10" fillId="0" borderId="0" xfId="0" applyFont="1" applyAlignment="1">
      <alignment horizontal="left" vertical="center" wrapText="1"/>
    </xf>
    <xf numFmtId="3" fontId="7" fillId="0" borderId="0" xfId="0" applyNumberFormat="1" applyFont="1" applyAlignment="1">
      <alignment vertical="center"/>
    </xf>
    <xf numFmtId="170" fontId="7" fillId="0" borderId="44" xfId="58" applyNumberFormat="1" applyFont="1" applyBorder="1" applyAlignment="1">
      <alignment vertical="center"/>
    </xf>
    <xf numFmtId="166" fontId="7" fillId="0" borderId="45" xfId="0" applyNumberFormat="1" applyFont="1" applyBorder="1" applyAlignment="1">
      <alignment horizontal="center" vertical="center"/>
    </xf>
    <xf numFmtId="0" fontId="7" fillId="0" borderId="45" xfId="0" applyFont="1" applyBorder="1" applyAlignment="1">
      <alignment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3" fontId="7" fillId="0" borderId="45" xfId="0" applyNumberFormat="1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178" fontId="7" fillId="0" borderId="45" xfId="0" applyNumberFormat="1" applyFont="1" applyBorder="1" applyAlignment="1">
      <alignment horizontal="center" vertical="center"/>
    </xf>
    <xf numFmtId="0" fontId="7" fillId="0" borderId="60" xfId="0" applyFont="1" applyBorder="1" applyAlignment="1">
      <alignment horizontal="left" vertical="center"/>
    </xf>
    <xf numFmtId="0" fontId="38" fillId="0" borderId="64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47" xfId="0" applyFont="1" applyBorder="1" applyAlignment="1">
      <alignment horizontal="center" vertical="center"/>
    </xf>
    <xf numFmtId="0" fontId="38" fillId="0" borderId="46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68" fillId="30" borderId="45" xfId="0" applyFont="1" applyFill="1" applyBorder="1" applyAlignment="1">
      <alignment horizontal="center" vertical="center"/>
    </xf>
    <xf numFmtId="0" fontId="68" fillId="30" borderId="45" xfId="0" applyFont="1" applyFill="1" applyBorder="1"/>
    <xf numFmtId="0" fontId="68" fillId="30" borderId="60" xfId="0" applyFont="1" applyFill="1" applyBorder="1" applyAlignment="1">
      <alignment horizontal="left"/>
    </xf>
    <xf numFmtId="0" fontId="10" fillId="31" borderId="18" xfId="0" applyFont="1" applyFill="1" applyBorder="1"/>
    <xf numFmtId="0" fontId="68" fillId="30" borderId="47" xfId="0" applyFont="1" applyFill="1" applyBorder="1" applyAlignment="1">
      <alignment horizontal="center" vertical="center"/>
    </xf>
    <xf numFmtId="0" fontId="68" fillId="30" borderId="0" xfId="0" applyFont="1" applyFill="1" applyAlignment="1">
      <alignment horizontal="center" vertical="center"/>
    </xf>
    <xf numFmtId="0" fontId="68" fillId="30" borderId="86" xfId="0" applyFont="1" applyFill="1" applyBorder="1" applyAlignment="1">
      <alignment horizontal="center" vertical="center"/>
    </xf>
    <xf numFmtId="0" fontId="68" fillId="30" borderId="47" xfId="0" applyFont="1" applyFill="1" applyBorder="1"/>
    <xf numFmtId="0" fontId="10" fillId="31" borderId="24" xfId="0" applyFont="1" applyFill="1" applyBorder="1"/>
    <xf numFmtId="0" fontId="68" fillId="30" borderId="91" xfId="0" applyFont="1" applyFill="1" applyBorder="1" applyAlignment="1">
      <alignment horizontal="center" vertical="center" wrapText="1"/>
    </xf>
    <xf numFmtId="0" fontId="68" fillId="30" borderId="26" xfId="0" applyFont="1" applyFill="1" applyBorder="1" applyAlignment="1">
      <alignment horizontal="center" vertical="center" wrapText="1"/>
    </xf>
    <xf numFmtId="0" fontId="10" fillId="31" borderId="25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2" xfId="0" applyBorder="1"/>
    <xf numFmtId="3" fontId="10" fillId="0" borderId="10" xfId="0" applyNumberFormat="1" applyFont="1" applyBorder="1"/>
    <xf numFmtId="0" fontId="0" fillId="0" borderId="87" xfId="0" applyBorder="1"/>
    <xf numFmtId="3" fontId="66" fillId="0" borderId="0" xfId="59" applyNumberFormat="1" applyBorder="1"/>
    <xf numFmtId="166" fontId="7" fillId="0" borderId="0" xfId="0" applyNumberFormat="1" applyFont="1"/>
    <xf numFmtId="3" fontId="7" fillId="0" borderId="0" xfId="0" applyNumberFormat="1" applyFont="1"/>
    <xf numFmtId="3" fontId="7" fillId="0" borderId="86" xfId="0" applyNumberFormat="1" applyFont="1" applyBorder="1"/>
    <xf numFmtId="0" fontId="10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73" fillId="0" borderId="0" xfId="0" applyFont="1" applyAlignment="1">
      <alignment horizontal="center"/>
    </xf>
    <xf numFmtId="175" fontId="7" fillId="0" borderId="0" xfId="0" applyNumberFormat="1" applyFont="1"/>
    <xf numFmtId="0" fontId="73" fillId="0" borderId="0" xfId="0" applyFont="1" applyAlignment="1">
      <alignment vertical="center"/>
    </xf>
    <xf numFmtId="3" fontId="10" fillId="25" borderId="13" xfId="0" applyNumberFormat="1" applyFont="1" applyFill="1" applyBorder="1" applyAlignment="1">
      <alignment vertical="center"/>
    </xf>
    <xf numFmtId="3" fontId="38" fillId="0" borderId="0" xfId="0" applyNumberFormat="1" applyFont="1" applyAlignment="1" applyProtection="1">
      <alignment vertical="center"/>
      <protection locked="0"/>
    </xf>
    <xf numFmtId="0" fontId="38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0" borderId="0" xfId="0" applyProtection="1">
      <protection locked="0"/>
    </xf>
    <xf numFmtId="3" fontId="38" fillId="0" borderId="0" xfId="0" applyNumberFormat="1" applyFont="1" applyProtection="1">
      <protection locked="0"/>
    </xf>
    <xf numFmtId="0" fontId="38" fillId="0" borderId="0" xfId="0" applyFont="1" applyProtection="1">
      <protection locked="0"/>
    </xf>
    <xf numFmtId="3" fontId="7" fillId="0" borderId="0" xfId="0" applyNumberFormat="1" applyFont="1" applyProtection="1">
      <protection locked="0"/>
    </xf>
    <xf numFmtId="0" fontId="38" fillId="0" borderId="34" xfId="0" applyFont="1" applyBorder="1" applyAlignment="1" applyProtection="1">
      <alignment horizontal="center" vertical="center" wrapText="1"/>
      <protection locked="0"/>
    </xf>
    <xf numFmtId="0" fontId="74" fillId="0" borderId="0" xfId="0" applyFont="1"/>
    <xf numFmtId="0" fontId="36" fillId="0" borderId="0" xfId="0" applyFont="1" applyAlignment="1" applyProtection="1">
      <alignment horizontal="center" vertical="center"/>
      <protection locked="0"/>
    </xf>
    <xf numFmtId="0" fontId="23" fillId="29" borderId="93" xfId="0" applyFont="1" applyFill="1" applyBorder="1"/>
    <xf numFmtId="0" fontId="23" fillId="29" borderId="94" xfId="0" applyFont="1" applyFill="1" applyBorder="1"/>
    <xf numFmtId="0" fontId="23" fillId="29" borderId="97" xfId="0" applyFont="1" applyFill="1" applyBorder="1"/>
    <xf numFmtId="0" fontId="23" fillId="29" borderId="95" xfId="0" applyFont="1" applyFill="1" applyBorder="1"/>
    <xf numFmtId="0" fontId="23" fillId="29" borderId="96" xfId="0" applyFont="1" applyFill="1" applyBorder="1"/>
    <xf numFmtId="164" fontId="53" fillId="27" borderId="13" xfId="0" applyNumberFormat="1" applyFont="1" applyFill="1" applyBorder="1" applyAlignment="1">
      <alignment horizontal="center"/>
    </xf>
    <xf numFmtId="174" fontId="53" fillId="27" borderId="13" xfId="0" applyNumberFormat="1" applyFont="1" applyFill="1" applyBorder="1" applyAlignment="1">
      <alignment horizontal="center"/>
    </xf>
    <xf numFmtId="165" fontId="53" fillId="27" borderId="13" xfId="0" applyNumberFormat="1" applyFont="1" applyFill="1" applyBorder="1" applyAlignment="1">
      <alignment horizontal="center"/>
    </xf>
    <xf numFmtId="0" fontId="51" fillId="27" borderId="19" xfId="0" applyFont="1" applyFill="1" applyBorder="1"/>
    <xf numFmtId="0" fontId="51" fillId="27" borderId="19" xfId="0" applyFont="1" applyFill="1" applyBorder="1" applyAlignment="1">
      <alignment vertical="top"/>
    </xf>
    <xf numFmtId="0" fontId="19" fillId="27" borderId="19" xfId="0" applyFont="1" applyFill="1" applyBorder="1"/>
    <xf numFmtId="0" fontId="7" fillId="27" borderId="44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1" fontId="0" fillId="0" borderId="15" xfId="0" applyNumberFormat="1" applyBorder="1" applyAlignment="1">
      <alignment horizontal="center"/>
    </xf>
    <xf numFmtId="0" fontId="19" fillId="27" borderId="13" xfId="0" applyFont="1" applyFill="1" applyBorder="1" applyAlignment="1">
      <alignment horizontal="center" vertical="top" wrapText="1"/>
    </xf>
    <xf numFmtId="179" fontId="7" fillId="0" borderId="0" xfId="0" applyNumberFormat="1" applyFont="1"/>
    <xf numFmtId="0" fontId="7" fillId="0" borderId="87" xfId="0" applyFont="1" applyBorder="1"/>
    <xf numFmtId="0" fontId="7" fillId="0" borderId="12" xfId="0" applyFont="1" applyBorder="1"/>
    <xf numFmtId="166" fontId="66" fillId="0" borderId="0" xfId="59" applyNumberFormat="1" applyBorder="1"/>
    <xf numFmtId="166" fontId="10" fillId="0" borderId="10" xfId="0" applyNumberFormat="1" applyFont="1" applyBorder="1"/>
    <xf numFmtId="170" fontId="10" fillId="0" borderId="0" xfId="35" applyNumberFormat="1" applyFont="1" applyBorder="1"/>
    <xf numFmtId="170" fontId="10" fillId="0" borderId="0" xfId="35" applyNumberFormat="1" applyFont="1"/>
    <xf numFmtId="0" fontId="0" fillId="0" borderId="13" xfId="0" applyBorder="1" applyAlignment="1">
      <alignment horizontal="center"/>
    </xf>
    <xf numFmtId="0" fontId="0" fillId="29" borderId="13" xfId="0" applyFill="1" applyBorder="1"/>
    <xf numFmtId="0" fontId="0" fillId="29" borderId="13" xfId="0" applyFill="1" applyBorder="1" applyAlignment="1">
      <alignment horizontal="center"/>
    </xf>
    <xf numFmtId="0" fontId="10" fillId="29" borderId="13" xfId="0" applyFont="1" applyFill="1" applyBorder="1" applyAlignment="1">
      <alignment horizontal="center"/>
    </xf>
    <xf numFmtId="0" fontId="7" fillId="29" borderId="13" xfId="0" applyFont="1" applyFill="1" applyBorder="1" applyAlignment="1">
      <alignment horizontal="left"/>
    </xf>
    <xf numFmtId="3" fontId="7" fillId="29" borderId="13" xfId="0" applyNumberFormat="1" applyFont="1" applyFill="1" applyBorder="1" applyAlignment="1">
      <alignment horizontal="center"/>
    </xf>
    <xf numFmtId="0" fontId="7" fillId="0" borderId="13" xfId="0" applyFont="1" applyBorder="1"/>
    <xf numFmtId="170" fontId="7" fillId="29" borderId="13" xfId="58" applyNumberFormat="1" applyFont="1" applyFill="1" applyBorder="1" applyAlignment="1">
      <alignment horizontal="center"/>
    </xf>
    <xf numFmtId="0" fontId="7" fillId="29" borderId="13" xfId="0" applyFont="1" applyFill="1" applyBorder="1"/>
    <xf numFmtId="3" fontId="7" fillId="0" borderId="0" xfId="35" applyNumberFormat="1" applyFont="1" applyFill="1" applyBorder="1" applyAlignment="1">
      <alignment horizontal="center"/>
    </xf>
    <xf numFmtId="170" fontId="7" fillId="0" borderId="0" xfId="35" applyNumberFormat="1" applyFont="1"/>
    <xf numFmtId="0" fontId="40" fillId="27" borderId="26" xfId="0" applyFont="1" applyFill="1" applyBorder="1" applyAlignment="1">
      <alignment vertical="center"/>
    </xf>
    <xf numFmtId="1" fontId="10" fillId="0" borderId="83" xfId="0" applyNumberFormat="1" applyFont="1" applyBorder="1" applyAlignment="1">
      <alignment horizontal="center" vertical="top"/>
    </xf>
    <xf numFmtId="1" fontId="0" fillId="0" borderId="28" xfId="0" applyNumberFormat="1" applyBorder="1" applyAlignment="1">
      <alignment horizontal="center"/>
    </xf>
    <xf numFmtId="0" fontId="0" fillId="29" borderId="0" xfId="0" applyFill="1" applyAlignment="1">
      <alignment vertical="top"/>
    </xf>
    <xf numFmtId="0" fontId="0" fillId="27" borderId="33" xfId="0" applyFill="1" applyBorder="1" applyAlignment="1">
      <alignment horizontal="center" vertical="top" wrapText="1"/>
    </xf>
    <xf numFmtId="0" fontId="0" fillId="27" borderId="18" xfId="0" applyFill="1" applyBorder="1" applyAlignment="1">
      <alignment horizontal="center" vertical="top" wrapText="1"/>
    </xf>
    <xf numFmtId="4" fontId="7" fillId="28" borderId="11" xfId="0" applyNumberFormat="1" applyFont="1" applyFill="1" applyBorder="1" applyAlignment="1">
      <alignment horizontal="center"/>
    </xf>
    <xf numFmtId="4" fontId="7" fillId="28" borderId="21" xfId="0" applyNumberFormat="1" applyFont="1" applyFill="1" applyBorder="1" applyAlignment="1">
      <alignment horizontal="center"/>
    </xf>
    <xf numFmtId="0" fontId="51" fillId="27" borderId="0" xfId="0" applyFont="1" applyFill="1" applyAlignment="1">
      <alignment vertical="top"/>
    </xf>
    <xf numFmtId="169" fontId="53" fillId="27" borderId="16" xfId="0" applyNumberFormat="1" applyFont="1" applyFill="1" applyBorder="1" applyAlignment="1">
      <alignment horizontal="center"/>
    </xf>
    <xf numFmtId="173" fontId="53" fillId="27" borderId="16" xfId="0" applyNumberFormat="1" applyFont="1" applyFill="1" applyBorder="1" applyAlignment="1">
      <alignment horizontal="center"/>
    </xf>
    <xf numFmtId="0" fontId="51" fillId="27" borderId="62" xfId="34" applyFont="1" applyFill="1" applyBorder="1"/>
    <xf numFmtId="0" fontId="19" fillId="27" borderId="62" xfId="34" applyFont="1" applyFill="1" applyBorder="1"/>
    <xf numFmtId="168" fontId="53" fillId="27" borderId="15" xfId="0" applyNumberFormat="1" applyFont="1" applyFill="1" applyBorder="1" applyAlignment="1">
      <alignment horizontal="center"/>
    </xf>
    <xf numFmtId="169" fontId="53" fillId="27" borderId="15" xfId="0" applyNumberFormat="1" applyFont="1" applyFill="1" applyBorder="1" applyAlignment="1">
      <alignment horizontal="center"/>
    </xf>
    <xf numFmtId="165" fontId="53" fillId="27" borderId="15" xfId="0" applyNumberFormat="1" applyFont="1" applyFill="1" applyBorder="1" applyAlignment="1">
      <alignment horizontal="center"/>
    </xf>
    <xf numFmtId="0" fontId="64" fillId="32" borderId="18" xfId="0" applyFont="1" applyFill="1" applyBorder="1" applyAlignment="1">
      <alignment horizontal="center" vertical="top" wrapText="1"/>
    </xf>
    <xf numFmtId="0" fontId="64" fillId="32" borderId="69" xfId="0" applyFont="1" applyFill="1" applyBorder="1" applyAlignment="1">
      <alignment horizontal="center" vertical="top" wrapText="1"/>
    </xf>
    <xf numFmtId="3" fontId="10" fillId="27" borderId="19" xfId="34" applyNumberFormat="1" applyFont="1" applyFill="1" applyBorder="1" applyAlignment="1">
      <alignment horizontal="center"/>
    </xf>
    <xf numFmtId="3" fontId="10" fillId="27" borderId="48" xfId="34" applyNumberFormat="1" applyFont="1" applyFill="1" applyBorder="1" applyAlignment="1">
      <alignment horizontal="center"/>
    </xf>
    <xf numFmtId="3" fontId="10" fillId="27" borderId="98" xfId="34" applyNumberFormat="1" applyFont="1" applyFill="1" applyBorder="1" applyAlignment="1">
      <alignment horizontal="center"/>
    </xf>
    <xf numFmtId="3" fontId="10" fillId="27" borderId="65" xfId="34" applyNumberFormat="1" applyFont="1" applyFill="1" applyBorder="1" applyAlignment="1">
      <alignment horizontal="center"/>
    </xf>
    <xf numFmtId="0" fontId="19" fillId="27" borderId="98" xfId="0" applyFont="1" applyFill="1" applyBorder="1"/>
    <xf numFmtId="0" fontId="19" fillId="27" borderId="63" xfId="34" applyFont="1" applyFill="1" applyBorder="1"/>
    <xf numFmtId="0" fontId="51" fillId="27" borderId="62" xfId="0" applyFont="1" applyFill="1" applyBorder="1" applyAlignment="1">
      <alignment vertical="top"/>
    </xf>
    <xf numFmtId="174" fontId="75" fillId="27" borderId="15" xfId="0" applyNumberFormat="1" applyFont="1" applyFill="1" applyBorder="1" applyAlignment="1">
      <alignment horizontal="center"/>
    </xf>
    <xf numFmtId="174" fontId="75" fillId="27" borderId="13" xfId="0" applyNumberFormat="1" applyFont="1" applyFill="1" applyBorder="1" applyAlignment="1">
      <alignment horizontal="center"/>
    </xf>
    <xf numFmtId="173" fontId="53" fillId="27" borderId="13" xfId="0" applyNumberFormat="1" applyFont="1" applyFill="1" applyBorder="1" applyAlignment="1">
      <alignment horizontal="center"/>
    </xf>
    <xf numFmtId="0" fontId="7" fillId="0" borderId="0" xfId="0" applyFont="1" applyAlignment="1">
      <alignment horizontal="right"/>
    </xf>
    <xf numFmtId="0" fontId="7" fillId="0" borderId="0" xfId="48" applyProtection="1">
      <protection locked="0"/>
    </xf>
    <xf numFmtId="182" fontId="0" fillId="0" borderId="0" xfId="60" applyFont="1" applyProtection="1">
      <protection locked="0"/>
    </xf>
    <xf numFmtId="0" fontId="10" fillId="34" borderId="18" xfId="48" applyFont="1" applyFill="1" applyBorder="1" applyAlignment="1" applyProtection="1">
      <alignment horizontal="center" vertical="center"/>
      <protection locked="0"/>
    </xf>
    <xf numFmtId="170" fontId="10" fillId="34" borderId="64" xfId="48" applyNumberFormat="1" applyFont="1" applyFill="1" applyBorder="1" applyAlignment="1">
      <alignment horizontal="center" vertical="center"/>
    </xf>
    <xf numFmtId="0" fontId="10" fillId="34" borderId="25" xfId="48" applyFont="1" applyFill="1" applyBorder="1" applyAlignment="1" applyProtection="1">
      <alignment horizontal="center" vertical="center"/>
      <protection locked="0"/>
    </xf>
    <xf numFmtId="166" fontId="77" fillId="0" borderId="50" xfId="48" applyNumberFormat="1" applyFont="1" applyBorder="1" applyAlignment="1">
      <alignment horizontal="center" vertical="center"/>
    </xf>
    <xf numFmtId="166" fontId="77" fillId="0" borderId="39" xfId="48" applyNumberFormat="1" applyFont="1" applyBorder="1" applyAlignment="1">
      <alignment horizontal="center" vertical="center"/>
    </xf>
    <xf numFmtId="166" fontId="77" fillId="0" borderId="38" xfId="48" applyNumberFormat="1" applyFont="1" applyBorder="1" applyAlignment="1">
      <alignment horizontal="center" vertical="center"/>
    </xf>
    <xf numFmtId="166" fontId="77" fillId="0" borderId="64" xfId="48" applyNumberFormat="1" applyFont="1" applyBorder="1" applyAlignment="1">
      <alignment horizontal="center" vertical="center"/>
    </xf>
    <xf numFmtId="166" fontId="77" fillId="0" borderId="26" xfId="48" applyNumberFormat="1" applyFont="1" applyBorder="1" applyAlignment="1">
      <alignment horizontal="center" vertical="center"/>
    </xf>
    <xf numFmtId="166" fontId="77" fillId="0" borderId="25" xfId="48" applyNumberFormat="1" applyFont="1" applyBorder="1" applyAlignment="1">
      <alignment horizontal="center" vertical="center"/>
    </xf>
    <xf numFmtId="0" fontId="78" fillId="0" borderId="0" xfId="48" applyFont="1" applyAlignment="1" applyProtection="1">
      <alignment vertical="center"/>
      <protection locked="0"/>
    </xf>
    <xf numFmtId="0" fontId="79" fillId="29" borderId="0" xfId="48" applyFont="1" applyFill="1" applyAlignment="1" applyProtection="1">
      <alignment horizontal="center" vertical="center"/>
      <protection locked="0"/>
    </xf>
    <xf numFmtId="3" fontId="0" fillId="0" borderId="69" xfId="60" applyNumberFormat="1" applyFont="1" applyFill="1" applyBorder="1" applyAlignment="1" applyProtection="1">
      <alignment horizontal="center" vertical="center"/>
    </xf>
    <xf numFmtId="3" fontId="0" fillId="0" borderId="17" xfId="60" applyNumberFormat="1" applyFont="1" applyFill="1" applyBorder="1" applyAlignment="1" applyProtection="1">
      <alignment horizontal="center" vertical="center"/>
    </xf>
    <xf numFmtId="3" fontId="0" fillId="0" borderId="18" xfId="60" applyNumberFormat="1" applyFont="1" applyFill="1" applyBorder="1" applyAlignment="1" applyProtection="1">
      <alignment horizontal="center" vertical="center"/>
    </xf>
    <xf numFmtId="0" fontId="7" fillId="0" borderId="20" xfId="48" applyBorder="1" applyAlignment="1" applyProtection="1">
      <alignment horizontal="center" vertical="center"/>
      <protection locked="0"/>
    </xf>
    <xf numFmtId="0" fontId="7" fillId="0" borderId="60" xfId="48" applyBorder="1" applyAlignment="1" applyProtection="1">
      <alignment horizontal="center" vertical="center"/>
      <protection locked="0"/>
    </xf>
    <xf numFmtId="3" fontId="7" fillId="36" borderId="69" xfId="48" applyNumberFormat="1" applyFill="1" applyBorder="1" applyAlignment="1">
      <alignment horizontal="center" vertical="center"/>
    </xf>
    <xf numFmtId="3" fontId="7" fillId="36" borderId="17" xfId="48" applyNumberFormat="1" applyFill="1" applyBorder="1" applyAlignment="1">
      <alignment horizontal="center" vertical="center"/>
    </xf>
    <xf numFmtId="3" fontId="0" fillId="36" borderId="18" xfId="60" applyNumberFormat="1" applyFont="1" applyFill="1" applyBorder="1" applyAlignment="1" applyProtection="1">
      <alignment horizontal="center" vertical="center"/>
    </xf>
    <xf numFmtId="0" fontId="7" fillId="0" borderId="30" xfId="48" applyBorder="1" applyAlignment="1" applyProtection="1">
      <alignment horizontal="center" vertical="center"/>
      <protection locked="0"/>
    </xf>
    <xf numFmtId="1" fontId="7" fillId="0" borderId="69" xfId="48" applyNumberFormat="1" applyBorder="1" applyAlignment="1">
      <alignment horizontal="center" vertical="center"/>
    </xf>
    <xf numFmtId="1" fontId="7" fillId="0" borderId="17" xfId="48" applyNumberFormat="1" applyBorder="1" applyAlignment="1">
      <alignment horizontal="center" vertical="center"/>
    </xf>
    <xf numFmtId="3" fontId="0" fillId="0" borderId="18" xfId="60" applyNumberFormat="1" applyFont="1" applyFill="1" applyBorder="1" applyAlignment="1" applyProtection="1">
      <alignment horizontal="center" vertical="center"/>
      <protection locked="0"/>
    </xf>
    <xf numFmtId="0" fontId="7" fillId="0" borderId="35" xfId="48" applyBorder="1" applyAlignment="1" applyProtection="1">
      <alignment horizontal="center" vertical="center"/>
      <protection locked="0"/>
    </xf>
    <xf numFmtId="3" fontId="7" fillId="0" borderId="66" xfId="48" applyNumberFormat="1" applyBorder="1" applyAlignment="1">
      <alignment horizontal="center" vertical="center"/>
    </xf>
    <xf numFmtId="3" fontId="7" fillId="0" borderId="0" xfId="48" applyNumberFormat="1" applyAlignment="1">
      <alignment horizontal="center" vertical="center"/>
    </xf>
    <xf numFmtId="3" fontId="0" fillId="0" borderId="24" xfId="60" applyNumberFormat="1" applyFont="1" applyFill="1" applyBorder="1" applyAlignment="1" applyProtection="1">
      <alignment horizontal="center" vertical="center"/>
      <protection locked="0"/>
    </xf>
    <xf numFmtId="3" fontId="7" fillId="0" borderId="64" xfId="48" applyNumberFormat="1" applyBorder="1" applyAlignment="1">
      <alignment horizontal="center" vertical="center"/>
    </xf>
    <xf numFmtId="3" fontId="7" fillId="0" borderId="26" xfId="48" applyNumberFormat="1" applyBorder="1" applyAlignment="1">
      <alignment horizontal="center" vertical="center"/>
    </xf>
    <xf numFmtId="3" fontId="0" fillId="0" borderId="25" xfId="60" applyNumberFormat="1" applyFont="1" applyFill="1" applyBorder="1" applyAlignment="1" applyProtection="1">
      <alignment horizontal="center" vertical="center"/>
      <protection locked="0"/>
    </xf>
    <xf numFmtId="0" fontId="7" fillId="0" borderId="99" xfId="48" applyBorder="1" applyAlignment="1" applyProtection="1">
      <alignment horizontal="center" vertical="center"/>
      <protection locked="0"/>
    </xf>
    <xf numFmtId="3" fontId="7" fillId="0" borderId="69" xfId="48" applyNumberFormat="1" applyBorder="1" applyAlignment="1">
      <alignment horizontal="center" vertical="center"/>
    </xf>
    <xf numFmtId="3" fontId="7" fillId="0" borderId="17" xfId="48" applyNumberFormat="1" applyBorder="1" applyAlignment="1">
      <alignment horizontal="center" vertical="center"/>
    </xf>
    <xf numFmtId="0" fontId="7" fillId="0" borderId="100" xfId="48" applyBorder="1" applyAlignment="1" applyProtection="1">
      <alignment horizontal="center" vertical="center"/>
      <protection locked="0"/>
    </xf>
    <xf numFmtId="0" fontId="7" fillId="0" borderId="41" xfId="48" applyBorder="1" applyAlignment="1" applyProtection="1">
      <alignment horizontal="center" vertical="center"/>
      <protection locked="0"/>
    </xf>
    <xf numFmtId="0" fontId="7" fillId="0" borderId="85" xfId="48" applyBorder="1" applyAlignment="1" applyProtection="1">
      <alignment horizontal="center" vertical="center"/>
      <protection locked="0"/>
    </xf>
    <xf numFmtId="0" fontId="78" fillId="0" borderId="66" xfId="48" applyFont="1" applyBorder="1" applyAlignment="1" applyProtection="1">
      <alignment vertical="center"/>
      <protection locked="0"/>
    </xf>
    <xf numFmtId="3" fontId="7" fillId="0" borderId="0" xfId="48" applyNumberFormat="1" applyAlignment="1" applyProtection="1">
      <alignment horizontal="center" vertical="center"/>
      <protection locked="0"/>
    </xf>
    <xf numFmtId="3" fontId="0" fillId="0" borderId="24" xfId="60" applyNumberFormat="1" applyFont="1" applyFill="1" applyBorder="1" applyAlignment="1" applyProtection="1">
      <alignment horizontal="center" vertical="center"/>
    </xf>
    <xf numFmtId="0" fontId="7" fillId="0" borderId="89" xfId="48" applyBorder="1" applyAlignment="1" applyProtection="1">
      <alignment horizontal="center" vertical="center"/>
      <protection locked="0"/>
    </xf>
    <xf numFmtId="0" fontId="7" fillId="0" borderId="17" xfId="48" applyBorder="1" applyAlignment="1" applyProtection="1">
      <alignment horizontal="center" vertical="center"/>
      <protection locked="0"/>
    </xf>
    <xf numFmtId="0" fontId="78" fillId="0" borderId="64" xfId="48" applyFont="1" applyBorder="1" applyAlignment="1" applyProtection="1">
      <alignment vertical="center"/>
      <protection locked="0"/>
    </xf>
    <xf numFmtId="0" fontId="78" fillId="0" borderId="26" xfId="48" applyFont="1" applyBorder="1" applyAlignment="1" applyProtection="1">
      <alignment vertical="center"/>
      <protection locked="0"/>
    </xf>
    <xf numFmtId="3" fontId="7" fillId="0" borderId="26" xfId="48" applyNumberFormat="1" applyBorder="1" applyAlignment="1" applyProtection="1">
      <alignment horizontal="center" vertical="center"/>
      <protection locked="0"/>
    </xf>
    <xf numFmtId="3" fontId="0" fillId="0" borderId="25" xfId="60" applyNumberFormat="1" applyFont="1" applyFill="1" applyBorder="1" applyAlignment="1" applyProtection="1">
      <alignment horizontal="center" vertical="center"/>
    </xf>
    <xf numFmtId="0" fontId="7" fillId="0" borderId="26" xfId="48" applyBorder="1" applyAlignment="1" applyProtection="1">
      <alignment horizontal="center" vertical="center"/>
      <protection locked="0"/>
    </xf>
    <xf numFmtId="0" fontId="10" fillId="35" borderId="64" xfId="48" applyFont="1" applyFill="1" applyBorder="1" applyAlignment="1" applyProtection="1">
      <alignment horizontal="center" vertical="center"/>
      <protection locked="0"/>
    </xf>
    <xf numFmtId="0" fontId="10" fillId="35" borderId="26" xfId="48" applyFont="1" applyFill="1" applyBorder="1" applyAlignment="1" applyProtection="1">
      <alignment horizontal="center" vertical="center"/>
      <protection locked="0"/>
    </xf>
    <xf numFmtId="0" fontId="10" fillId="35" borderId="25" xfId="48" applyFont="1" applyFill="1" applyBorder="1" applyAlignment="1" applyProtection="1">
      <alignment horizontal="center" vertical="center"/>
      <protection locked="0"/>
    </xf>
    <xf numFmtId="182" fontId="0" fillId="0" borderId="0" xfId="60" applyFont="1" applyAlignment="1" applyProtection="1">
      <alignment vertical="center"/>
      <protection locked="0"/>
    </xf>
    <xf numFmtId="0" fontId="7" fillId="0" borderId="0" xfId="48" applyAlignment="1" applyProtection="1">
      <alignment vertical="center"/>
      <protection locked="0"/>
    </xf>
    <xf numFmtId="185" fontId="0" fillId="0" borderId="0" xfId="60" applyNumberFormat="1" applyFont="1" applyAlignment="1" applyProtection="1">
      <alignment vertical="center"/>
      <protection locked="0"/>
    </xf>
    <xf numFmtId="0" fontId="10" fillId="0" borderId="0" xfId="48" applyFont="1" applyAlignment="1" applyProtection="1">
      <alignment horizontal="center" vertical="center"/>
      <protection locked="0"/>
    </xf>
    <xf numFmtId="0" fontId="10" fillId="29" borderId="0" xfId="48" applyFont="1" applyFill="1" applyAlignment="1" applyProtection="1">
      <alignment vertical="center"/>
      <protection locked="0"/>
    </xf>
    <xf numFmtId="0" fontId="80" fillId="29" borderId="0" xfId="48" applyFont="1" applyFill="1" applyAlignment="1" applyProtection="1">
      <alignment vertical="center"/>
      <protection locked="0"/>
    </xf>
    <xf numFmtId="170" fontId="10" fillId="29" borderId="0" xfId="48" applyNumberFormat="1" applyFont="1" applyFill="1" applyAlignment="1" applyProtection="1">
      <alignment horizontal="left" vertical="center"/>
      <protection locked="0"/>
    </xf>
    <xf numFmtId="0" fontId="10" fillId="0" borderId="0" xfId="48" applyFont="1" applyAlignment="1" applyProtection="1">
      <alignment vertical="center"/>
      <protection locked="0"/>
    </xf>
    <xf numFmtId="9" fontId="10" fillId="29" borderId="0" xfId="48" applyNumberFormat="1" applyFont="1" applyFill="1" applyAlignment="1" applyProtection="1">
      <alignment vertical="center" wrapText="1"/>
      <protection locked="0"/>
    </xf>
    <xf numFmtId="0" fontId="7" fillId="0" borderId="0" xfId="48" applyAlignment="1" applyProtection="1">
      <alignment horizontal="center" vertical="center"/>
      <protection locked="0"/>
    </xf>
    <xf numFmtId="0" fontId="10" fillId="35" borderId="18" xfId="48" applyFont="1" applyFill="1" applyBorder="1" applyAlignment="1" applyProtection="1">
      <alignment horizontal="center" vertical="center"/>
      <protection locked="0"/>
    </xf>
    <xf numFmtId="0" fontId="7" fillId="0" borderId="83" xfId="48" applyBorder="1" applyAlignment="1" applyProtection="1">
      <alignment horizontal="center" vertical="center"/>
      <protection locked="0"/>
    </xf>
    <xf numFmtId="0" fontId="7" fillId="0" borderId="39" xfId="48" applyBorder="1" applyAlignment="1" applyProtection="1">
      <alignment horizontal="center" vertical="center"/>
      <protection locked="0"/>
    </xf>
    <xf numFmtId="0" fontId="7" fillId="0" borderId="61" xfId="48" applyBorder="1" applyAlignment="1" applyProtection="1">
      <alignment horizontal="center" vertical="center"/>
      <protection locked="0"/>
    </xf>
    <xf numFmtId="0" fontId="7" fillId="0" borderId="56" xfId="48" applyBorder="1" applyAlignment="1" applyProtection="1">
      <alignment horizontal="center" vertical="center"/>
      <protection locked="0"/>
    </xf>
    <xf numFmtId="0" fontId="7" fillId="0" borderId="66" xfId="48" applyBorder="1" applyAlignment="1" applyProtection="1">
      <alignment vertical="center"/>
      <protection locked="0"/>
    </xf>
    <xf numFmtId="0" fontId="7" fillId="0" borderId="64" xfId="48" applyBorder="1" applyAlignment="1" applyProtection="1">
      <alignment vertical="center"/>
      <protection locked="0"/>
    </xf>
    <xf numFmtId="0" fontId="7" fillId="0" borderId="26" xfId="48" applyBorder="1" applyAlignment="1" applyProtection="1">
      <alignment vertical="center"/>
      <protection locked="0"/>
    </xf>
    <xf numFmtId="9" fontId="81" fillId="0" borderId="0" xfId="35" applyFont="1" applyFill="1" applyBorder="1" applyAlignment="1" applyProtection="1">
      <alignment horizontal="center" vertical="center"/>
      <protection locked="0"/>
    </xf>
    <xf numFmtId="0" fontId="82" fillId="0" borderId="0" xfId="48" applyFont="1"/>
    <xf numFmtId="0" fontId="7" fillId="0" borderId="0" xfId="48" applyAlignment="1" applyProtection="1">
      <alignment vertical="center" wrapText="1"/>
      <protection locked="0"/>
    </xf>
    <xf numFmtId="0" fontId="7" fillId="29" borderId="83" xfId="48" applyFill="1" applyBorder="1" applyAlignment="1">
      <alignment horizontal="center" vertical="center"/>
    </xf>
    <xf numFmtId="186" fontId="81" fillId="38" borderId="17" xfId="60" applyNumberFormat="1" applyFont="1" applyFill="1" applyBorder="1" applyAlignment="1" applyProtection="1">
      <alignment horizontal="center" vertical="center"/>
      <protection locked="0"/>
    </xf>
    <xf numFmtId="0" fontId="7" fillId="29" borderId="83" xfId="48" applyFill="1" applyBorder="1" applyAlignment="1">
      <alignment horizontal="center" vertical="center" wrapText="1"/>
    </xf>
    <xf numFmtId="0" fontId="10" fillId="29" borderId="18" xfId="48" applyFont="1" applyFill="1" applyBorder="1" applyAlignment="1">
      <alignment horizontal="center" vertical="center"/>
    </xf>
    <xf numFmtId="0" fontId="7" fillId="29" borderId="90" xfId="48" applyFill="1" applyBorder="1" applyAlignment="1">
      <alignment horizontal="center" vertical="center"/>
    </xf>
    <xf numFmtId="186" fontId="81" fillId="38" borderId="0" xfId="60" applyNumberFormat="1" applyFont="1" applyFill="1" applyBorder="1" applyAlignment="1" applyProtection="1">
      <alignment horizontal="center" vertical="center"/>
      <protection locked="0"/>
    </xf>
    <xf numFmtId="0" fontId="7" fillId="29" borderId="90" xfId="48" applyFill="1" applyBorder="1" applyAlignment="1">
      <alignment horizontal="center" vertical="center" wrapText="1"/>
    </xf>
    <xf numFmtId="0" fontId="10" fillId="29" borderId="24" xfId="48" applyFont="1" applyFill="1" applyBorder="1" applyAlignment="1">
      <alignment horizontal="center" vertical="center"/>
    </xf>
    <xf numFmtId="0" fontId="7" fillId="29" borderId="52" xfId="48" applyFill="1" applyBorder="1" applyAlignment="1">
      <alignment horizontal="center" vertical="center" wrapText="1"/>
    </xf>
    <xf numFmtId="0" fontId="7" fillId="29" borderId="61" xfId="48" applyFill="1" applyBorder="1" applyAlignment="1">
      <alignment horizontal="center" vertical="center"/>
    </xf>
    <xf numFmtId="187" fontId="81" fillId="38" borderId="39" xfId="60" applyNumberFormat="1" applyFont="1" applyFill="1" applyBorder="1" applyAlignment="1" applyProtection="1">
      <alignment horizontal="center" vertical="center"/>
      <protection locked="0"/>
    </xf>
    <xf numFmtId="0" fontId="7" fillId="29" borderId="52" xfId="48" applyFill="1" applyBorder="1" applyAlignment="1">
      <alignment horizontal="center" vertical="center"/>
    </xf>
    <xf numFmtId="0" fontId="7" fillId="29" borderId="38" xfId="48" applyFill="1" applyBorder="1" applyAlignment="1">
      <alignment horizontal="center" vertical="center" wrapText="1"/>
    </xf>
    <xf numFmtId="166" fontId="77" fillId="29" borderId="0" xfId="60" applyNumberFormat="1" applyFont="1" applyFill="1" applyBorder="1" applyAlignment="1" applyProtection="1">
      <alignment horizontal="center" vertical="center"/>
    </xf>
    <xf numFmtId="166" fontId="77" fillId="29" borderId="26" xfId="60" applyNumberFormat="1" applyFont="1" applyFill="1" applyBorder="1" applyAlignment="1" applyProtection="1">
      <alignment horizontal="center" vertical="center"/>
    </xf>
    <xf numFmtId="0" fontId="7" fillId="29" borderId="84" xfId="48" applyFill="1" applyBorder="1" applyAlignment="1">
      <alignment horizontal="center" vertical="center" wrapText="1"/>
    </xf>
    <xf numFmtId="184" fontId="81" fillId="38" borderId="17" xfId="60" applyNumberFormat="1" applyFont="1" applyFill="1" applyBorder="1" applyAlignment="1" applyProtection="1">
      <alignment horizontal="center" vertical="center"/>
      <protection locked="0"/>
    </xf>
    <xf numFmtId="0" fontId="7" fillId="29" borderId="81" xfId="48" applyFill="1" applyBorder="1" applyAlignment="1">
      <alignment horizontal="center" vertical="center"/>
    </xf>
    <xf numFmtId="166" fontId="81" fillId="38" borderId="26" xfId="60" applyNumberFormat="1" applyFont="1" applyFill="1" applyBorder="1" applyAlignment="1" applyProtection="1">
      <alignment horizontal="center" vertical="center"/>
      <protection locked="0"/>
    </xf>
    <xf numFmtId="0" fontId="7" fillId="29" borderId="84" xfId="48" applyFill="1" applyBorder="1" applyAlignment="1">
      <alignment horizontal="center" vertical="center"/>
    </xf>
    <xf numFmtId="186" fontId="81" fillId="38" borderId="61" xfId="60" applyNumberFormat="1" applyFont="1" applyFill="1" applyBorder="1" applyAlignment="1" applyProtection="1">
      <alignment horizontal="center" vertical="center"/>
      <protection locked="0"/>
    </xf>
    <xf numFmtId="0" fontId="7" fillId="0" borderId="52" xfId="48" applyBorder="1" applyAlignment="1">
      <alignment horizontal="center" vertical="center"/>
    </xf>
    <xf numFmtId="0" fontId="7" fillId="29" borderId="58" xfId="48" applyFill="1" applyBorder="1" applyAlignment="1">
      <alignment horizontal="center" vertical="center"/>
    </xf>
    <xf numFmtId="0" fontId="10" fillId="29" borderId="25" xfId="48" applyFont="1" applyFill="1" applyBorder="1" applyAlignment="1">
      <alignment horizontal="center" vertical="center"/>
    </xf>
    <xf numFmtId="0" fontId="7" fillId="29" borderId="0" xfId="48" applyFill="1" applyAlignment="1">
      <alignment horizontal="center" vertical="center"/>
    </xf>
    <xf numFmtId="166" fontId="81" fillId="29" borderId="0" xfId="60" applyNumberFormat="1" applyFont="1" applyFill="1" applyBorder="1" applyAlignment="1" applyProtection="1">
      <alignment horizontal="center" vertical="center"/>
      <protection locked="0"/>
    </xf>
    <xf numFmtId="0" fontId="10" fillId="29" borderId="0" xfId="48" applyFont="1" applyFill="1" applyAlignment="1">
      <alignment horizontal="center" vertical="center" wrapText="1"/>
    </xf>
    <xf numFmtId="166" fontId="81" fillId="38" borderId="39" xfId="60" applyNumberFormat="1" applyFont="1" applyFill="1" applyBorder="1" applyAlignment="1" applyProtection="1">
      <alignment horizontal="center" vertical="center"/>
      <protection locked="0"/>
    </xf>
    <xf numFmtId="0" fontId="7" fillId="29" borderId="98" xfId="48" applyFill="1" applyBorder="1" applyAlignment="1">
      <alignment horizontal="center" vertical="center"/>
    </xf>
    <xf numFmtId="166" fontId="81" fillId="38" borderId="0" xfId="60" applyNumberFormat="1" applyFont="1" applyFill="1" applyBorder="1" applyAlignment="1" applyProtection="1">
      <alignment horizontal="center" vertical="center"/>
      <protection locked="0"/>
    </xf>
    <xf numFmtId="186" fontId="81" fillId="38" borderId="26" xfId="60" applyNumberFormat="1" applyFont="1" applyFill="1" applyBorder="1" applyAlignment="1" applyProtection="1">
      <alignment horizontal="center" vertical="center"/>
      <protection locked="0"/>
    </xf>
    <xf numFmtId="188" fontId="77" fillId="0" borderId="0" xfId="61" applyNumberFormat="1" applyFont="1" applyBorder="1" applyAlignment="1" applyProtection="1">
      <alignment horizontal="center" vertical="center"/>
    </xf>
    <xf numFmtId="9" fontId="77" fillId="0" borderId="0" xfId="35" applyFont="1" applyFill="1" applyBorder="1" applyAlignment="1" applyProtection="1">
      <alignment horizontal="center" vertical="center"/>
      <protection locked="0"/>
    </xf>
    <xf numFmtId="9" fontId="77" fillId="0" borderId="38" xfId="35" applyFont="1" applyFill="1" applyBorder="1" applyAlignment="1" applyProtection="1">
      <alignment horizontal="center" vertical="center"/>
      <protection locked="0"/>
    </xf>
    <xf numFmtId="9" fontId="77" fillId="0" borderId="25" xfId="35" applyFont="1" applyFill="1" applyBorder="1" applyAlignment="1" applyProtection="1">
      <alignment horizontal="center" vertical="center"/>
      <protection locked="0"/>
    </xf>
    <xf numFmtId="190" fontId="81" fillId="38" borderId="102" xfId="60" applyNumberFormat="1" applyFont="1" applyFill="1" applyBorder="1" applyAlignment="1" applyProtection="1">
      <alignment horizontal="center" vertical="center"/>
      <protection locked="0"/>
    </xf>
    <xf numFmtId="191" fontId="81" fillId="38" borderId="103" xfId="60" applyNumberFormat="1" applyFont="1" applyFill="1" applyBorder="1" applyAlignment="1" applyProtection="1">
      <alignment horizontal="center" vertical="center"/>
      <protection locked="0"/>
    </xf>
    <xf numFmtId="2" fontId="81" fillId="38" borderId="101" xfId="60" applyNumberFormat="1" applyFont="1" applyFill="1" applyBorder="1" applyAlignment="1" applyProtection="1">
      <alignment horizontal="center" vertical="center"/>
      <protection locked="0"/>
    </xf>
    <xf numFmtId="0" fontId="7" fillId="0" borderId="102" xfId="48" applyBorder="1" applyAlignment="1" applyProtection="1">
      <alignment horizontal="center" vertical="center"/>
      <protection locked="0"/>
    </xf>
    <xf numFmtId="190" fontId="81" fillId="38" borderId="105" xfId="60" applyNumberFormat="1" applyFont="1" applyFill="1" applyBorder="1" applyAlignment="1" applyProtection="1">
      <alignment horizontal="center" vertical="center"/>
      <protection locked="0"/>
    </xf>
    <xf numFmtId="191" fontId="81" fillId="38" borderId="106" xfId="60" applyNumberFormat="1" applyFont="1" applyFill="1" applyBorder="1" applyAlignment="1" applyProtection="1">
      <alignment horizontal="center" vertical="center"/>
      <protection locked="0"/>
    </xf>
    <xf numFmtId="2" fontId="81" fillId="38" borderId="104" xfId="60" applyNumberFormat="1" applyFont="1" applyFill="1" applyBorder="1" applyAlignment="1" applyProtection="1">
      <alignment horizontal="center" vertical="center"/>
      <protection locked="0"/>
    </xf>
    <xf numFmtId="0" fontId="7" fillId="0" borderId="105" xfId="48" applyBorder="1" applyAlignment="1" applyProtection="1">
      <alignment horizontal="center" vertical="center"/>
      <protection locked="0"/>
    </xf>
    <xf numFmtId="181" fontId="7" fillId="0" borderId="104" xfId="48" applyNumberFormat="1" applyBorder="1" applyAlignment="1">
      <alignment horizontal="center" vertical="center"/>
    </xf>
    <xf numFmtId="190" fontId="81" fillId="38" borderId="108" xfId="60" applyNumberFormat="1" applyFont="1" applyFill="1" applyBorder="1" applyAlignment="1" applyProtection="1">
      <alignment horizontal="center" vertical="center"/>
      <protection locked="0"/>
    </xf>
    <xf numFmtId="191" fontId="81" fillId="38" borderId="109" xfId="60" applyNumberFormat="1" applyFont="1" applyFill="1" applyBorder="1" applyAlignment="1" applyProtection="1">
      <alignment horizontal="center" vertical="center"/>
      <protection locked="0"/>
    </xf>
    <xf numFmtId="181" fontId="7" fillId="0" borderId="107" xfId="48" applyNumberFormat="1" applyBorder="1" applyAlignment="1">
      <alignment horizontal="center" vertical="center"/>
    </xf>
    <xf numFmtId="0" fontId="7" fillId="0" borderId="108" xfId="48" applyBorder="1" applyAlignment="1" applyProtection="1">
      <alignment horizontal="center" vertical="center"/>
      <protection locked="0"/>
    </xf>
    <xf numFmtId="0" fontId="83" fillId="0" borderId="61" xfId="48" applyFont="1" applyBorder="1" applyAlignment="1" applyProtection="1">
      <alignment horizontal="center" vertical="center" wrapText="1"/>
      <protection locked="0"/>
    </xf>
    <xf numFmtId="0" fontId="83" fillId="0" borderId="38" xfId="48" applyFont="1" applyBorder="1" applyAlignment="1" applyProtection="1">
      <alignment horizontal="center" vertical="center" wrapText="1"/>
      <protection locked="0"/>
    </xf>
    <xf numFmtId="0" fontId="83" fillId="0" borderId="39" xfId="48" applyFont="1" applyBorder="1" applyAlignment="1" applyProtection="1">
      <alignment horizontal="center" vertical="center" wrapText="1"/>
      <protection locked="0"/>
    </xf>
    <xf numFmtId="0" fontId="7" fillId="0" borderId="0" xfId="48" applyAlignment="1">
      <alignment horizontal="justify" vertical="center"/>
    </xf>
    <xf numFmtId="0" fontId="79" fillId="29" borderId="0" xfId="48" applyFont="1" applyFill="1" applyAlignment="1" applyProtection="1">
      <alignment vertical="center"/>
      <protection locked="0"/>
    </xf>
    <xf numFmtId="0" fontId="7" fillId="29" borderId="0" xfId="48" applyFill="1" applyAlignment="1" applyProtection="1">
      <alignment vertical="center"/>
      <protection locked="0"/>
    </xf>
    <xf numFmtId="191" fontId="81" fillId="38" borderId="61" xfId="60" applyNumberFormat="1" applyFont="1" applyFill="1" applyBorder="1" applyAlignment="1" applyProtection="1">
      <alignment horizontal="center" vertical="center"/>
      <protection locked="0"/>
    </xf>
    <xf numFmtId="0" fontId="79" fillId="29" borderId="38" xfId="48" applyFont="1" applyFill="1" applyBorder="1" applyAlignment="1" applyProtection="1">
      <alignment horizontal="center" vertical="center"/>
      <protection locked="0"/>
    </xf>
    <xf numFmtId="0" fontId="79" fillId="29" borderId="61" xfId="48" applyFont="1" applyFill="1" applyBorder="1" applyAlignment="1" applyProtection="1">
      <alignment horizontal="center" vertical="center"/>
      <protection locked="0"/>
    </xf>
    <xf numFmtId="184" fontId="81" fillId="38" borderId="61" xfId="60" applyNumberFormat="1" applyFont="1" applyFill="1" applyBorder="1" applyAlignment="1" applyProtection="1">
      <alignment horizontal="center" vertical="center"/>
      <protection locked="0"/>
    </xf>
    <xf numFmtId="183" fontId="10" fillId="35" borderId="69" xfId="48" applyNumberFormat="1" applyFont="1" applyFill="1" applyBorder="1" applyAlignment="1">
      <alignment horizontal="center" vertical="center"/>
    </xf>
    <xf numFmtId="192" fontId="79" fillId="29" borderId="61" xfId="48" applyNumberFormat="1" applyFont="1" applyFill="1" applyBorder="1" applyAlignment="1">
      <alignment horizontal="center" vertical="center"/>
    </xf>
    <xf numFmtId="170" fontId="10" fillId="35" borderId="64" xfId="35" applyNumberFormat="1" applyFont="1" applyFill="1" applyBorder="1" applyAlignment="1" applyProtection="1">
      <alignment horizontal="center" vertical="center"/>
    </xf>
    <xf numFmtId="183" fontId="10" fillId="36" borderId="69" xfId="48" applyNumberFormat="1" applyFont="1" applyFill="1" applyBorder="1" applyAlignment="1">
      <alignment horizontal="center" vertical="center"/>
    </xf>
    <xf numFmtId="0" fontId="10" fillId="36" borderId="18" xfId="48" applyFont="1" applyFill="1" applyBorder="1" applyAlignment="1" applyProtection="1">
      <alignment horizontal="center" vertical="center"/>
      <protection locked="0"/>
    </xf>
    <xf numFmtId="170" fontId="83" fillId="36" borderId="64" xfId="48" applyNumberFormat="1" applyFont="1" applyFill="1" applyBorder="1" applyAlignment="1">
      <alignment horizontal="center" vertical="center"/>
    </xf>
    <xf numFmtId="0" fontId="10" fillId="36" borderId="25" xfId="48" applyFont="1" applyFill="1" applyBorder="1" applyAlignment="1" applyProtection="1">
      <alignment horizontal="center" vertical="center"/>
      <protection locked="0"/>
    </xf>
    <xf numFmtId="0" fontId="79" fillId="29" borderId="0" xfId="48" applyFont="1" applyFill="1" applyAlignment="1" applyProtection="1">
      <alignment vertical="center" wrapText="1"/>
      <protection locked="0"/>
    </xf>
    <xf numFmtId="191" fontId="81" fillId="29" borderId="0" xfId="60" applyNumberFormat="1" applyFont="1" applyFill="1" applyBorder="1" applyAlignment="1" applyProtection="1">
      <alignment horizontal="center" vertical="center"/>
      <protection locked="0"/>
    </xf>
    <xf numFmtId="191" fontId="10" fillId="29" borderId="0" xfId="60" applyNumberFormat="1" applyFont="1" applyFill="1" applyBorder="1" applyAlignment="1" applyProtection="1">
      <alignment horizontal="center" vertical="center"/>
      <protection locked="0"/>
    </xf>
    <xf numFmtId="0" fontId="86" fillId="29" borderId="69" xfId="62" applyFill="1" applyBorder="1" applyAlignment="1">
      <alignment horizontal="center" vertical="center"/>
    </xf>
    <xf numFmtId="9" fontId="10" fillId="29" borderId="17" xfId="48" applyNumberFormat="1" applyFont="1" applyFill="1" applyBorder="1" applyAlignment="1">
      <alignment horizontal="center" vertical="center"/>
    </xf>
    <xf numFmtId="192" fontId="10" fillId="0" borderId="83" xfId="48" applyNumberFormat="1" applyFont="1" applyBorder="1" applyAlignment="1">
      <alignment horizontal="center" vertical="center" wrapText="1"/>
    </xf>
    <xf numFmtId="0" fontId="7" fillId="0" borderId="18" xfId="48" applyBorder="1" applyAlignment="1">
      <alignment vertical="center" wrapText="1"/>
    </xf>
    <xf numFmtId="0" fontId="37" fillId="0" borderId="18" xfId="48" applyFont="1" applyBorder="1" applyAlignment="1">
      <alignment horizontal="center" vertical="center"/>
    </xf>
    <xf numFmtId="0" fontId="10" fillId="29" borderId="66" xfId="48" applyFont="1" applyFill="1" applyBorder="1" applyAlignment="1">
      <alignment horizontal="center" vertical="center"/>
    </xf>
    <xf numFmtId="9" fontId="10" fillId="29" borderId="0" xfId="48" applyNumberFormat="1" applyFont="1" applyFill="1" applyAlignment="1">
      <alignment horizontal="center" vertical="center"/>
    </xf>
    <xf numFmtId="192" fontId="10" fillId="0" borderId="61" xfId="48" applyNumberFormat="1" applyFont="1" applyBorder="1" applyAlignment="1">
      <alignment horizontal="center" vertical="center" wrapText="1"/>
    </xf>
    <xf numFmtId="0" fontId="7" fillId="0" borderId="61" xfId="48" applyBorder="1" applyAlignment="1">
      <alignment vertical="center" wrapText="1"/>
    </xf>
    <xf numFmtId="0" fontId="37" fillId="0" borderId="61" xfId="48" applyFont="1" applyBorder="1" applyAlignment="1">
      <alignment horizontal="center" vertical="center"/>
    </xf>
    <xf numFmtId="0" fontId="86" fillId="29" borderId="66" xfId="62" applyFill="1" applyBorder="1" applyAlignment="1">
      <alignment horizontal="center" vertical="center" wrapText="1"/>
    </xf>
    <xf numFmtId="192" fontId="10" fillId="0" borderId="52" xfId="48" applyNumberFormat="1" applyFont="1" applyBorder="1" applyAlignment="1">
      <alignment horizontal="center" vertical="center" wrapText="1"/>
    </xf>
    <xf numFmtId="0" fontId="7" fillId="0" borderId="25" xfId="48" applyBorder="1" applyAlignment="1">
      <alignment vertical="center" wrapText="1"/>
    </xf>
    <xf numFmtId="0" fontId="10" fillId="29" borderId="64" xfId="48" applyFont="1" applyFill="1" applyBorder="1" applyAlignment="1">
      <alignment horizontal="center" vertical="center"/>
    </xf>
    <xf numFmtId="9" fontId="10" fillId="29" borderId="26" xfId="48" applyNumberFormat="1" applyFont="1" applyFill="1" applyBorder="1" applyAlignment="1">
      <alignment horizontal="center" vertical="center"/>
    </xf>
    <xf numFmtId="0" fontId="87" fillId="41" borderId="50" xfId="48" applyFont="1" applyFill="1" applyBorder="1" applyAlignment="1">
      <alignment horizontal="center" vertical="center" wrapText="1"/>
    </xf>
    <xf numFmtId="0" fontId="87" fillId="41" borderId="61" xfId="48" applyFont="1" applyFill="1" applyBorder="1" applyAlignment="1">
      <alignment horizontal="center" vertical="center" wrapText="1"/>
    </xf>
    <xf numFmtId="0" fontId="7" fillId="29" borderId="0" xfId="48" applyFill="1"/>
    <xf numFmtId="0" fontId="87" fillId="41" borderId="52" xfId="48" applyFont="1" applyFill="1" applyBorder="1" applyAlignment="1">
      <alignment horizontal="center" vertical="center" wrapText="1"/>
    </xf>
    <xf numFmtId="0" fontId="87" fillId="41" borderId="64" xfId="48" applyFont="1" applyFill="1" applyBorder="1" applyAlignment="1">
      <alignment horizontal="center" vertical="center" wrapText="1"/>
    </xf>
    <xf numFmtId="0" fontId="10" fillId="29" borderId="0" xfId="48" applyFont="1" applyFill="1" applyAlignment="1">
      <alignment horizontal="center"/>
    </xf>
    <xf numFmtId="181" fontId="88" fillId="38" borderId="104" xfId="60" applyNumberFormat="1" applyFont="1" applyFill="1" applyBorder="1" applyAlignment="1" applyProtection="1">
      <alignment horizontal="center" vertical="center"/>
      <protection locked="0"/>
    </xf>
    <xf numFmtId="193" fontId="10" fillId="34" borderId="69" xfId="48" applyNumberFormat="1" applyFont="1" applyFill="1" applyBorder="1" applyAlignment="1">
      <alignment horizontal="center" vertical="center"/>
    </xf>
    <xf numFmtId="0" fontId="79" fillId="0" borderId="0" xfId="48" applyFont="1" applyAlignment="1" applyProtection="1">
      <alignment vertical="center" wrapText="1"/>
      <protection locked="0"/>
    </xf>
    <xf numFmtId="0" fontId="79" fillId="0" borderId="0" xfId="48" applyFont="1" applyAlignment="1" applyProtection="1">
      <alignment vertical="center"/>
      <protection locked="0"/>
    </xf>
    <xf numFmtId="0" fontId="79" fillId="0" borderId="0" xfId="48" applyFont="1" applyAlignment="1" applyProtection="1">
      <alignment horizontal="center" vertical="center"/>
      <protection locked="0"/>
    </xf>
    <xf numFmtId="182" fontId="0" fillId="29" borderId="0" xfId="60" applyFont="1" applyFill="1" applyAlignment="1" applyProtection="1">
      <alignment vertical="center"/>
      <protection locked="0"/>
    </xf>
    <xf numFmtId="182" fontId="0" fillId="29" borderId="0" xfId="60" applyFont="1" applyFill="1" applyBorder="1" applyAlignment="1" applyProtection="1">
      <alignment vertical="center"/>
      <protection locked="0"/>
    </xf>
    <xf numFmtId="192" fontId="10" fillId="29" borderId="0" xfId="48" applyNumberFormat="1" applyFont="1" applyFill="1" applyAlignment="1">
      <alignment horizontal="center" vertical="center" wrapText="1"/>
    </xf>
    <xf numFmtId="9" fontId="7" fillId="0" borderId="45" xfId="35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94" fontId="10" fillId="0" borderId="13" xfId="0" applyNumberFormat="1" applyFont="1" applyBorder="1" applyAlignment="1">
      <alignment horizontal="center" vertical="center"/>
    </xf>
    <xf numFmtId="194" fontId="38" fillId="0" borderId="0" xfId="0" applyNumberFormat="1" applyFont="1" applyAlignment="1" applyProtection="1">
      <alignment vertical="center"/>
      <protection locked="0"/>
    </xf>
    <xf numFmtId="0" fontId="73" fillId="0" borderId="0" xfId="0" applyFont="1"/>
    <xf numFmtId="0" fontId="35" fillId="29" borderId="0" xfId="34" applyFont="1" applyFill="1"/>
    <xf numFmtId="0" fontId="86" fillId="29" borderId="0" xfId="62" applyFill="1"/>
    <xf numFmtId="170" fontId="0" fillId="0" borderId="29" xfId="35" applyNumberFormat="1" applyFont="1" applyBorder="1" applyAlignment="1">
      <alignment horizontal="center"/>
    </xf>
    <xf numFmtId="0" fontId="10" fillId="27" borderId="31" xfId="0" applyFont="1" applyFill="1" applyBorder="1"/>
    <xf numFmtId="3" fontId="38" fillId="28" borderId="13" xfId="0" applyNumberFormat="1" applyFont="1" applyFill="1" applyBorder="1" applyAlignment="1">
      <alignment horizontal="center"/>
    </xf>
    <xf numFmtId="2" fontId="38" fillId="28" borderId="13" xfId="0" applyNumberFormat="1" applyFont="1" applyFill="1" applyBorder="1" applyAlignment="1">
      <alignment horizontal="center"/>
    </xf>
    <xf numFmtId="4" fontId="12" fillId="0" borderId="13" xfId="0" applyNumberFormat="1" applyFont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0" fontId="10" fillId="0" borderId="62" xfId="0" applyFont="1" applyBorder="1"/>
    <xf numFmtId="0" fontId="10" fillId="0" borderId="12" xfId="0" applyFont="1" applyBorder="1"/>
    <xf numFmtId="181" fontId="0" fillId="0" borderId="13" xfId="0" applyNumberFormat="1" applyBorder="1" applyAlignment="1">
      <alignment horizontal="center"/>
    </xf>
    <xf numFmtId="4" fontId="7" fillId="28" borderId="45" xfId="0" applyNumberFormat="1" applyFont="1" applyFill="1" applyBorder="1" applyAlignment="1">
      <alignment horizontal="center"/>
    </xf>
    <xf numFmtId="4" fontId="7" fillId="28" borderId="20" xfId="0" applyNumberFormat="1" applyFont="1" applyFill="1" applyBorder="1" applyAlignment="1">
      <alignment horizontal="center"/>
    </xf>
    <xf numFmtId="4" fontId="7" fillId="28" borderId="13" xfId="0" applyNumberFormat="1" applyFont="1" applyFill="1" applyBorder="1" applyAlignment="1">
      <alignment horizontal="center"/>
    </xf>
    <xf numFmtId="4" fontId="7" fillId="28" borderId="16" xfId="0" applyNumberFormat="1" applyFont="1" applyFill="1" applyBorder="1" applyAlignment="1">
      <alignment horizontal="center"/>
    </xf>
    <xf numFmtId="0" fontId="22" fillId="29" borderId="76" xfId="31" applyFill="1" applyBorder="1" applyAlignment="1"/>
    <xf numFmtId="0" fontId="49" fillId="29" borderId="0" xfId="33" applyFont="1" applyFill="1"/>
    <xf numFmtId="0" fontId="49" fillId="29" borderId="75" xfId="33" applyFont="1" applyFill="1" applyBorder="1"/>
    <xf numFmtId="170" fontId="81" fillId="38" borderId="0" xfId="35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 vertical="top"/>
    </xf>
    <xf numFmtId="0" fontId="0" fillId="0" borderId="28" xfId="0" applyBorder="1" applyAlignment="1">
      <alignment horizontal="center" vertical="top"/>
    </xf>
    <xf numFmtId="0" fontId="0" fillId="27" borderId="87" xfId="0" applyFill="1" applyBorder="1" applyAlignment="1">
      <alignment vertical="top"/>
    </xf>
    <xf numFmtId="0" fontId="0" fillId="27" borderId="32" xfId="0" applyFill="1" applyBorder="1" applyAlignment="1">
      <alignment vertical="top"/>
    </xf>
    <xf numFmtId="0" fontId="64" fillId="42" borderId="13" xfId="0" quotePrefix="1" applyFont="1" applyFill="1" applyBorder="1" applyAlignment="1">
      <alignment vertical="top"/>
    </xf>
    <xf numFmtId="0" fontId="0" fillId="27" borderId="11" xfId="0" applyFill="1" applyBorder="1" applyAlignment="1">
      <alignment horizontal="center" vertical="top" wrapText="1"/>
    </xf>
    <xf numFmtId="0" fontId="7" fillId="27" borderId="36" xfId="0" applyFont="1" applyFill="1" applyBorder="1" applyAlignment="1">
      <alignment horizontal="center" vertical="top"/>
    </xf>
    <xf numFmtId="3" fontId="38" fillId="28" borderId="0" xfId="0" applyNumberFormat="1" applyFont="1" applyFill="1" applyProtection="1">
      <protection locked="0"/>
    </xf>
    <xf numFmtId="195" fontId="10" fillId="25" borderId="13" xfId="0" applyNumberFormat="1" applyFont="1" applyFill="1" applyBorder="1" applyAlignment="1">
      <alignment vertical="center"/>
    </xf>
    <xf numFmtId="0" fontId="64" fillId="42" borderId="15" xfId="0" quotePrefix="1" applyFont="1" applyFill="1" applyBorder="1" applyAlignment="1">
      <alignment vertical="top"/>
    </xf>
    <xf numFmtId="0" fontId="64" fillId="42" borderId="16" xfId="0" quotePrefix="1" applyFont="1" applyFill="1" applyBorder="1" applyAlignment="1">
      <alignment vertical="top"/>
    </xf>
    <xf numFmtId="0" fontId="10" fillId="27" borderId="42" xfId="0" applyFont="1" applyFill="1" applyBorder="1" applyAlignment="1">
      <alignment vertical="top"/>
    </xf>
    <xf numFmtId="0" fontId="7" fillId="24" borderId="57" xfId="0" applyFont="1" applyFill="1" applyBorder="1" applyAlignment="1">
      <alignment horizontal="left" vertical="top"/>
    </xf>
    <xf numFmtId="0" fontId="7" fillId="24" borderId="16" xfId="0" applyFont="1" applyFill="1" applyBorder="1" applyAlignment="1">
      <alignment horizontal="left" vertical="top"/>
    </xf>
    <xf numFmtId="0" fontId="19" fillId="27" borderId="16" xfId="0" applyFont="1" applyFill="1" applyBorder="1" applyAlignment="1">
      <alignment horizontal="center" vertical="top" wrapText="1"/>
    </xf>
    <xf numFmtId="169" fontId="75" fillId="27" borderId="13" xfId="0" applyNumberFormat="1" applyFont="1" applyFill="1" applyBorder="1" applyAlignment="1">
      <alignment horizontal="center"/>
    </xf>
    <xf numFmtId="165" fontId="53" fillId="27" borderId="16" xfId="0" applyNumberFormat="1" applyFont="1" applyFill="1" applyBorder="1" applyAlignment="1">
      <alignment horizontal="center"/>
    </xf>
    <xf numFmtId="168" fontId="75" fillId="27" borderId="13" xfId="0" applyNumberFormat="1" applyFont="1" applyFill="1" applyBorder="1" applyAlignment="1">
      <alignment horizontal="center"/>
    </xf>
    <xf numFmtId="3" fontId="7" fillId="0" borderId="13" xfId="0" applyNumberFormat="1" applyFont="1" applyBorder="1" applyAlignment="1">
      <alignment horizontal="center" vertical="top"/>
    </xf>
    <xf numFmtId="3" fontId="7" fillId="0" borderId="15" xfId="0" applyNumberFormat="1" applyFont="1" applyBorder="1" applyAlignment="1">
      <alignment horizontal="center" vertical="top"/>
    </xf>
    <xf numFmtId="3" fontId="7" fillId="0" borderId="16" xfId="0" applyNumberFormat="1" applyFont="1" applyBorder="1" applyAlignment="1">
      <alignment horizontal="center" vertical="top"/>
    </xf>
    <xf numFmtId="3" fontId="7" fillId="0" borderId="28" xfId="0" applyNumberFormat="1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7" fillId="43" borderId="67" xfId="0" applyFont="1" applyFill="1" applyBorder="1" applyAlignment="1">
      <alignment horizontal="center" vertical="top"/>
    </xf>
    <xf numFmtId="0" fontId="7" fillId="43" borderId="51" xfId="0" applyFont="1" applyFill="1" applyBorder="1" applyAlignment="1">
      <alignment horizontal="center" vertical="top"/>
    </xf>
    <xf numFmtId="0" fontId="7" fillId="43" borderId="51" xfId="0" applyFont="1" applyFill="1" applyBorder="1" applyAlignment="1">
      <alignment horizontal="center"/>
    </xf>
    <xf numFmtId="0" fontId="7" fillId="43" borderId="99" xfId="0" applyFont="1" applyFill="1" applyBorder="1" applyAlignment="1">
      <alignment horizontal="center"/>
    </xf>
    <xf numFmtId="0" fontId="7" fillId="43" borderId="57" xfId="0" applyFont="1" applyFill="1" applyBorder="1" applyAlignment="1">
      <alignment horizontal="center" vertical="top"/>
    </xf>
    <xf numFmtId="0" fontId="7" fillId="43" borderId="15" xfId="0" applyFont="1" applyFill="1" applyBorder="1" applyAlignment="1">
      <alignment horizontal="center" vertical="top"/>
    </xf>
    <xf numFmtId="0" fontId="7" fillId="43" borderId="13" xfId="0" applyFont="1" applyFill="1" applyBorder="1" applyAlignment="1">
      <alignment horizontal="center" vertical="top"/>
    </xf>
    <xf numFmtId="0" fontId="7" fillId="43" borderId="13" xfId="0" applyFont="1" applyFill="1" applyBorder="1" applyAlignment="1">
      <alignment horizontal="center"/>
    </xf>
    <xf numFmtId="0" fontId="7" fillId="43" borderId="16" xfId="0" applyFont="1" applyFill="1" applyBorder="1" applyAlignment="1">
      <alignment horizontal="center"/>
    </xf>
    <xf numFmtId="0" fontId="7" fillId="43" borderId="16" xfId="0" applyFont="1" applyFill="1" applyBorder="1" applyAlignment="1">
      <alignment horizontal="center" vertical="top"/>
    </xf>
    <xf numFmtId="0" fontId="7" fillId="43" borderId="12" xfId="0" applyFont="1" applyFill="1" applyBorder="1" applyAlignment="1">
      <alignment horizontal="center" vertical="top"/>
    </xf>
    <xf numFmtId="0" fontId="7" fillId="24" borderId="70" xfId="0" applyFont="1" applyFill="1" applyBorder="1" applyAlignment="1">
      <alignment horizontal="center" vertical="top"/>
    </xf>
    <xf numFmtId="0" fontId="7" fillId="24" borderId="51" xfId="0" applyFont="1" applyFill="1" applyBorder="1" applyAlignment="1">
      <alignment horizontal="center" vertical="top"/>
    </xf>
    <xf numFmtId="0" fontId="7" fillId="24" borderId="51" xfId="0" applyFont="1" applyFill="1" applyBorder="1" applyAlignment="1">
      <alignment horizontal="center"/>
    </xf>
    <xf numFmtId="0" fontId="7" fillId="24" borderId="57" xfId="0" applyFont="1" applyFill="1" applyBorder="1" applyAlignment="1">
      <alignment horizontal="center" vertical="top"/>
    </xf>
    <xf numFmtId="0" fontId="7" fillId="0" borderId="0" xfId="0" applyFont="1" applyAlignment="1">
      <alignment vertical="center"/>
    </xf>
    <xf numFmtId="173" fontId="53" fillId="38" borderId="15" xfId="0" applyNumberFormat="1" applyFont="1" applyFill="1" applyBorder="1" applyAlignment="1">
      <alignment horizontal="center"/>
    </xf>
    <xf numFmtId="173" fontId="53" fillId="38" borderId="13" xfId="0" applyNumberFormat="1" applyFont="1" applyFill="1" applyBorder="1" applyAlignment="1">
      <alignment horizontal="center"/>
    </xf>
    <xf numFmtId="173" fontId="53" fillId="38" borderId="16" xfId="0" applyNumberFormat="1" applyFont="1" applyFill="1" applyBorder="1" applyAlignment="1">
      <alignment horizontal="center"/>
    </xf>
    <xf numFmtId="1" fontId="10" fillId="0" borderId="40" xfId="48" applyNumberFormat="1" applyFont="1" applyBorder="1" applyAlignment="1">
      <alignment horizontal="center" vertical="center"/>
    </xf>
    <xf numFmtId="0" fontId="76" fillId="32" borderId="42" xfId="48" applyFont="1" applyFill="1" applyBorder="1" applyAlignment="1">
      <alignment horizontal="center" vertical="center"/>
    </xf>
    <xf numFmtId="3" fontId="23" fillId="29" borderId="97" xfId="0" applyNumberFormat="1" applyFont="1" applyFill="1" applyBorder="1" applyAlignment="1">
      <alignment horizontal="center"/>
    </xf>
    <xf numFmtId="177" fontId="23" fillId="29" borderId="97" xfId="0" applyNumberFormat="1" applyFont="1" applyFill="1" applyBorder="1" applyAlignment="1">
      <alignment horizontal="center"/>
    </xf>
    <xf numFmtId="0" fontId="92" fillId="0" borderId="0" xfId="0" applyFont="1" applyAlignment="1">
      <alignment vertical="center"/>
    </xf>
    <xf numFmtId="3" fontId="0" fillId="0" borderId="12" xfId="0" applyNumberFormat="1" applyFill="1" applyBorder="1" applyAlignment="1">
      <alignment horizontal="center"/>
    </xf>
    <xf numFmtId="3" fontId="0" fillId="0" borderId="16" xfId="0" applyNumberFormat="1" applyFill="1" applyBorder="1" applyAlignment="1">
      <alignment horizontal="center"/>
    </xf>
    <xf numFmtId="3" fontId="0" fillId="0" borderId="31" xfId="0" applyNumberFormat="1" applyFill="1" applyBorder="1" applyAlignment="1">
      <alignment horizontal="center"/>
    </xf>
    <xf numFmtId="3" fontId="0" fillId="0" borderId="30" xfId="0" applyNumberFormat="1" applyFill="1" applyBorder="1" applyAlignment="1">
      <alignment horizontal="center"/>
    </xf>
    <xf numFmtId="0" fontId="12" fillId="28" borderId="32" xfId="0" applyFont="1" applyFill="1" applyBorder="1" applyAlignment="1">
      <alignment vertical="top"/>
    </xf>
    <xf numFmtId="0" fontId="12" fillId="28" borderId="44" xfId="0" applyFont="1" applyFill="1" applyBorder="1" applyAlignment="1">
      <alignment vertical="top"/>
    </xf>
    <xf numFmtId="0" fontId="7" fillId="28" borderId="16" xfId="0" quotePrefix="1" applyFont="1" applyFill="1" applyBorder="1" applyAlignment="1">
      <alignment horizontal="left" indent="2"/>
    </xf>
    <xf numFmtId="3" fontId="7" fillId="28" borderId="12" xfId="0" applyNumberFormat="1" applyFont="1" applyFill="1" applyBorder="1" applyAlignment="1">
      <alignment horizontal="center" vertical="top"/>
    </xf>
    <xf numFmtId="3" fontId="7" fillId="28" borderId="13" xfId="0" applyNumberFormat="1" applyFont="1" applyFill="1" applyBorder="1" applyAlignment="1">
      <alignment horizontal="center" vertical="top"/>
    </xf>
    <xf numFmtId="3" fontId="7" fillId="28" borderId="16" xfId="0" applyNumberFormat="1" applyFont="1" applyFill="1" applyBorder="1" applyAlignment="1">
      <alignment horizontal="center" vertical="top"/>
    </xf>
    <xf numFmtId="0" fontId="7" fillId="28" borderId="30" xfId="0" quotePrefix="1" applyFont="1" applyFill="1" applyBorder="1" applyAlignment="1">
      <alignment horizontal="left" indent="2"/>
    </xf>
    <xf numFmtId="0" fontId="7" fillId="28" borderId="32" xfId="0" applyFont="1" applyFill="1" applyBorder="1" applyAlignment="1">
      <alignment vertical="top"/>
    </xf>
    <xf numFmtId="0" fontId="7" fillId="27" borderId="68" xfId="0" applyFont="1" applyFill="1" applyBorder="1" applyAlignment="1">
      <alignment horizontal="center" vertical="top" wrapText="1"/>
    </xf>
    <xf numFmtId="0" fontId="63" fillId="28" borderId="88" xfId="0" applyFont="1" applyFill="1" applyBorder="1" applyAlignment="1">
      <alignment horizontal="left" vertical="top" wrapText="1"/>
    </xf>
    <xf numFmtId="0" fontId="0" fillId="27" borderId="22" xfId="0" applyFill="1" applyBorder="1" applyAlignment="1">
      <alignment vertical="top"/>
    </xf>
    <xf numFmtId="3" fontId="7" fillId="28" borderId="31" xfId="0" applyNumberFormat="1" applyFont="1" applyFill="1" applyBorder="1" applyAlignment="1">
      <alignment horizontal="center" vertical="top"/>
    </xf>
    <xf numFmtId="0" fontId="0" fillId="27" borderId="79" xfId="0" applyFill="1" applyBorder="1" applyAlignment="1">
      <alignment horizontal="center" vertical="top" wrapText="1"/>
    </xf>
    <xf numFmtId="0" fontId="7" fillId="24" borderId="82" xfId="0" applyFont="1" applyFill="1" applyBorder="1" applyAlignment="1">
      <alignment horizontal="center"/>
    </xf>
    <xf numFmtId="0" fontId="7" fillId="24" borderId="67" xfId="0" applyFont="1" applyFill="1" applyBorder="1" applyAlignment="1">
      <alignment horizontal="center" vertical="top"/>
    </xf>
    <xf numFmtId="3" fontId="7" fillId="28" borderId="15" xfId="0" applyNumberFormat="1" applyFont="1" applyFill="1" applyBorder="1" applyAlignment="1">
      <alignment horizontal="center" vertical="top"/>
    </xf>
    <xf numFmtId="0" fontId="0" fillId="29" borderId="34" xfId="0" applyFill="1" applyBorder="1"/>
    <xf numFmtId="3" fontId="7" fillId="28" borderId="62" xfId="0" applyNumberFormat="1" applyFont="1" applyFill="1" applyBorder="1" applyAlignment="1">
      <alignment horizontal="center" vertical="top"/>
    </xf>
    <xf numFmtId="3" fontId="7" fillId="24" borderId="12" xfId="0" applyNumberFormat="1" applyFont="1" applyFill="1" applyBorder="1" applyAlignment="1">
      <alignment horizontal="center" vertical="top"/>
    </xf>
    <xf numFmtId="3" fontId="7" fillId="24" borderId="13" xfId="0" applyNumberFormat="1" applyFont="1" applyFill="1" applyBorder="1" applyAlignment="1">
      <alignment horizontal="center" vertical="top"/>
    </xf>
    <xf numFmtId="3" fontId="7" fillId="24" borderId="13" xfId="0" applyNumberFormat="1" applyFont="1" applyFill="1" applyBorder="1" applyAlignment="1">
      <alignment horizontal="center"/>
    </xf>
    <xf numFmtId="3" fontId="7" fillId="24" borderId="62" xfId="0" applyNumberFormat="1" applyFont="1" applyFill="1" applyBorder="1" applyAlignment="1">
      <alignment horizontal="center"/>
    </xf>
    <xf numFmtId="3" fontId="7" fillId="24" borderId="15" xfId="0" applyNumberFormat="1" applyFont="1" applyFill="1" applyBorder="1" applyAlignment="1">
      <alignment horizontal="center" vertical="top"/>
    </xf>
    <xf numFmtId="3" fontId="7" fillId="24" borderId="16" xfId="0" applyNumberFormat="1" applyFont="1" applyFill="1" applyBorder="1" applyAlignment="1">
      <alignment horizontal="center" vertical="top"/>
    </xf>
    <xf numFmtId="3" fontId="7" fillId="28" borderId="29" xfId="0" applyNumberFormat="1" applyFont="1" applyFill="1" applyBorder="1" applyAlignment="1">
      <alignment horizontal="center" vertical="top"/>
    </xf>
    <xf numFmtId="3" fontId="7" fillId="28" borderId="63" xfId="0" applyNumberFormat="1" applyFont="1" applyFill="1" applyBorder="1" applyAlignment="1">
      <alignment horizontal="center" vertical="top"/>
    </xf>
    <xf numFmtId="3" fontId="7" fillId="28" borderId="28" xfId="0" applyNumberFormat="1" applyFont="1" applyFill="1" applyBorder="1" applyAlignment="1">
      <alignment horizontal="center" vertical="top"/>
    </xf>
    <xf numFmtId="3" fontId="7" fillId="28" borderId="30" xfId="0" applyNumberFormat="1" applyFont="1" applyFill="1" applyBorder="1" applyAlignment="1">
      <alignment horizontal="center" vertical="top"/>
    </xf>
    <xf numFmtId="0" fontId="64" fillId="32" borderId="25" xfId="34" applyFont="1" applyFill="1" applyBorder="1" applyAlignment="1">
      <alignment horizontal="center" vertical="center"/>
    </xf>
    <xf numFmtId="0" fontId="64" fillId="32" borderId="64" xfId="34" applyFont="1" applyFill="1" applyBorder="1" applyAlignment="1">
      <alignment horizontal="center" vertical="center"/>
    </xf>
    <xf numFmtId="0" fontId="64" fillId="32" borderId="18" xfId="34" applyFont="1" applyFill="1" applyBorder="1" applyAlignment="1">
      <alignment horizontal="center"/>
    </xf>
    <xf numFmtId="0" fontId="64" fillId="32" borderId="69" xfId="34" applyFont="1" applyFill="1" applyBorder="1" applyAlignment="1">
      <alignment horizontal="center"/>
    </xf>
    <xf numFmtId="0" fontId="7" fillId="27" borderId="19" xfId="34" applyFont="1" applyFill="1" applyBorder="1" applyAlignment="1">
      <alignment horizontal="left"/>
    </xf>
    <xf numFmtId="0" fontId="7" fillId="27" borderId="48" xfId="34" applyFont="1" applyFill="1" applyBorder="1" applyAlignment="1">
      <alignment horizontal="center"/>
    </xf>
    <xf numFmtId="0" fontId="12" fillId="27" borderId="19" xfId="34" applyFont="1" applyFill="1" applyBorder="1" applyAlignment="1">
      <alignment horizontal="left"/>
    </xf>
    <xf numFmtId="0" fontId="12" fillId="27" borderId="48" xfId="34" applyFont="1" applyFill="1" applyBorder="1" applyAlignment="1">
      <alignment horizontal="center"/>
    </xf>
    <xf numFmtId="0" fontId="12" fillId="27" borderId="98" xfId="34" applyFont="1" applyFill="1" applyBorder="1" applyAlignment="1">
      <alignment horizontal="left"/>
    </xf>
    <xf numFmtId="0" fontId="12" fillId="27" borderId="65" xfId="34" applyFont="1" applyFill="1" applyBorder="1" applyAlignment="1">
      <alignment horizontal="center"/>
    </xf>
    <xf numFmtId="3" fontId="7" fillId="26" borderId="29" xfId="0" applyNumberFormat="1" applyFont="1" applyFill="1" applyBorder="1" applyAlignment="1">
      <alignment horizontal="center" vertical="top"/>
    </xf>
    <xf numFmtId="175" fontId="7" fillId="28" borderId="15" xfId="0" applyNumberFormat="1" applyFont="1" applyFill="1" applyBorder="1" applyAlignment="1">
      <alignment horizontal="center"/>
    </xf>
    <xf numFmtId="166" fontId="7" fillId="28" borderId="21" xfId="0" applyNumberFormat="1" applyFont="1" applyFill="1" applyBorder="1" applyAlignment="1">
      <alignment horizontal="center"/>
    </xf>
    <xf numFmtId="175" fontId="7" fillId="0" borderId="15" xfId="0" applyNumberFormat="1" applyFont="1" applyFill="1" applyBorder="1" applyAlignment="1">
      <alignment horizontal="center"/>
    </xf>
    <xf numFmtId="166" fontId="7" fillId="0" borderId="21" xfId="0" applyNumberFormat="1" applyFont="1" applyFill="1" applyBorder="1" applyAlignment="1">
      <alignment horizontal="center"/>
    </xf>
    <xf numFmtId="166" fontId="7" fillId="0" borderId="16" xfId="0" applyNumberFormat="1" applyFont="1" applyFill="1" applyBorder="1" applyAlignment="1">
      <alignment horizontal="center"/>
    </xf>
    <xf numFmtId="175" fontId="7" fillId="28" borderId="28" xfId="0" applyNumberFormat="1" applyFont="1" applyFill="1" applyBorder="1" applyAlignment="1">
      <alignment horizontal="center"/>
    </xf>
    <xf numFmtId="166" fontId="7" fillId="28" borderId="20" xfId="0" applyNumberFormat="1" applyFont="1" applyFill="1" applyBorder="1" applyAlignment="1">
      <alignment horizontal="center"/>
    </xf>
    <xf numFmtId="0" fontId="92" fillId="0" borderId="0" xfId="0" applyFont="1" applyBorder="1" applyAlignment="1">
      <alignment vertical="center"/>
    </xf>
    <xf numFmtId="0" fontId="94" fillId="32" borderId="61" xfId="34" applyFont="1" applyFill="1" applyBorder="1" applyAlignment="1">
      <alignment horizontal="center" vertical="center"/>
    </xf>
    <xf numFmtId="0" fontId="7" fillId="0" borderId="62" xfId="0" applyFont="1" applyBorder="1"/>
    <xf numFmtId="0" fontId="12" fillId="28" borderId="21" xfId="0" applyFont="1" applyFill="1" applyBorder="1" applyAlignment="1">
      <alignment vertical="top"/>
    </xf>
    <xf numFmtId="0" fontId="12" fillId="28" borderId="20" xfId="0" applyFont="1" applyFill="1" applyBorder="1" applyAlignment="1">
      <alignment vertical="top"/>
    </xf>
    <xf numFmtId="0" fontId="12" fillId="0" borderId="21" xfId="0" applyFont="1" applyFill="1" applyBorder="1" applyAlignment="1">
      <alignment vertical="top"/>
    </xf>
    <xf numFmtId="0" fontId="12" fillId="0" borderId="16" xfId="0" applyFont="1" applyFill="1" applyBorder="1" applyAlignment="1">
      <alignment vertical="top"/>
    </xf>
    <xf numFmtId="0" fontId="7" fillId="28" borderId="21" xfId="0" applyFont="1" applyFill="1" applyBorder="1" applyAlignment="1">
      <alignment vertical="top"/>
    </xf>
    <xf numFmtId="181" fontId="12" fillId="0" borderId="13" xfId="0" applyNumberFormat="1" applyFont="1" applyBorder="1" applyAlignment="1">
      <alignment horizontal="center"/>
    </xf>
    <xf numFmtId="167" fontId="7" fillId="0" borderId="13" xfId="0" applyNumberFormat="1" applyFont="1" applyBorder="1" applyAlignment="1">
      <alignment horizontal="center"/>
    </xf>
    <xf numFmtId="167" fontId="12" fillId="0" borderId="13" xfId="0" applyNumberFormat="1" applyFont="1" applyBorder="1" applyAlignment="1">
      <alignment horizontal="center"/>
    </xf>
    <xf numFmtId="0" fontId="93" fillId="0" borderId="0" xfId="0" applyFont="1" applyFill="1" applyBorder="1" applyAlignment="1">
      <alignment vertical="center"/>
    </xf>
    <xf numFmtId="9" fontId="93" fillId="0" borderId="0" xfId="35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horizontal="center" vertical="center"/>
    </xf>
    <xf numFmtId="0" fontId="93" fillId="0" borderId="0" xfId="34" applyFont="1" applyFill="1" applyBorder="1" applyAlignment="1">
      <alignment horizontal="left" vertical="center"/>
    </xf>
    <xf numFmtId="3" fontId="93" fillId="0" borderId="0" xfId="34" applyNumberFormat="1" applyFont="1" applyFill="1" applyBorder="1" applyAlignment="1">
      <alignment horizontal="center" vertical="center"/>
    </xf>
    <xf numFmtId="0" fontId="92" fillId="0" borderId="0" xfId="48" applyFont="1" applyFill="1" applyBorder="1" applyAlignment="1">
      <alignment horizontal="center" vertical="center"/>
    </xf>
    <xf numFmtId="0" fontId="93" fillId="0" borderId="0" xfId="48" applyFont="1" applyFill="1" applyBorder="1" applyAlignment="1">
      <alignment horizontal="center" vertical="center"/>
    </xf>
    <xf numFmtId="0" fontId="10" fillId="0" borderId="0" xfId="0" applyFont="1" applyBorder="1"/>
    <xf numFmtId="0" fontId="0" fillId="0" borderId="0" xfId="0" applyBorder="1"/>
    <xf numFmtId="0" fontId="7" fillId="28" borderId="36" xfId="0" applyFont="1" applyFill="1" applyBorder="1" applyAlignment="1">
      <alignment horizontal="center" vertical="top" wrapText="1"/>
    </xf>
    <xf numFmtId="0" fontId="7" fillId="28" borderId="35" xfId="0" applyFont="1" applyFill="1" applyBorder="1" applyAlignment="1">
      <alignment horizontal="center" vertical="top" wrapText="1"/>
    </xf>
    <xf numFmtId="0" fontId="7" fillId="28" borderId="27" xfId="0" applyFont="1" applyFill="1" applyBorder="1" applyAlignment="1">
      <alignment horizontal="center" vertical="top" wrapText="1"/>
    </xf>
    <xf numFmtId="0" fontId="7" fillId="28" borderId="21" xfId="0" applyFont="1" applyFill="1" applyBorder="1" applyAlignment="1">
      <alignment horizontal="center" vertical="top" wrapText="1"/>
    </xf>
    <xf numFmtId="0" fontId="64" fillId="32" borderId="92" xfId="0" applyFont="1" applyFill="1" applyBorder="1" applyAlignment="1">
      <alignment horizontal="center" vertical="center" wrapText="1"/>
    </xf>
    <xf numFmtId="0" fontId="64" fillId="32" borderId="91" xfId="0" applyFont="1" applyFill="1" applyBorder="1" applyAlignment="1">
      <alignment horizontal="center" vertical="center" wrapText="1"/>
    </xf>
    <xf numFmtId="0" fontId="64" fillId="32" borderId="99" xfId="0" applyFont="1" applyFill="1" applyBorder="1" applyAlignment="1">
      <alignment horizontal="center" vertical="center" wrapText="1"/>
    </xf>
    <xf numFmtId="0" fontId="64" fillId="32" borderId="60" xfId="0" applyFont="1" applyFill="1" applyBorder="1" applyAlignment="1">
      <alignment horizontal="center" vertical="top" wrapText="1"/>
    </xf>
    <xf numFmtId="0" fontId="64" fillId="32" borderId="45" xfId="0" applyFont="1" applyFill="1" applyBorder="1" applyAlignment="1">
      <alignment horizontal="center" vertical="top" wrapText="1"/>
    </xf>
    <xf numFmtId="0" fontId="64" fillId="32" borderId="20" xfId="0" applyFont="1" applyFill="1" applyBorder="1" applyAlignment="1">
      <alignment horizontal="center" vertical="top" wrapText="1"/>
    </xf>
    <xf numFmtId="3" fontId="12" fillId="27" borderId="15" xfId="34" applyNumberFormat="1" applyFont="1" applyFill="1" applyBorder="1" applyAlignment="1">
      <alignment horizontal="center"/>
    </xf>
    <xf numFmtId="3" fontId="12" fillId="27" borderId="13" xfId="34" applyNumberFormat="1" applyFont="1" applyFill="1" applyBorder="1" applyAlignment="1">
      <alignment horizontal="center"/>
    </xf>
    <xf numFmtId="3" fontId="12" fillId="27" borderId="16" xfId="34" applyNumberFormat="1" applyFont="1" applyFill="1" applyBorder="1" applyAlignment="1">
      <alignment horizontal="center"/>
    </xf>
    <xf numFmtId="3" fontId="7" fillId="27" borderId="15" xfId="34" applyNumberFormat="1" applyFont="1" applyFill="1" applyBorder="1" applyAlignment="1">
      <alignment horizontal="center"/>
    </xf>
    <xf numFmtId="3" fontId="7" fillId="27" borderId="13" xfId="34" applyNumberFormat="1" applyFont="1" applyFill="1" applyBorder="1" applyAlignment="1">
      <alignment horizontal="center"/>
    </xf>
    <xf numFmtId="3" fontId="7" fillId="27" borderId="16" xfId="34" applyNumberFormat="1" applyFont="1" applyFill="1" applyBorder="1" applyAlignment="1">
      <alignment horizontal="center"/>
    </xf>
    <xf numFmtId="3" fontId="12" fillId="27" borderId="28" xfId="34" applyNumberFormat="1" applyFont="1" applyFill="1" applyBorder="1" applyAlignment="1">
      <alignment horizontal="center"/>
    </xf>
    <xf numFmtId="3" fontId="12" fillId="27" borderId="29" xfId="34" applyNumberFormat="1" applyFont="1" applyFill="1" applyBorder="1" applyAlignment="1">
      <alignment horizontal="center"/>
    </xf>
    <xf numFmtId="3" fontId="12" fillId="27" borderId="30" xfId="34" applyNumberFormat="1" applyFont="1" applyFill="1" applyBorder="1" applyAlignment="1">
      <alignment horizontal="center"/>
    </xf>
    <xf numFmtId="0" fontId="7" fillId="0" borderId="0" xfId="0" applyFont="1" applyBorder="1"/>
    <xf numFmtId="4" fontId="12" fillId="0" borderId="0" xfId="0" applyNumberFormat="1" applyFont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3" fontId="38" fillId="33" borderId="13" xfId="0" applyNumberFormat="1" applyFont="1" applyFill="1" applyBorder="1" applyAlignment="1">
      <alignment horizontal="center"/>
    </xf>
    <xf numFmtId="0" fontId="7" fillId="0" borderId="15" xfId="0" quotePrefix="1" applyFont="1" applyBorder="1" applyAlignment="1">
      <alignment horizontal="center"/>
    </xf>
    <xf numFmtId="0" fontId="0" fillId="27" borderId="41" xfId="0" applyFill="1" applyBorder="1" applyAlignment="1">
      <alignment horizontal="center" vertical="top"/>
    </xf>
    <xf numFmtId="3" fontId="10" fillId="28" borderId="13" xfId="0" applyNumberFormat="1" applyFont="1" applyFill="1" applyBorder="1" applyAlignment="1">
      <alignment horizontal="center"/>
    </xf>
    <xf numFmtId="170" fontId="7" fillId="0" borderId="13" xfId="35" applyNumberFormat="1" applyFont="1" applyFill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181" fontId="12" fillId="0" borderId="0" xfId="0" applyNumberFormat="1" applyFont="1" applyBorder="1" applyAlignment="1">
      <alignment horizontal="center"/>
    </xf>
    <xf numFmtId="0" fontId="7" fillId="28" borderId="110" xfId="0" applyFont="1" applyFill="1" applyBorder="1" applyAlignment="1">
      <alignment horizontal="center" vertical="top" wrapText="1"/>
    </xf>
    <xf numFmtId="0" fontId="11" fillId="27" borderId="61" xfId="0" applyFont="1" applyFill="1" applyBorder="1" applyAlignment="1">
      <alignment horizontal="center" vertical="top" wrapText="1"/>
    </xf>
    <xf numFmtId="3" fontId="38" fillId="0" borderId="0" xfId="0" applyNumberFormat="1" applyFont="1" applyFill="1" applyBorder="1" applyAlignment="1">
      <alignment horizontal="center"/>
    </xf>
    <xf numFmtId="3" fontId="12" fillId="33" borderId="16" xfId="34" applyNumberFormat="1" applyFont="1" applyFill="1" applyBorder="1" applyAlignment="1">
      <alignment horizontal="center"/>
    </xf>
    <xf numFmtId="3" fontId="7" fillId="33" borderId="16" xfId="34" applyNumberFormat="1" applyFont="1" applyFill="1" applyBorder="1" applyAlignment="1">
      <alignment horizontal="center"/>
    </xf>
    <xf numFmtId="3" fontId="0" fillId="0" borderId="36" xfId="0" applyNumberFormat="1" applyBorder="1"/>
    <xf numFmtId="0" fontId="11" fillId="0" borderId="66" xfId="0" applyFont="1" applyFill="1" applyBorder="1" applyAlignment="1">
      <alignment horizontal="center" vertical="top"/>
    </xf>
    <xf numFmtId="0" fontId="0" fillId="0" borderId="66" xfId="0" applyFill="1" applyBorder="1" applyAlignment="1">
      <alignment vertical="top"/>
    </xf>
    <xf numFmtId="0" fontId="7" fillId="0" borderId="66" xfId="0" applyFont="1" applyFill="1" applyBorder="1" applyAlignment="1">
      <alignment horizontal="center" vertical="top"/>
    </xf>
    <xf numFmtId="0" fontId="0" fillId="27" borderId="84" xfId="0" applyFill="1" applyBorder="1" applyAlignment="1">
      <alignment horizontal="center" vertical="top" wrapText="1"/>
    </xf>
    <xf numFmtId="0" fontId="0" fillId="27" borderId="83" xfId="0" applyFill="1" applyBorder="1" applyAlignment="1">
      <alignment horizontal="center" vertical="top" wrapText="1"/>
    </xf>
    <xf numFmtId="0" fontId="7" fillId="43" borderId="80" xfId="0" applyFont="1" applyFill="1" applyBorder="1" applyAlignment="1">
      <alignment horizontal="center" vertical="top"/>
    </xf>
    <xf numFmtId="3" fontId="7" fillId="0" borderId="53" xfId="0" applyNumberFormat="1" applyFont="1" applyBorder="1" applyAlignment="1">
      <alignment horizontal="center" vertical="top"/>
    </xf>
    <xf numFmtId="0" fontId="7" fillId="43" borderId="53" xfId="0" applyFont="1" applyFill="1" applyBorder="1" applyAlignment="1">
      <alignment horizontal="center" vertical="top"/>
    </xf>
    <xf numFmtId="3" fontId="7" fillId="0" borderId="54" xfId="0" applyNumberFormat="1" applyFont="1" applyBorder="1" applyAlignment="1">
      <alignment horizontal="center" vertical="top"/>
    </xf>
    <xf numFmtId="0" fontId="10" fillId="0" borderId="61" xfId="0" applyFont="1" applyBorder="1" applyAlignment="1">
      <alignment horizontal="center" vertical="top"/>
    </xf>
    <xf numFmtId="0" fontId="64" fillId="42" borderId="67" xfId="0" quotePrefix="1" applyFont="1" applyFill="1" applyBorder="1" applyAlignment="1">
      <alignment vertical="top"/>
    </xf>
    <xf numFmtId="0" fontId="64" fillId="42" borderId="57" xfId="0" quotePrefix="1" applyFont="1" applyFill="1" applyBorder="1" applyAlignment="1">
      <alignment vertical="top"/>
    </xf>
    <xf numFmtId="3" fontId="7" fillId="0" borderId="29" xfId="0" applyNumberFormat="1" applyFont="1" applyBorder="1" applyAlignment="1">
      <alignment horizontal="center" vertical="top"/>
    </xf>
    <xf numFmtId="3" fontId="7" fillId="0" borderId="30" xfId="0" applyNumberFormat="1" applyFont="1" applyBorder="1" applyAlignment="1">
      <alignment horizontal="center" vertical="top"/>
    </xf>
    <xf numFmtId="0" fontId="11" fillId="27" borderId="80" xfId="0" applyFont="1" applyFill="1" applyBorder="1" applyAlignment="1">
      <alignment horizontal="center" vertical="top"/>
    </xf>
    <xf numFmtId="194" fontId="38" fillId="28" borderId="0" xfId="0" applyNumberFormat="1" applyFont="1" applyFill="1" applyAlignment="1" applyProtection="1">
      <alignment vertical="center"/>
      <protection locked="0"/>
    </xf>
    <xf numFmtId="0" fontId="7" fillId="0" borderId="26" xfId="0" applyFont="1" applyBorder="1" applyAlignment="1">
      <alignment horizontal="left" vertical="center"/>
    </xf>
    <xf numFmtId="0" fontId="7" fillId="0" borderId="26" xfId="0" applyFont="1" applyBorder="1" applyAlignment="1">
      <alignment vertical="center" wrapText="1"/>
    </xf>
    <xf numFmtId="178" fontId="7" fillId="0" borderId="26" xfId="0" applyNumberFormat="1" applyFont="1" applyBorder="1" applyAlignment="1">
      <alignment horizontal="center" vertical="center"/>
    </xf>
    <xf numFmtId="166" fontId="7" fillId="0" borderId="26" xfId="0" applyNumberFormat="1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3" fontId="7" fillId="0" borderId="26" xfId="0" applyNumberFormat="1" applyFont="1" applyBorder="1" applyAlignment="1">
      <alignment horizontal="center" vertical="center"/>
    </xf>
    <xf numFmtId="170" fontId="0" fillId="0" borderId="26" xfId="58" applyNumberFormat="1" applyFont="1" applyBorder="1"/>
    <xf numFmtId="170" fontId="7" fillId="0" borderId="26" xfId="58" applyNumberFormat="1" applyFont="1" applyBorder="1" applyAlignment="1">
      <alignment vertical="center"/>
    </xf>
    <xf numFmtId="0" fontId="23" fillId="29" borderId="14" xfId="0" applyNumberFormat="1" applyFont="1" applyFill="1" applyBorder="1" applyAlignment="1">
      <alignment horizontal="center"/>
    </xf>
    <xf numFmtId="0" fontId="23" fillId="29" borderId="111" xfId="0" applyFont="1" applyFill="1" applyBorder="1"/>
    <xf numFmtId="0" fontId="23" fillId="29" borderId="97" xfId="0" applyNumberFormat="1" applyFont="1" applyFill="1" applyBorder="1" applyAlignment="1">
      <alignment horizontal="center"/>
    </xf>
    <xf numFmtId="0" fontId="23" fillId="29" borderId="111" xfId="0" applyNumberFormat="1" applyFont="1" applyFill="1" applyBorder="1" applyAlignment="1">
      <alignment horizontal="center"/>
    </xf>
    <xf numFmtId="0" fontId="48" fillId="27" borderId="76" xfId="33" applyFont="1" applyFill="1" applyBorder="1" applyAlignment="1">
      <alignment horizontal="center"/>
    </xf>
    <xf numFmtId="0" fontId="48" fillId="27" borderId="0" xfId="33" applyFont="1" applyFill="1" applyAlignment="1">
      <alignment horizontal="center"/>
    </xf>
    <xf numFmtId="0" fontId="48" fillId="27" borderId="75" xfId="33" applyFont="1" applyFill="1" applyBorder="1" applyAlignment="1">
      <alignment horizontal="center"/>
    </xf>
    <xf numFmtId="0" fontId="45" fillId="27" borderId="0" xfId="33" applyFont="1" applyFill="1" applyAlignment="1">
      <alignment horizontal="center"/>
    </xf>
    <xf numFmtId="0" fontId="46" fillId="27" borderId="0" xfId="33" applyFont="1" applyFill="1" applyAlignment="1">
      <alignment horizontal="center"/>
    </xf>
    <xf numFmtId="0" fontId="49" fillId="29" borderId="76" xfId="33" applyFont="1" applyFill="1" applyBorder="1" applyAlignment="1">
      <alignment horizontal="center"/>
    </xf>
    <xf numFmtId="0" fontId="49" fillId="29" borderId="0" xfId="33" applyFont="1" applyFill="1" applyAlignment="1">
      <alignment horizontal="center"/>
    </xf>
    <xf numFmtId="0" fontId="49" fillId="29" borderId="75" xfId="33" applyFont="1" applyFill="1" applyBorder="1" applyAlignment="1">
      <alignment horizontal="center"/>
    </xf>
    <xf numFmtId="0" fontId="10" fillId="27" borderId="76" xfId="33" applyFont="1" applyFill="1" applyBorder="1" applyAlignment="1">
      <alignment horizontal="left" indent="5"/>
    </xf>
    <xf numFmtId="0" fontId="10" fillId="27" borderId="0" xfId="33" applyFont="1" applyFill="1" applyAlignment="1">
      <alignment horizontal="left" indent="5"/>
    </xf>
    <xf numFmtId="0" fontId="44" fillId="27" borderId="0" xfId="33" applyFont="1" applyFill="1" applyAlignment="1">
      <alignment horizontal="center"/>
    </xf>
    <xf numFmtId="0" fontId="44" fillId="27" borderId="0" xfId="33" applyFont="1" applyFill="1" applyAlignment="1">
      <alignment horizontal="center" vertical="top" wrapText="1"/>
    </xf>
    <xf numFmtId="0" fontId="10" fillId="35" borderId="38" xfId="48" applyFont="1" applyFill="1" applyBorder="1" applyAlignment="1">
      <alignment horizontal="center"/>
    </xf>
    <xf numFmtId="0" fontId="10" fillId="35" borderId="39" xfId="48" applyFont="1" applyFill="1" applyBorder="1" applyAlignment="1">
      <alignment horizontal="center"/>
    </xf>
    <xf numFmtId="0" fontId="10" fillId="35" borderId="50" xfId="48" applyFont="1" applyFill="1" applyBorder="1" applyAlignment="1">
      <alignment horizontal="center"/>
    </xf>
    <xf numFmtId="0" fontId="76" fillId="32" borderId="24" xfId="48" applyFont="1" applyFill="1" applyBorder="1" applyAlignment="1">
      <alignment horizontal="center"/>
    </xf>
    <xf numFmtId="0" fontId="76" fillId="32" borderId="0" xfId="48" applyFont="1" applyFill="1" applyAlignment="1">
      <alignment horizontal="center"/>
    </xf>
    <xf numFmtId="0" fontId="51" fillId="27" borderId="58" xfId="0" applyFont="1" applyFill="1" applyBorder="1" applyAlignment="1">
      <alignment horizontal="center" vertical="top"/>
    </xf>
    <xf numFmtId="0" fontId="51" fillId="27" borderId="55" xfId="0" applyFont="1" applyFill="1" applyBorder="1" applyAlignment="1">
      <alignment horizontal="center" vertical="top"/>
    </xf>
    <xf numFmtId="0" fontId="51" fillId="27" borderId="59" xfId="0" applyFont="1" applyFill="1" applyBorder="1" applyAlignment="1">
      <alignment horizontal="center" vertical="top"/>
    </xf>
    <xf numFmtId="0" fontId="11" fillId="27" borderId="51" xfId="0" applyFont="1" applyFill="1" applyBorder="1" applyAlignment="1">
      <alignment horizontal="center" vertical="top" wrapText="1"/>
    </xf>
    <xf numFmtId="0" fontId="11" fillId="27" borderId="82" xfId="0" applyFont="1" applyFill="1" applyBorder="1" applyAlignment="1">
      <alignment horizontal="center" vertical="top" wrapText="1"/>
    </xf>
    <xf numFmtId="0" fontId="64" fillId="32" borderId="52" xfId="34" applyFont="1" applyFill="1" applyBorder="1" applyAlignment="1">
      <alignment horizontal="center" vertical="center"/>
    </xf>
    <xf numFmtId="0" fontId="7" fillId="27" borderId="14" xfId="0" applyFont="1" applyFill="1" applyBorder="1" applyAlignment="1">
      <alignment horizontal="center" vertical="top" wrapText="1"/>
    </xf>
    <xf numFmtId="0" fontId="0" fillId="27" borderId="35" xfId="0" applyFill="1" applyBorder="1" applyAlignment="1">
      <alignment horizontal="center" vertical="top" wrapText="1"/>
    </xf>
    <xf numFmtId="0" fontId="0" fillId="27" borderId="14" xfId="0" applyFill="1" applyBorder="1" applyAlignment="1">
      <alignment horizontal="center" vertical="top" wrapText="1"/>
    </xf>
    <xf numFmtId="0" fontId="7" fillId="27" borderId="45" xfId="0" applyFont="1" applyFill="1" applyBorder="1" applyAlignment="1">
      <alignment horizontal="center" vertical="top" wrapText="1"/>
    </xf>
    <xf numFmtId="0" fontId="0" fillId="27" borderId="20" xfId="0" applyFill="1" applyBorder="1" applyAlignment="1">
      <alignment horizontal="center" vertical="top" wrapText="1"/>
    </xf>
    <xf numFmtId="0" fontId="0" fillId="27" borderId="45" xfId="0" applyFill="1" applyBorder="1" applyAlignment="1">
      <alignment horizontal="center" vertical="top" wrapText="1"/>
    </xf>
    <xf numFmtId="0" fontId="11" fillId="27" borderId="67" xfId="0" applyFont="1" applyFill="1" applyBorder="1" applyAlignment="1">
      <alignment horizontal="center" vertical="top" wrapText="1"/>
    </xf>
    <xf numFmtId="0" fontId="11" fillId="27" borderId="57" xfId="0" applyFont="1" applyFill="1" applyBorder="1" applyAlignment="1">
      <alignment horizontal="center" vertical="top" wrapText="1"/>
    </xf>
    <xf numFmtId="0" fontId="11" fillId="27" borderId="25" xfId="0" applyFont="1" applyFill="1" applyBorder="1" applyAlignment="1">
      <alignment horizontal="center" vertical="top" wrapText="1"/>
    </xf>
    <xf numFmtId="0" fontId="11" fillId="27" borderId="26" xfId="0" applyFont="1" applyFill="1" applyBorder="1" applyAlignment="1">
      <alignment horizontal="center" vertical="top" wrapText="1"/>
    </xf>
    <xf numFmtId="0" fontId="11" fillId="27" borderId="64" xfId="0" applyFont="1" applyFill="1" applyBorder="1" applyAlignment="1">
      <alignment horizontal="center" vertical="top" wrapText="1"/>
    </xf>
    <xf numFmtId="0" fontId="11" fillId="27" borderId="25" xfId="0" applyFont="1" applyFill="1" applyBorder="1" applyAlignment="1">
      <alignment horizontal="center" vertical="top"/>
    </xf>
    <xf numFmtId="0" fontId="11" fillId="27" borderId="64" xfId="0" applyFont="1" applyFill="1" applyBorder="1" applyAlignment="1">
      <alignment horizontal="center" vertical="top"/>
    </xf>
    <xf numFmtId="0" fontId="11" fillId="27" borderId="26" xfId="0" applyFont="1" applyFill="1" applyBorder="1" applyAlignment="1">
      <alignment horizontal="center" vertical="top"/>
    </xf>
    <xf numFmtId="0" fontId="11" fillId="27" borderId="67" xfId="0" applyFont="1" applyFill="1" applyBorder="1" applyAlignment="1">
      <alignment horizontal="center" vertical="top"/>
    </xf>
    <xf numFmtId="0" fontId="11" fillId="27" borderId="57" xfId="0" applyFont="1" applyFill="1" applyBorder="1" applyAlignment="1">
      <alignment horizontal="center" vertical="top"/>
    </xf>
    <xf numFmtId="0" fontId="11" fillId="27" borderId="51" xfId="0" applyFont="1" applyFill="1" applyBorder="1" applyAlignment="1">
      <alignment horizontal="center" vertical="top"/>
    </xf>
    <xf numFmtId="0" fontId="11" fillId="27" borderId="58" xfId="0" applyFont="1" applyFill="1" applyBorder="1" applyAlignment="1">
      <alignment horizontal="center" vertical="top"/>
    </xf>
    <xf numFmtId="0" fontId="11" fillId="27" borderId="55" xfId="0" applyFont="1" applyFill="1" applyBorder="1" applyAlignment="1">
      <alignment horizontal="center" vertical="top"/>
    </xf>
    <xf numFmtId="0" fontId="11" fillId="27" borderId="59" xfId="0" applyFont="1" applyFill="1" applyBorder="1" applyAlignment="1">
      <alignment horizontal="center" vertical="top"/>
    </xf>
    <xf numFmtId="0" fontId="68" fillId="30" borderId="92" xfId="0" applyFont="1" applyFill="1" applyBorder="1" applyAlignment="1">
      <alignment horizontal="center" vertical="center" wrapText="1"/>
    </xf>
    <xf numFmtId="0" fontId="71" fillId="30" borderId="46" xfId="0" applyFont="1" applyFill="1" applyBorder="1" applyAlignment="1">
      <alignment horizontal="center"/>
    </xf>
    <xf numFmtId="0" fontId="68" fillId="30" borderId="89" xfId="0" applyFont="1" applyFill="1" applyBorder="1" applyAlignment="1">
      <alignment horizontal="center" vertical="center" wrapText="1"/>
    </xf>
    <xf numFmtId="0" fontId="68" fillId="30" borderId="26" xfId="0" applyFont="1" applyFill="1" applyBorder="1" applyAlignment="1">
      <alignment horizontal="center" vertical="center" wrapText="1"/>
    </xf>
    <xf numFmtId="0" fontId="68" fillId="30" borderId="89" xfId="0" applyFont="1" applyFill="1" applyBorder="1" applyAlignment="1">
      <alignment horizontal="center" vertical="center"/>
    </xf>
    <xf numFmtId="0" fontId="68" fillId="30" borderId="26" xfId="0" applyFont="1" applyFill="1" applyBorder="1" applyAlignment="1">
      <alignment horizontal="center" vertical="center"/>
    </xf>
    <xf numFmtId="0" fontId="68" fillId="30" borderId="88" xfId="0" applyFont="1" applyFill="1" applyBorder="1" applyAlignment="1">
      <alignment horizontal="center" vertical="center" wrapText="1"/>
    </xf>
    <xf numFmtId="0" fontId="10" fillId="0" borderId="62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62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90" fillId="32" borderId="25" xfId="0" applyFont="1" applyFill="1" applyBorder="1" applyAlignment="1" applyProtection="1">
      <alignment horizontal="center"/>
      <protection locked="0"/>
    </xf>
    <xf numFmtId="0" fontId="90" fillId="32" borderId="26" xfId="0" applyFont="1" applyFill="1" applyBorder="1" applyAlignment="1" applyProtection="1">
      <alignment horizontal="center"/>
      <protection locked="0"/>
    </xf>
    <xf numFmtId="0" fontId="90" fillId="32" borderId="64" xfId="0" applyFont="1" applyFill="1" applyBorder="1" applyAlignment="1" applyProtection="1">
      <alignment horizontal="center"/>
      <protection locked="0"/>
    </xf>
    <xf numFmtId="0" fontId="89" fillId="32" borderId="24" xfId="0" applyFont="1" applyFill="1" applyBorder="1" applyAlignment="1">
      <alignment horizontal="center"/>
    </xf>
    <xf numFmtId="0" fontId="89" fillId="32" borderId="0" xfId="0" applyFont="1" applyFill="1" applyAlignment="1">
      <alignment horizontal="center"/>
    </xf>
    <xf numFmtId="0" fontId="89" fillId="32" borderId="66" xfId="0" applyFont="1" applyFill="1" applyBorder="1" applyAlignment="1">
      <alignment horizontal="center"/>
    </xf>
    <xf numFmtId="0" fontId="91" fillId="32" borderId="18" xfId="0" applyFont="1" applyFill="1" applyBorder="1" applyAlignment="1">
      <alignment horizontal="center"/>
    </xf>
    <xf numFmtId="0" fontId="91" fillId="32" borderId="17" xfId="0" applyFont="1" applyFill="1" applyBorder="1" applyAlignment="1">
      <alignment horizontal="center"/>
    </xf>
    <xf numFmtId="0" fontId="91" fillId="32" borderId="69" xfId="0" applyFont="1" applyFill="1" applyBorder="1" applyAlignment="1">
      <alignment horizontal="center"/>
    </xf>
    <xf numFmtId="0" fontId="36" fillId="28" borderId="62" xfId="0" applyFont="1" applyFill="1" applyBorder="1" applyAlignment="1" applyProtection="1">
      <alignment horizontal="center" vertical="center"/>
      <protection locked="0"/>
    </xf>
    <xf numFmtId="0" fontId="36" fillId="28" borderId="12" xfId="0" applyFont="1" applyFill="1" applyBorder="1" applyAlignment="1" applyProtection="1">
      <alignment horizontal="center" vertical="center"/>
      <protection locked="0"/>
    </xf>
    <xf numFmtId="0" fontId="10" fillId="0" borderId="13" xfId="0" applyFont="1" applyBorder="1" applyAlignment="1">
      <alignment horizontal="center" vertical="center" wrapText="1"/>
    </xf>
    <xf numFmtId="0" fontId="38" fillId="0" borderId="0" xfId="0" applyFont="1" applyAlignment="1" applyProtection="1">
      <alignment vertical="center" wrapText="1"/>
      <protection locked="0"/>
    </xf>
    <xf numFmtId="0" fontId="73" fillId="0" borderId="0" xfId="0" applyFont="1" applyAlignment="1">
      <alignment horizontal="center" vertical="center"/>
    </xf>
    <xf numFmtId="0" fontId="38" fillId="28" borderId="0" xfId="0" applyFont="1" applyFill="1" applyAlignment="1" applyProtection="1">
      <alignment vertical="center" wrapText="1"/>
      <protection locked="0"/>
    </xf>
    <xf numFmtId="0" fontId="38" fillId="28" borderId="62" xfId="0" applyFont="1" applyFill="1" applyBorder="1" applyAlignment="1" applyProtection="1">
      <alignment horizontal="left" vertical="center" wrapText="1"/>
      <protection locked="0"/>
    </xf>
    <xf numFmtId="0" fontId="38" fillId="28" borderId="10" xfId="0" applyFont="1" applyFill="1" applyBorder="1" applyAlignment="1" applyProtection="1">
      <alignment horizontal="left" vertical="center" wrapText="1"/>
      <protection locked="0"/>
    </xf>
    <xf numFmtId="0" fontId="38" fillId="28" borderId="12" xfId="0" applyFont="1" applyFill="1" applyBorder="1" applyAlignment="1" applyProtection="1">
      <alignment horizontal="left" vertical="center" wrapText="1"/>
      <protection locked="0"/>
    </xf>
    <xf numFmtId="0" fontId="7" fillId="29" borderId="58" xfId="48" applyFill="1" applyBorder="1" applyAlignment="1">
      <alignment horizontal="center" vertical="center" wrapText="1"/>
    </xf>
    <xf numFmtId="0" fontId="7" fillId="29" borderId="19" xfId="48" applyFill="1" applyBorder="1" applyAlignment="1">
      <alignment horizontal="center" vertical="center" wrapText="1"/>
    </xf>
    <xf numFmtId="0" fontId="52" fillId="36" borderId="38" xfId="48" applyFont="1" applyFill="1" applyBorder="1" applyAlignment="1" applyProtection="1">
      <alignment horizontal="center" vertical="center"/>
      <protection locked="0"/>
    </xf>
    <xf numFmtId="0" fontId="52" fillId="36" borderId="39" xfId="48" applyFont="1" applyFill="1" applyBorder="1" applyAlignment="1" applyProtection="1">
      <alignment horizontal="center" vertical="center"/>
      <protection locked="0"/>
    </xf>
    <xf numFmtId="0" fontId="52" fillId="36" borderId="50" xfId="48" applyFont="1" applyFill="1" applyBorder="1" applyAlignment="1" applyProtection="1">
      <alignment horizontal="center" vertical="center"/>
      <protection locked="0"/>
    </xf>
    <xf numFmtId="0" fontId="10" fillId="35" borderId="38" xfId="48" applyFont="1" applyFill="1" applyBorder="1" applyAlignment="1" applyProtection="1">
      <alignment horizontal="center" vertical="center"/>
      <protection locked="0"/>
    </xf>
    <xf numFmtId="0" fontId="10" fillId="35" borderId="39" xfId="48" applyFont="1" applyFill="1" applyBorder="1" applyAlignment="1" applyProtection="1">
      <alignment horizontal="center" vertical="center"/>
      <protection locked="0"/>
    </xf>
    <xf numFmtId="0" fontId="7" fillId="0" borderId="52" xfId="48" applyBorder="1" applyAlignment="1" applyProtection="1">
      <alignment horizontal="center" vertical="center"/>
      <protection locked="0"/>
    </xf>
    <xf numFmtId="0" fontId="7" fillId="0" borderId="90" xfId="48" applyBorder="1" applyAlignment="1" applyProtection="1">
      <alignment horizontal="center" vertical="center"/>
      <protection locked="0"/>
    </xf>
    <xf numFmtId="0" fontId="7" fillId="0" borderId="80" xfId="48" applyBorder="1" applyAlignment="1" applyProtection="1">
      <alignment horizontal="center" vertical="center"/>
      <protection locked="0"/>
    </xf>
    <xf numFmtId="0" fontId="7" fillId="0" borderId="54" xfId="48" applyBorder="1" applyAlignment="1" applyProtection="1">
      <alignment horizontal="center" vertical="center"/>
      <protection locked="0"/>
    </xf>
    <xf numFmtId="0" fontId="7" fillId="29" borderId="22" xfId="48" applyFill="1" applyBorder="1" applyAlignment="1">
      <alignment horizontal="center" vertical="center" wrapText="1"/>
    </xf>
    <xf numFmtId="0" fontId="7" fillId="29" borderId="98" xfId="48" applyFill="1" applyBorder="1" applyAlignment="1">
      <alignment horizontal="center" vertical="center" wrapText="1"/>
    </xf>
    <xf numFmtId="0" fontId="7" fillId="29" borderId="33" xfId="48" applyFill="1" applyBorder="1" applyAlignment="1">
      <alignment horizontal="center" vertical="center" wrapText="1"/>
    </xf>
    <xf numFmtId="0" fontId="10" fillId="35" borderId="50" xfId="48" applyFont="1" applyFill="1" applyBorder="1" applyAlignment="1" applyProtection="1">
      <alignment horizontal="center" vertical="center"/>
      <protection locked="0"/>
    </xf>
    <xf numFmtId="0" fontId="7" fillId="0" borderId="92" xfId="48" applyBorder="1" applyAlignment="1" applyProtection="1">
      <alignment horizontal="center" vertical="center"/>
      <protection locked="0"/>
    </xf>
    <xf numFmtId="0" fontId="7" fillId="0" borderId="46" xfId="48" applyBorder="1" applyAlignment="1" applyProtection="1">
      <alignment horizontal="center" vertical="center"/>
      <protection locked="0"/>
    </xf>
    <xf numFmtId="0" fontId="7" fillId="0" borderId="60" xfId="48" applyBorder="1" applyAlignment="1" applyProtection="1">
      <alignment horizontal="center" vertical="center"/>
      <protection locked="0"/>
    </xf>
    <xf numFmtId="0" fontId="10" fillId="35" borderId="18" xfId="48" applyFont="1" applyFill="1" applyBorder="1" applyAlignment="1" applyProtection="1">
      <alignment horizontal="center" vertical="center"/>
      <protection locked="0"/>
    </xf>
    <xf numFmtId="0" fontId="10" fillId="35" borderId="17" xfId="48" applyFont="1" applyFill="1" applyBorder="1" applyAlignment="1" applyProtection="1">
      <alignment horizontal="center" vertical="center"/>
      <protection locked="0"/>
    </xf>
    <xf numFmtId="0" fontId="85" fillId="40" borderId="24" xfId="48" applyFont="1" applyFill="1" applyBorder="1" applyAlignment="1" applyProtection="1">
      <alignment horizontal="center" vertical="center"/>
      <protection locked="0"/>
    </xf>
    <xf numFmtId="0" fontId="85" fillId="40" borderId="0" xfId="48" applyFont="1" applyFill="1" applyAlignment="1" applyProtection="1">
      <alignment horizontal="center" vertical="center"/>
      <protection locked="0"/>
    </xf>
    <xf numFmtId="0" fontId="79" fillId="37" borderId="38" xfId="48" applyFont="1" applyFill="1" applyBorder="1" applyAlignment="1" applyProtection="1">
      <alignment horizontal="center" vertical="center"/>
      <protection locked="0"/>
    </xf>
    <xf numFmtId="0" fontId="79" fillId="37" borderId="39" xfId="48" applyFont="1" applyFill="1" applyBorder="1" applyAlignment="1" applyProtection="1">
      <alignment horizontal="center" vertical="center"/>
      <protection locked="0"/>
    </xf>
    <xf numFmtId="0" fontId="79" fillId="37" borderId="50" xfId="48" applyFont="1" applyFill="1" applyBorder="1" applyAlignment="1" applyProtection="1">
      <alignment horizontal="center" vertical="center"/>
      <protection locked="0"/>
    </xf>
    <xf numFmtId="0" fontId="7" fillId="0" borderId="0" xfId="48" applyAlignment="1" applyProtection="1">
      <alignment horizontal="left" vertical="center"/>
      <protection locked="0"/>
    </xf>
    <xf numFmtId="0" fontId="10" fillId="29" borderId="25" xfId="48" applyFont="1" applyFill="1" applyBorder="1" applyAlignment="1">
      <alignment horizontal="center" vertical="center" wrapText="1"/>
    </xf>
    <xf numFmtId="0" fontId="10" fillId="29" borderId="24" xfId="48" applyFont="1" applyFill="1" applyBorder="1" applyAlignment="1">
      <alignment horizontal="center" vertical="center" wrapText="1"/>
    </xf>
    <xf numFmtId="0" fontId="10" fillId="29" borderId="18" xfId="48" applyFont="1" applyFill="1" applyBorder="1" applyAlignment="1">
      <alignment horizontal="center" vertical="center" wrapText="1"/>
    </xf>
    <xf numFmtId="0" fontId="79" fillId="39" borderId="38" xfId="48" applyFont="1" applyFill="1" applyBorder="1" applyAlignment="1" applyProtection="1">
      <alignment horizontal="center" vertical="center"/>
      <protection locked="0"/>
    </xf>
    <xf numFmtId="0" fontId="79" fillId="39" borderId="39" xfId="48" applyFont="1" applyFill="1" applyBorder="1" applyAlignment="1" applyProtection="1">
      <alignment horizontal="center" vertical="center"/>
      <protection locked="0"/>
    </xf>
    <xf numFmtId="0" fontId="79" fillId="39" borderId="50" xfId="48" applyFont="1" applyFill="1" applyBorder="1" applyAlignment="1" applyProtection="1">
      <alignment horizontal="center" vertical="center"/>
      <protection locked="0"/>
    </xf>
    <xf numFmtId="189" fontId="10" fillId="29" borderId="107" xfId="60" applyNumberFormat="1" applyFont="1" applyFill="1" applyBorder="1" applyAlignment="1" applyProtection="1">
      <alignment horizontal="center" vertical="center"/>
    </xf>
    <xf numFmtId="189" fontId="10" fillId="29" borderId="104" xfId="60" applyNumberFormat="1" applyFont="1" applyFill="1" applyBorder="1" applyAlignment="1" applyProtection="1">
      <alignment horizontal="center" vertical="center"/>
    </xf>
    <xf numFmtId="189" fontId="10" fillId="29" borderId="101" xfId="60" applyNumberFormat="1" applyFont="1" applyFill="1" applyBorder="1" applyAlignment="1" applyProtection="1">
      <alignment horizontal="center" vertical="center"/>
    </xf>
    <xf numFmtId="0" fontId="84" fillId="0" borderId="25" xfId="48" applyFont="1" applyBorder="1" applyAlignment="1" applyProtection="1">
      <alignment horizontal="center" vertical="center" wrapText="1"/>
      <protection locked="0"/>
    </xf>
    <xf numFmtId="0" fontId="84" fillId="0" borderId="64" xfId="48" applyFont="1" applyBorder="1" applyAlignment="1" applyProtection="1">
      <alignment horizontal="center" vertical="center" wrapText="1"/>
      <protection locked="0"/>
    </xf>
    <xf numFmtId="188" fontId="77" fillId="0" borderId="38" xfId="61" applyNumberFormat="1" applyFont="1" applyBorder="1" applyAlignment="1" applyProtection="1">
      <alignment horizontal="center" vertical="center"/>
    </xf>
    <xf numFmtId="188" fontId="77" fillId="0" borderId="50" xfId="61" applyNumberFormat="1" applyFont="1" applyBorder="1" applyAlignment="1" applyProtection="1">
      <alignment horizontal="center" vertical="center"/>
    </xf>
    <xf numFmtId="0" fontId="10" fillId="29" borderId="25" xfId="48" applyFont="1" applyFill="1" applyBorder="1" applyAlignment="1">
      <alignment horizontal="center" vertical="center"/>
    </xf>
    <xf numFmtId="0" fontId="10" fillId="29" borderId="24" xfId="48" applyFont="1" applyFill="1" applyBorder="1" applyAlignment="1">
      <alignment horizontal="center" vertical="center"/>
    </xf>
    <xf numFmtId="0" fontId="10" fillId="29" borderId="18" xfId="48" applyFont="1" applyFill="1" applyBorder="1" applyAlignment="1">
      <alignment horizontal="center" vertical="center"/>
    </xf>
    <xf numFmtId="0" fontId="19" fillId="29" borderId="0" xfId="48" applyFont="1" applyFill="1" applyAlignment="1" applyProtection="1">
      <alignment horizontal="center" vertical="center" wrapText="1"/>
      <protection locked="0"/>
    </xf>
  </cellXfs>
  <cellStyles count="63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9" builtinId="20" customBuiltin="1"/>
    <cellStyle name="Insatisfaisant" xfId="30" builtinId="27" customBuiltin="1"/>
    <cellStyle name="Lien hypertexte" xfId="31" builtinId="8"/>
    <cellStyle name="Lien hypertexte 2" xfId="62" xr:uid="{D7AEBAF1-8BB8-4D9E-BED6-1E37AF7DC17F}"/>
    <cellStyle name="Milliers 2" xfId="49" xr:uid="{00000000-0005-0000-0000-00001E000000}"/>
    <cellStyle name="Milliers 3" xfId="59" xr:uid="{4BAFB155-D375-4A98-80F6-F0A548A49E4A}"/>
    <cellStyle name="Milliers 4" xfId="60" xr:uid="{B56E860D-0AB7-45DC-972F-E60C42F969CE}"/>
    <cellStyle name="Monétaire 2" xfId="61" xr:uid="{4955D8B6-754E-4F84-B6AA-D62D978B6B68}"/>
    <cellStyle name="Neutre" xfId="32" builtinId="28" customBuiltin="1"/>
    <cellStyle name="Normal" xfId="0" builtinId="0"/>
    <cellStyle name="Normal 2" xfId="48" xr:uid="{00000000-0005-0000-0000-000021000000}"/>
    <cellStyle name="Normal 3" xfId="47" xr:uid="{00000000-0005-0000-0000-000022000000}"/>
    <cellStyle name="Normal 3 2" xfId="52" xr:uid="{5BBD8A87-1508-47BD-983D-EEAE1B89ED5B}"/>
    <cellStyle name="Normal 3 3" xfId="54" xr:uid="{532891FB-6E5C-41C9-927B-F694573CE2D4}"/>
    <cellStyle name="Normal 4" xfId="50" xr:uid="{5C52D709-FB6C-4D07-82CB-3202B91B02F2}"/>
    <cellStyle name="Normal 5" xfId="46" xr:uid="{00000000-0005-0000-0000-000023000000}"/>
    <cellStyle name="Normal 6" xfId="53" xr:uid="{4CED5130-021D-426B-AF76-C907C18A11C5}"/>
    <cellStyle name="Normal 6 2" xfId="55" xr:uid="{7D8D9B05-2272-4811-8EDB-D169AB98B1E7}"/>
    <cellStyle name="Normal 7" xfId="56" xr:uid="{BAAF2C57-8424-41F6-85CB-CFBFE3DF5EE2}"/>
    <cellStyle name="Normal_3j_ClientSite_Outil_Objet_RAP_20080331_JMi1" xfId="33" xr:uid="{00000000-0005-0000-0000-000024000000}"/>
    <cellStyle name="Normal_3J_Loreal_TestCogen_IEEIGES09_20110106_ADL" xfId="34" xr:uid="{00000000-0005-0000-0000-000025000000}"/>
    <cellStyle name="Note" xfId="28" builtinId="10" customBuiltin="1"/>
    <cellStyle name="Pourcentage" xfId="35" builtinId="5"/>
    <cellStyle name="Pourcentage 2" xfId="51" xr:uid="{34649D98-9E4C-43A3-9273-4104B2B89866}"/>
    <cellStyle name="Pourcentage 3" xfId="57" xr:uid="{EB30F93B-7E08-4BFA-B741-20F566490A43}"/>
    <cellStyle name="Pourcentage 4" xfId="58" xr:uid="{76C15F84-5EBA-4257-91F0-18C3DF4FA5C7}"/>
    <cellStyle name="Satisfaisant" xfId="36" builtinId="26" customBuiltin="1"/>
    <cellStyle name="Sortie" xfId="37" builtinId="21" customBuiltin="1"/>
    <cellStyle name="Texte explicatif" xfId="38" builtinId="53" customBuiltin="1"/>
    <cellStyle name="Titre" xfId="39" builtinId="15" customBuiltin="1"/>
    <cellStyle name="Titre 1" xfId="40" builtinId="16" customBuiltin="1"/>
    <cellStyle name="Titre 2" xfId="41" builtinId="17" customBuiltin="1"/>
    <cellStyle name="Titre 3" xfId="42" builtinId="18" customBuiltin="1"/>
    <cellStyle name="Titre 4" xfId="43" builtinId="19" customBuiltin="1"/>
    <cellStyle name="Total" xfId="44" builtinId="25" customBuiltin="1"/>
    <cellStyle name="Vérification" xfId="45" builtinId="23" customBuiltin="1"/>
  </cellStyles>
  <dxfs count="32">
    <dxf>
      <alignment horizontal="center"/>
    </dxf>
    <dxf>
      <alignment horizontal="center"/>
    </dxf>
    <dxf>
      <alignment horizontal="center"/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sz val="12"/>
        <family val="1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ont>
        <name val="Times New Roman"/>
        <family val="1"/>
        <scheme val="none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198665</xdr:colOff>
      <xdr:row>19</xdr:row>
      <xdr:rowOff>72932</xdr:rowOff>
    </xdr:from>
    <xdr:to>
      <xdr:col>1</xdr:col>
      <xdr:colOff>927052</xdr:colOff>
      <xdr:row>23</xdr:row>
      <xdr:rowOff>14285</xdr:rowOff>
    </xdr:to>
    <xdr:pic>
      <xdr:nvPicPr>
        <xdr:cNvPr id="3" name="Image 2" descr="C:\Users\Claire-Anne\Dropbox\Transferts_JBV-CAS\logo_Pirotech_arrPlanBlanc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772" y="7420789"/>
          <a:ext cx="728387" cy="9210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1284514</xdr:colOff>
      <xdr:row>1</xdr:row>
      <xdr:rowOff>163286</xdr:rowOff>
    </xdr:from>
    <xdr:to>
      <xdr:col>3</xdr:col>
      <xdr:colOff>1430245</xdr:colOff>
      <xdr:row>6</xdr:row>
      <xdr:rowOff>197771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8D20D5D-5ED2-4A69-97A6-932FE0850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9657" y="359229"/>
          <a:ext cx="1553800" cy="20185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_JBV/3j_Commun/00_Projets/Electrabel/Module1_DiagnostiqueEnergetique/Copie%20de%20U-planch-sol-f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Introduction"/>
      <sheetName val="2_Exemple"/>
      <sheetName val="3_Calcul"/>
      <sheetName val="Constantes"/>
      <sheetName val="Constantes0"/>
    </sheetNames>
    <sheetDataSet>
      <sheetData sheetId="0" refreshError="1"/>
      <sheetData sheetId="1" refreshError="1"/>
      <sheetData sheetId="2" refreshError="1"/>
      <sheetData sheetId="3" refreshError="1">
        <row r="8">
          <cell r="A8" t="str">
            <v>Oui</v>
          </cell>
          <cell r="B8" t="b">
            <v>0</v>
          </cell>
        </row>
        <row r="9">
          <cell r="A9" t="str">
            <v>Non</v>
          </cell>
          <cell r="B9" t="b">
            <v>1</v>
          </cell>
        </row>
      </sheetData>
      <sheetData sheetId="4" refreshError="1">
        <row r="2">
          <cell r="B2">
            <v>2</v>
          </cell>
        </row>
        <row r="3">
          <cell r="B3">
            <v>1</v>
          </cell>
        </row>
        <row r="4">
          <cell r="B4">
            <v>0.17</v>
          </cell>
        </row>
        <row r="5">
          <cell r="B5">
            <v>0.04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ean-Benoit Verbeke" id="{B359C55A-ADC1-4F5C-8BA0-A7070820BB03}" userId="7c0989cf3dc35672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an-Benoit Verbeke" refreshedDate="45392.515464583332" createdVersion="8" refreshedVersion="8" minRefreshableVersion="3" recordCount="1" xr:uid="{A4B9A5D5-41A4-4B6A-A202-68B7E4EA4B22}">
  <cacheSource type="worksheet">
    <worksheetSource ref="B4:L5" sheet="PA"/>
  </cacheSource>
  <cacheFields count="11">
    <cacheField name="réf" numFmtId="0">
      <sharedItems containsSemiMixedTypes="0" containsString="0" containsNumber="1" containsInteger="1" minValue="0" maxValue="0"/>
    </cacheField>
    <cacheField name="3" numFmtId="0">
      <sharedItems containsSemiMixedTypes="0" containsString="0" containsNumber="1" containsInteger="1" minValue="0" maxValue="0"/>
    </cacheField>
    <cacheField name="Invest." numFmtId="178">
      <sharedItems containsSemiMixedTypes="0" containsString="0" containsNumber="1" containsInteger="1" minValue="0" maxValue="0"/>
    </cacheField>
    <cacheField name="Rent" numFmtId="166">
      <sharedItems containsSemiMixedTypes="0" containsString="0" containsNumber="1" containsInteger="1" minValue="0" maxValue="0"/>
    </cacheField>
    <cacheField name="C_Rent" numFmtId="9">
      <sharedItems/>
    </cacheField>
    <cacheField name="F_ADB" numFmtId="0">
      <sharedItems containsBlank="1" count="3">
        <s v="A"/>
        <m u="1"/>
        <s v="R" u="1"/>
      </sharedItems>
    </cacheField>
    <cacheField name="4" numFmtId="178">
      <sharedItems containsSemiMixedTypes="0" containsString="0" containsNumber="1" containsInteger="1" minValue="0" maxValue="0"/>
    </cacheField>
    <cacheField name="5" numFmtId="178">
      <sharedItems containsSemiMixedTypes="0" containsString="0" containsNumber="1" containsInteger="1" minValue="0" maxValue="0"/>
    </cacheField>
    <cacheField name="Ep" numFmtId="3">
      <sharedItems containsSemiMixedTypes="0" containsString="0" containsNumber="1" containsInteger="1" minValue="0" maxValue="0"/>
    </cacheField>
    <cacheField name="CO2" numFmtId="3">
      <sharedItems containsSemiMixedTypes="0" containsString="0" containsNumber="1" containsInteger="1" minValue="0" maxValue="0"/>
    </cacheField>
    <cacheField name="11" numFmtId="3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n v="0"/>
    <n v="0"/>
    <n v="0"/>
    <n v="0"/>
    <s v="PROJET NON RENTABLE"/>
    <x v="0"/>
    <n v="0"/>
    <n v="0"/>
    <n v="0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CCC4C4-7BDE-4BDF-A780-590DD1002451}" name="Tableau croisé dynamique1" cacheId="0" dataOnRows="1" applyNumberFormats="0" applyBorderFormats="0" applyFontFormats="0" applyPatternFormats="0" applyAlignmentFormats="0" applyWidthHeightFormats="1" dataCaption="Données" updatedVersion="8" minRefreshableVersion="3" showMultipleLabel="0" showMemberPropertyTips="0" useAutoFormatting="1" itemPrintTitles="1" createdVersion="6" indent="0" compact="0" compactData="0" gridDropZones="1">
  <location ref="U8:W18" firstHeaderRow="1" firstDataRow="1" firstDataCol="2"/>
  <pivotFields count="11">
    <pivotField dataField="1" compact="0" outline="0" subtotalTop="0" showAll="0" includeNewItemsInFilter="1"/>
    <pivotField compact="0" outline="0" subtotalTop="0" showAll="0" includeNewItemsInFilter="1"/>
    <pivotField dataField="1" compact="0" numFmtId="3" outline="0" subtotalTop="0" showAll="0" includeNewItemsInFilter="1"/>
    <pivotField name="Rentabilité" compact="0" outline="0" subtotalTop="0" showAll="0" includeNewItemsInFilter="1"/>
    <pivotField dataField="1" compact="0" outline="0" subtotalTop="0" showAll="0" defaultSubtotal="0"/>
    <pivotField axis="axisRow" compact="0" outline="0" subtotalTop="0" showAll="0" includeNewItemsInFilter="1" defaultSubtotal="0">
      <items count="3">
        <item m="1" x="2"/>
        <item m="1" x="1"/>
        <item x="0"/>
      </items>
    </pivotField>
    <pivotField compact="0" numFmtId="3" outline="0" subtotalTop="0" showAll="0" includeNewItemsInFilter="1"/>
    <pivotField compact="0" numFmtId="3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compact="0" outline="0" subtotalTop="0" showAll="0" defaultSubtotal="0"/>
  </pivotFields>
  <rowFields count="2">
    <field x="-2"/>
    <field x="5"/>
  </rowFields>
  <rowItems count="10">
    <i>
      <x/>
      <x v="2"/>
    </i>
    <i i="1">
      <x v="1"/>
      <x v="2"/>
    </i>
    <i i="2">
      <x v="2"/>
      <x v="2"/>
    </i>
    <i i="3">
      <x v="3"/>
      <x v="2"/>
    </i>
    <i i="4">
      <x v="4"/>
      <x v="2"/>
    </i>
    <i t="grand">
      <x/>
    </i>
    <i t="grand" i="1">
      <x/>
    </i>
    <i t="grand" i="2">
      <x/>
    </i>
    <i t="grand" i="3">
      <x/>
    </i>
    <i t="grand" i="4">
      <x/>
    </i>
  </rowItems>
  <colItems count="1">
    <i/>
  </colItems>
  <dataFields count="5">
    <dataField name="NB Pistes" fld="0" subtotal="count" baseField="0" baseItem="0"/>
    <dataField name="Economie (GJp)" fld="8" baseField="0" baseItem="0" numFmtId="3"/>
    <dataField name="Economie (kg CO2)" fld="9" baseField="0" baseItem="0" numFmtId="3"/>
    <dataField name="Investissement" fld="2" baseField="0" baseItem="0" numFmtId="177"/>
    <dataField name="Nombre de C_Rent" fld="4" subtotal="count" baseField="0" baseItem="0"/>
  </dataFields>
  <formats count="31">
    <format dxfId="30">
      <pivotArea outline="0" fieldPosition="0"/>
    </format>
    <format dxfId="29">
      <pivotArea type="topRight" dataOnly="0" labelOnly="1" outline="0" fieldPosition="0"/>
    </format>
    <format dxfId="28">
      <pivotArea dataOnly="0" labelOnly="1" grandCol="1" outline="0" fieldPosition="0"/>
    </format>
    <format dxfId="27">
      <pivotArea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grandCol="1" outline="0" fieldPosition="0"/>
    </format>
    <format dxfId="23">
      <pivotArea type="all" dataOnly="0" outline="0" fieldPosition="0"/>
    </format>
    <format dxfId="22">
      <pivotArea outline="0" fieldPosition="0"/>
    </format>
    <format dxfId="21">
      <pivotArea type="origin" dataOnly="0" labelOnly="1" outline="0" fieldPosition="0"/>
    </format>
    <format dxfId="20">
      <pivotArea type="topRight" dataOnly="0" labelOnly="1" outline="0" fieldPosition="0"/>
    </format>
    <format dxfId="19">
      <pivotArea field="-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7">
      <pivotArea dataOnly="0" labelOnly="1" grandCol="1" outline="0" fieldPosition="0"/>
    </format>
    <format dxfId="16">
      <pivotArea type="all" dataOnly="0" outline="0" fieldPosition="0"/>
    </format>
    <format dxfId="15">
      <pivotArea outline="0" fieldPosition="0"/>
    </format>
    <format dxfId="14">
      <pivotArea type="origin" dataOnly="0" labelOnly="1" outline="0" fieldPosition="0"/>
    </format>
    <format dxfId="13">
      <pivotArea type="topRight" dataOnly="0" labelOnly="1" outline="0" fieldPosition="0"/>
    </format>
    <format dxfId="12">
      <pivotArea field="-2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fieldPosition="0"/>
    </format>
    <format dxfId="6">
      <pivotArea type="topRight" dataOnly="0" labelOnly="1" outline="0" fieldPosition="0"/>
    </format>
    <format dxfId="5">
      <pivotArea field="-2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">
      <pivotArea dataOnly="0" labelOnly="1" grandCol="1" outline="0" fieldPosition="0"/>
    </format>
    <format dxfId="2">
      <pivotArea outline="0" collapsedLevelsAreSubtotals="1" fieldPosition="0"/>
    </format>
    <format dxfId="1">
      <pivotArea type="topRight" dataOnly="0" labelOnly="1" outline="0" fieldPosition="0"/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I3" dT="2024-04-10T09:47:07.49" personId="{B359C55A-ADC1-4F5C-8BA0-A7070820BB03}" id="{182FFEE0-0990-4151-BA76-2781471CF1D6}">
    <text>(CRAp - CREp)/CRAg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rotech.b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statbel.fgov.be/fr/themes/prix-la-consommation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statbel.fgov.be/fr/themes/prix-la-consommation" TargetMode="External"/><Relationship Id="rId1" Type="http://schemas.openxmlformats.org/officeDocument/2006/relationships/hyperlink" Target="https://energie.wallonie.be/fr/deduction-fiscale-pour-investissements.html?IDC=6952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as.be/fr/degr%C3%A9s-jour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J27"/>
  <sheetViews>
    <sheetView topLeftCell="A7" zoomScale="70" zoomScaleNormal="70" workbookViewId="0">
      <selection activeCell="I10" sqref="I10"/>
    </sheetView>
  </sheetViews>
  <sheetFormatPr baseColWidth="10" defaultColWidth="11.44140625" defaultRowHeight="18.600000000000001"/>
  <cols>
    <col min="1" max="1" width="3" style="27" customWidth="1"/>
    <col min="2" max="2" width="16.6640625" style="27" customWidth="1"/>
    <col min="3" max="3" width="19.5546875" style="27" customWidth="1"/>
    <col min="4" max="4" width="43" style="27" customWidth="1"/>
    <col min="5" max="5" width="17.5546875" style="27" customWidth="1"/>
    <col min="6" max="6" width="3.109375" style="27" customWidth="1"/>
    <col min="7" max="7" width="11.44140625" style="58" customWidth="1"/>
    <col min="8" max="8" width="20.33203125" style="58" bestFit="1" customWidth="1"/>
    <col min="9" max="9" width="12.88671875" style="58" bestFit="1" customWidth="1"/>
    <col min="10" max="10" width="17.33203125" style="58" bestFit="1" customWidth="1"/>
    <col min="11" max="16384" width="11.44140625" style="27"/>
  </cols>
  <sheetData>
    <row r="1" spans="2:10" ht="15.75" customHeight="1" thickBot="1">
      <c r="B1" s="28"/>
    </row>
    <row r="2" spans="2:10" ht="78" customHeight="1" thickTop="1">
      <c r="B2" s="29"/>
      <c r="C2" s="30"/>
      <c r="D2" s="30"/>
      <c r="E2" s="31"/>
      <c r="G2" s="57"/>
    </row>
    <row r="3" spans="2:10">
      <c r="B3" s="669"/>
      <c r="C3" s="670"/>
      <c r="D3" s="670"/>
      <c r="E3" s="32"/>
      <c r="G3" s="56"/>
      <c r="H3" s="56"/>
      <c r="I3" s="56"/>
      <c r="J3" s="56"/>
    </row>
    <row r="4" spans="2:10" ht="19.5" customHeight="1">
      <c r="B4" s="33"/>
      <c r="E4" s="32"/>
      <c r="G4" s="56"/>
      <c r="H4" s="56"/>
      <c r="I4" s="56"/>
      <c r="J4" s="56"/>
    </row>
    <row r="5" spans="2:10" ht="19.5" customHeight="1">
      <c r="B5" s="33"/>
      <c r="E5" s="32"/>
      <c r="G5" s="56"/>
      <c r="H5" s="56"/>
      <c r="I5" s="56"/>
      <c r="J5" s="56"/>
    </row>
    <row r="6" spans="2:10" ht="19.5" customHeight="1">
      <c r="B6" s="33"/>
      <c r="E6" s="32"/>
      <c r="G6" s="56"/>
      <c r="H6" s="56"/>
      <c r="I6" s="56"/>
      <c r="J6" s="56"/>
    </row>
    <row r="7" spans="2:10" ht="19.5" customHeight="1">
      <c r="B7" s="34"/>
      <c r="C7" s="35"/>
      <c r="D7" s="35"/>
      <c r="E7" s="32"/>
      <c r="G7" s="56"/>
      <c r="H7" s="56"/>
      <c r="I7" s="56"/>
      <c r="J7" s="56"/>
    </row>
    <row r="8" spans="2:10" ht="15" customHeight="1">
      <c r="B8" s="33"/>
      <c r="C8" s="35"/>
      <c r="D8" s="35"/>
      <c r="E8" s="32"/>
      <c r="G8" s="56"/>
      <c r="H8" s="56"/>
      <c r="I8" s="56"/>
      <c r="J8" s="56"/>
    </row>
    <row r="9" spans="2:10" ht="15" customHeight="1">
      <c r="B9" s="33"/>
      <c r="E9" s="32"/>
      <c r="G9" s="59"/>
    </row>
    <row r="10" spans="2:10" ht="15" customHeight="1">
      <c r="B10" s="33"/>
      <c r="C10" s="35"/>
      <c r="D10" s="35"/>
      <c r="E10" s="32"/>
      <c r="G10" s="59"/>
    </row>
    <row r="11" spans="2:10" ht="15" customHeight="1">
      <c r="B11" s="33"/>
      <c r="E11" s="32"/>
    </row>
    <row r="12" spans="2:10" ht="26.4">
      <c r="B12" s="33"/>
      <c r="C12" s="671"/>
      <c r="D12" s="671"/>
      <c r="E12" s="32"/>
      <c r="G12" s="59"/>
    </row>
    <row r="13" spans="2:10">
      <c r="B13" s="33"/>
      <c r="E13" s="32"/>
    </row>
    <row r="14" spans="2:10" ht="54.75" customHeight="1">
      <c r="B14" s="46"/>
      <c r="C14" s="672" t="s">
        <v>140</v>
      </c>
      <c r="D14" s="672"/>
      <c r="E14" s="47"/>
      <c r="G14" s="59"/>
    </row>
    <row r="15" spans="2:10" ht="26.4">
      <c r="B15" s="33"/>
      <c r="C15" s="671" t="s">
        <v>261</v>
      </c>
      <c r="D15" s="671"/>
      <c r="E15" s="32"/>
      <c r="G15" s="60"/>
    </row>
    <row r="16" spans="2:10" ht="21">
      <c r="B16" s="33"/>
      <c r="C16" s="664"/>
      <c r="D16" s="664"/>
      <c r="E16" s="32"/>
      <c r="G16" s="61"/>
    </row>
    <row r="17" spans="2:7" ht="19.5" customHeight="1">
      <c r="B17" s="33"/>
      <c r="E17" s="32"/>
      <c r="G17" s="62"/>
    </row>
    <row r="18" spans="2:7">
      <c r="B18" s="33"/>
      <c r="C18" s="665" t="str">
        <f ca="1">MID(CELL("filename",A1),FIND("[",CELL("filename",A1))+1,SUM(FIND({"[";"]"},CELL("filename",A1))*{-1;1})-1)</f>
        <v>240410_Canevas_Tableaux-Indices-Ameliorations.xlsx</v>
      </c>
      <c r="D18" s="665"/>
      <c r="E18" s="32"/>
      <c r="G18" s="62"/>
    </row>
    <row r="19" spans="2:7">
      <c r="B19" s="82"/>
      <c r="C19" s="83"/>
      <c r="D19" s="83"/>
      <c r="E19" s="84"/>
    </row>
    <row r="20" spans="2:7">
      <c r="B20" s="82"/>
      <c r="C20" s="83"/>
      <c r="D20" s="83"/>
      <c r="E20" s="84"/>
    </row>
    <row r="21" spans="2:7" ht="19.8">
      <c r="B21" s="82"/>
      <c r="C21" s="83"/>
      <c r="D21" s="83"/>
      <c r="E21" s="84"/>
      <c r="G21" s="63"/>
    </row>
    <row r="22" spans="2:7">
      <c r="B22" s="82"/>
      <c r="C22" s="83"/>
      <c r="D22" s="83"/>
      <c r="E22" s="84"/>
    </row>
    <row r="23" spans="2:7">
      <c r="B23" s="666"/>
      <c r="C23" s="667"/>
      <c r="D23" s="667"/>
      <c r="E23" s="668"/>
    </row>
    <row r="24" spans="2:7">
      <c r="B24" s="477" t="s">
        <v>44</v>
      </c>
      <c r="C24" s="478"/>
      <c r="D24" s="478"/>
      <c r="E24" s="479"/>
    </row>
    <row r="25" spans="2:7">
      <c r="B25" s="661"/>
      <c r="C25" s="662"/>
      <c r="D25" s="662"/>
      <c r="E25" s="663"/>
    </row>
    <row r="26" spans="2:7" ht="19.2" thickBot="1">
      <c r="B26" s="36"/>
      <c r="C26" s="28"/>
      <c r="D26" s="28"/>
      <c r="E26" s="37"/>
    </row>
    <row r="27" spans="2:7" ht="19.2" thickTop="1"/>
  </sheetData>
  <mergeCells count="8">
    <mergeCell ref="B25:E25"/>
    <mergeCell ref="C16:D16"/>
    <mergeCell ref="C18:D18"/>
    <mergeCell ref="B23:E23"/>
    <mergeCell ref="B3:D3"/>
    <mergeCell ref="C12:D12"/>
    <mergeCell ref="C14:D14"/>
    <mergeCell ref="C15:D15"/>
  </mergeCells>
  <phoneticPr fontId="39" type="noConversion"/>
  <hyperlinks>
    <hyperlink ref="B24" r:id="rId1" xr:uid="{00000000-0004-0000-0200-000001000000}"/>
  </hyperlinks>
  <pageMargins left="0.78740157499999996" right="0.78740157499999996" top="0.984251969" bottom="0.984251969" header="0.4921259845" footer="0.4921259845"/>
  <pageSetup paperSize="9" scale="83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"/>
  <dimension ref="A1:H53"/>
  <sheetViews>
    <sheetView showGridLines="0" topLeftCell="A29" zoomScale="90" zoomScaleNormal="90" workbookViewId="0">
      <selection activeCell="I29" sqref="I29"/>
    </sheetView>
  </sheetViews>
  <sheetFormatPr baseColWidth="10" defaultColWidth="15.33203125" defaultRowHeight="15.6"/>
  <cols>
    <col min="1" max="1" width="39.109375" style="24" bestFit="1" customWidth="1"/>
    <col min="2" max="2" width="41.88671875" style="24" customWidth="1"/>
    <col min="3" max="3" width="14" style="24" bestFit="1" customWidth="1"/>
    <col min="4" max="4" width="18.109375" style="24" bestFit="1" customWidth="1"/>
    <col min="5" max="5" width="15.6640625" style="24" bestFit="1" customWidth="1"/>
    <col min="6" max="6" width="23.5546875" style="24" bestFit="1" customWidth="1"/>
    <col min="7" max="7" width="10.6640625" style="24" bestFit="1" customWidth="1"/>
    <col min="8" max="16384" width="15.33203125" style="24"/>
  </cols>
  <sheetData>
    <row r="1" spans="1:6" s="40" customFormat="1" ht="14.4" thickBot="1">
      <c r="A1" s="673" t="s">
        <v>258</v>
      </c>
      <c r="B1" s="674"/>
      <c r="C1" s="675"/>
    </row>
    <row r="2" spans="1:6" s="40" customFormat="1" ht="23.4" thickBot="1">
      <c r="A2" s="38"/>
      <c r="B2" s="39"/>
    </row>
    <row r="3" spans="1:6" s="40" customFormat="1" ht="17.399999999999999">
      <c r="A3" s="41" t="s">
        <v>141</v>
      </c>
      <c r="B3" s="259" t="str">
        <f>Entête!C15</f>
        <v>NOM DE L'ENTITE</v>
      </c>
      <c r="C3" s="678" t="s">
        <v>11</v>
      </c>
      <c r="D3" s="679"/>
      <c r="E3" s="679"/>
      <c r="F3" s="680"/>
    </row>
    <row r="4" spans="1:6" s="40" customFormat="1" ht="13.8">
      <c r="A4" s="42"/>
      <c r="B4" s="267"/>
      <c r="C4" s="140" t="s">
        <v>45</v>
      </c>
      <c r="D4" s="48" t="s">
        <v>0</v>
      </c>
      <c r="E4" s="240" t="s">
        <v>46</v>
      </c>
      <c r="F4" s="495" t="s">
        <v>116</v>
      </c>
    </row>
    <row r="5" spans="1:6" s="40" customFormat="1" ht="27.6">
      <c r="A5" s="43"/>
      <c r="B5" s="44"/>
      <c r="C5" s="101" t="s">
        <v>146</v>
      </c>
      <c r="D5" s="240" t="s">
        <v>2</v>
      </c>
      <c r="E5" s="240" t="s">
        <v>21</v>
      </c>
      <c r="F5" s="495" t="s">
        <v>206</v>
      </c>
    </row>
    <row r="6" spans="1:6" s="40" customFormat="1" ht="13.8">
      <c r="A6" s="235"/>
      <c r="B6" s="283"/>
      <c r="C6" s="101" t="s">
        <v>142</v>
      </c>
      <c r="D6" s="240" t="s">
        <v>143</v>
      </c>
      <c r="E6" s="240" t="s">
        <v>144</v>
      </c>
      <c r="F6" s="495" t="s">
        <v>145</v>
      </c>
    </row>
    <row r="7" spans="1:6" s="40" customFormat="1" ht="13.8" hidden="1">
      <c r="A7" s="234" t="s">
        <v>14</v>
      </c>
      <c r="B7" s="270" t="s">
        <v>3</v>
      </c>
      <c r="C7" s="272">
        <v>8.9999999999999993E-3</v>
      </c>
      <c r="D7" s="231">
        <f>0.0036*D9</f>
        <v>3.2507999999999999E-3</v>
      </c>
      <c r="E7" s="231">
        <f>43*0.85/1000</f>
        <v>3.6549999999999999E-2</v>
      </c>
      <c r="F7" s="268">
        <f>0.0143*1000</f>
        <v>14.3</v>
      </c>
    </row>
    <row r="8" spans="1:6" s="40" customFormat="1" ht="13.8" hidden="1">
      <c r="A8" s="236" t="s">
        <v>117</v>
      </c>
      <c r="B8" s="271" t="s">
        <v>55</v>
      </c>
      <c r="C8" s="273">
        <v>55.8</v>
      </c>
      <c r="D8" s="54">
        <v>55.8</v>
      </c>
      <c r="E8" s="54">
        <v>73.3</v>
      </c>
      <c r="F8" s="268">
        <f>F12/F7</f>
        <v>0</v>
      </c>
    </row>
    <row r="9" spans="1:6" s="40" customFormat="1" ht="13.8">
      <c r="A9" s="236" t="s">
        <v>58</v>
      </c>
      <c r="B9" s="271" t="s">
        <v>59</v>
      </c>
      <c r="C9" s="274">
        <v>1</v>
      </c>
      <c r="D9" s="232">
        <v>0.90300000000000002</v>
      </c>
      <c r="E9" s="286">
        <v>0.94</v>
      </c>
      <c r="F9" s="269">
        <v>0.9</v>
      </c>
    </row>
    <row r="10" spans="1:6" s="40" customFormat="1" ht="13.8">
      <c r="A10" s="236" t="s">
        <v>56</v>
      </c>
      <c r="B10" s="271" t="s">
        <v>57</v>
      </c>
      <c r="C10" s="274">
        <v>1</v>
      </c>
      <c r="D10" s="233">
        <v>1</v>
      </c>
      <c r="E10" s="496">
        <v>10.6</v>
      </c>
      <c r="F10" s="497">
        <f>F7*1000000/3600/F9</f>
        <v>4413.5802469135797</v>
      </c>
    </row>
    <row r="11" spans="1:6" s="40" customFormat="1" ht="13.8" hidden="1">
      <c r="A11" s="236" t="s">
        <v>118</v>
      </c>
      <c r="B11" s="271" t="s">
        <v>60</v>
      </c>
      <c r="C11" s="273"/>
      <c r="D11" s="54">
        <f>D8*D9</f>
        <v>50.3874</v>
      </c>
      <c r="E11" s="54">
        <f>E8*E9</f>
        <v>68.901999999999987</v>
      </c>
      <c r="F11" s="268">
        <f>F8*F9</f>
        <v>0</v>
      </c>
    </row>
    <row r="12" spans="1:6" s="40" customFormat="1" ht="13.8">
      <c r="A12" s="234" t="s">
        <v>15</v>
      </c>
      <c r="B12" s="270" t="s">
        <v>17</v>
      </c>
      <c r="C12" s="284">
        <v>0.216</v>
      </c>
      <c r="D12" s="285">
        <v>0.218</v>
      </c>
      <c r="E12" s="498">
        <v>3.2568999999999999</v>
      </c>
      <c r="F12" s="497">
        <v>0</v>
      </c>
    </row>
    <row r="13" spans="1:6" s="40" customFormat="1" ht="14.4" thickBot="1">
      <c r="A13" s="281" t="s">
        <v>267</v>
      </c>
      <c r="B13" s="282" t="s">
        <v>152</v>
      </c>
      <c r="C13" s="520"/>
      <c r="D13" s="521"/>
      <c r="E13" s="521"/>
      <c r="F13" s="522"/>
    </row>
    <row r="14" spans="1:6" s="40" customFormat="1" ht="13.8">
      <c r="A14" s="45"/>
      <c r="B14" s="45"/>
      <c r="C14" s="45"/>
      <c r="D14" s="45"/>
      <c r="E14" s="45"/>
      <c r="F14" s="45"/>
    </row>
    <row r="15" spans="1:6" ht="16.2" thickBot="1"/>
    <row r="16" spans="1:6" ht="16.2" thickBot="1">
      <c r="A16" s="673" t="s">
        <v>256</v>
      </c>
      <c r="B16" s="674"/>
      <c r="C16" s="675"/>
      <c r="D16" s="448"/>
      <c r="E16" s="462"/>
    </row>
    <row r="17" spans="1:8" ht="16.2" thickBot="1">
      <c r="A17" s="448"/>
      <c r="B17" s="448"/>
      <c r="C17" s="448"/>
      <c r="D17" s="448"/>
      <c r="E17" s="462"/>
    </row>
    <row r="18" spans="1:8" ht="16.2" thickBot="1">
      <c r="A18" s="446" t="s">
        <v>254</v>
      </c>
      <c r="B18" s="447" t="s">
        <v>70</v>
      </c>
      <c r="C18" s="446" t="s">
        <v>253</v>
      </c>
      <c r="D18" s="445"/>
      <c r="E18" s="462"/>
    </row>
    <row r="19" spans="1:8">
      <c r="A19" s="383" t="s">
        <v>249</v>
      </c>
      <c r="B19" s="442">
        <v>0.06</v>
      </c>
      <c r="C19" s="441" t="s">
        <v>248</v>
      </c>
      <c r="D19" s="445"/>
      <c r="E19" s="462"/>
    </row>
    <row r="20" spans="1:8" ht="39.6">
      <c r="A20" s="367" t="s">
        <v>246</v>
      </c>
      <c r="B20" s="480">
        <f>(125.91/125.26)-1</f>
        <v>5.1892064505827395E-3</v>
      </c>
      <c r="C20" s="438" t="s">
        <v>245</v>
      </c>
      <c r="D20" s="445"/>
      <c r="E20" s="462"/>
    </row>
    <row r="21" spans="1:8">
      <c r="A21" s="367" t="s">
        <v>242</v>
      </c>
      <c r="B21" s="434">
        <v>0.25</v>
      </c>
      <c r="C21" s="433" t="s">
        <v>241</v>
      </c>
      <c r="D21" s="463" t="s">
        <v>240</v>
      </c>
      <c r="E21" s="462"/>
    </row>
    <row r="22" spans="1:8" ht="16.2" thickBot="1">
      <c r="A22" s="363" t="s">
        <v>163</v>
      </c>
      <c r="B22" s="429">
        <v>0.20499999999999999</v>
      </c>
      <c r="C22" s="428" t="s">
        <v>237</v>
      </c>
      <c r="D22" s="445"/>
      <c r="E22" s="445"/>
      <c r="F22" s="86"/>
      <c r="G22" s="86"/>
      <c r="H22" s="86"/>
    </row>
    <row r="23" spans="1:8" ht="16.2" thickBot="1"/>
    <row r="24" spans="1:8" ht="16.2" thickBot="1">
      <c r="A24" s="673" t="s">
        <v>255</v>
      </c>
      <c r="B24" s="674"/>
      <c r="C24" s="674"/>
      <c r="D24" s="675"/>
    </row>
    <row r="25" spans="1:8" ht="16.2" thickBot="1">
      <c r="A25" s="448"/>
      <c r="B25" s="448"/>
      <c r="C25" s="448"/>
      <c r="D25" s="448"/>
    </row>
    <row r="26" spans="1:8" ht="40.200000000000003" thickBot="1">
      <c r="A26" s="444" t="s">
        <v>252</v>
      </c>
      <c r="B26" s="443" t="s">
        <v>251</v>
      </c>
      <c r="C26" s="443" t="s">
        <v>228</v>
      </c>
      <c r="D26" s="443" t="s">
        <v>250</v>
      </c>
    </row>
    <row r="27" spans="1:8" ht="27" thickBot="1">
      <c r="A27" s="437" t="s">
        <v>231</v>
      </c>
      <c r="B27" s="440" t="s">
        <v>247</v>
      </c>
      <c r="C27" s="439">
        <v>5</v>
      </c>
      <c r="D27" s="439">
        <v>3</v>
      </c>
    </row>
    <row r="28" spans="1:8" ht="66.599999999999994" thickBot="1">
      <c r="A28" s="437" t="s">
        <v>244</v>
      </c>
      <c r="B28" s="436" t="s">
        <v>243</v>
      </c>
      <c r="C28" s="435">
        <v>15</v>
      </c>
      <c r="D28" s="435">
        <v>8</v>
      </c>
    </row>
    <row r="29" spans="1:8" ht="53.4" thickBot="1">
      <c r="A29" s="432" t="s">
        <v>239</v>
      </c>
      <c r="B29" s="431" t="s">
        <v>238</v>
      </c>
      <c r="C29" s="430">
        <v>30</v>
      </c>
      <c r="D29" s="430">
        <v>15</v>
      </c>
    </row>
    <row r="30" spans="1:8">
      <c r="A30" s="86"/>
      <c r="B30" s="86"/>
      <c r="C30" s="86"/>
      <c r="D30" s="86"/>
      <c r="E30" s="86"/>
    </row>
    <row r="31" spans="1:8">
      <c r="A31" s="676" t="s">
        <v>22</v>
      </c>
      <c r="B31" s="677"/>
      <c r="C31" s="677"/>
      <c r="D31" s="677"/>
      <c r="E31" s="154"/>
    </row>
    <row r="32" spans="1:8">
      <c r="A32" s="86"/>
      <c r="B32" s="86"/>
      <c r="C32" s="86"/>
      <c r="D32" s="86"/>
      <c r="E32" s="86"/>
    </row>
    <row r="33" spans="1:5" ht="16.2" thickBot="1">
      <c r="A33" s="86"/>
      <c r="B33" s="86"/>
      <c r="C33" s="86"/>
      <c r="D33" s="86"/>
      <c r="E33" s="86"/>
    </row>
    <row r="34" spans="1:5" ht="16.2" thickBot="1">
      <c r="A34" s="155"/>
      <c r="B34" s="524">
        <v>2016</v>
      </c>
      <c r="C34" s="524">
        <v>2020</v>
      </c>
      <c r="D34" s="524">
        <v>2022</v>
      </c>
      <c r="E34" s="524">
        <v>2023</v>
      </c>
    </row>
    <row r="35" spans="1:5">
      <c r="A35" s="156" t="s">
        <v>24</v>
      </c>
      <c r="B35" s="157">
        <v>361</v>
      </c>
      <c r="C35" s="157">
        <v>332</v>
      </c>
      <c r="D35" s="157">
        <v>375</v>
      </c>
      <c r="E35" s="157">
        <v>346</v>
      </c>
    </row>
    <row r="36" spans="1:5">
      <c r="A36" s="158" t="s">
        <v>25</v>
      </c>
      <c r="B36" s="159">
        <v>346</v>
      </c>
      <c r="C36" s="159">
        <v>273</v>
      </c>
      <c r="D36" s="159">
        <v>277</v>
      </c>
      <c r="E36" s="159">
        <v>296</v>
      </c>
    </row>
    <row r="37" spans="1:5">
      <c r="A37" s="158" t="s">
        <v>26</v>
      </c>
      <c r="B37" s="159">
        <v>350</v>
      </c>
      <c r="C37" s="159">
        <v>290</v>
      </c>
      <c r="D37" s="159">
        <v>246</v>
      </c>
      <c r="E37" s="159">
        <v>283</v>
      </c>
    </row>
    <row r="38" spans="1:5">
      <c r="A38" s="158" t="s">
        <v>27</v>
      </c>
      <c r="B38" s="159">
        <v>240</v>
      </c>
      <c r="C38" s="159">
        <v>118</v>
      </c>
      <c r="D38" s="159">
        <v>193</v>
      </c>
      <c r="E38" s="159">
        <v>227</v>
      </c>
    </row>
    <row r="39" spans="1:5">
      <c r="A39" s="158" t="s">
        <v>28</v>
      </c>
      <c r="B39" s="159">
        <v>87</v>
      </c>
      <c r="C39" s="159">
        <v>87</v>
      </c>
      <c r="D39" s="159">
        <v>64</v>
      </c>
      <c r="E39" s="159">
        <v>81</v>
      </c>
    </row>
    <row r="40" spans="1:5">
      <c r="A40" s="158" t="s">
        <v>29</v>
      </c>
      <c r="B40" s="159">
        <v>32</v>
      </c>
      <c r="C40" s="159">
        <v>25</v>
      </c>
      <c r="D40" s="159">
        <v>13</v>
      </c>
      <c r="E40" s="159">
        <v>2</v>
      </c>
    </row>
    <row r="41" spans="1:5">
      <c r="A41" s="158" t="s">
        <v>30</v>
      </c>
      <c r="B41" s="159">
        <v>11</v>
      </c>
      <c r="C41" s="159">
        <v>3</v>
      </c>
      <c r="D41" s="159">
        <v>0</v>
      </c>
      <c r="E41" s="159">
        <v>0</v>
      </c>
    </row>
    <row r="42" spans="1:5">
      <c r="A42" s="158" t="s">
        <v>31</v>
      </c>
      <c r="B42" s="159">
        <v>10</v>
      </c>
      <c r="C42" s="159">
        <v>4</v>
      </c>
      <c r="D42" s="159">
        <v>0</v>
      </c>
      <c r="E42" s="159">
        <v>15</v>
      </c>
    </row>
    <row r="43" spans="1:5">
      <c r="A43" s="158" t="s">
        <v>32</v>
      </c>
      <c r="B43" s="159">
        <v>13</v>
      </c>
      <c r="C43" s="159">
        <v>32</v>
      </c>
      <c r="D43" s="159">
        <v>77</v>
      </c>
      <c r="E43" s="159">
        <v>11</v>
      </c>
    </row>
    <row r="44" spans="1:5">
      <c r="A44" s="158" t="s">
        <v>33</v>
      </c>
      <c r="B44" s="159">
        <v>209</v>
      </c>
      <c r="C44" s="159">
        <v>155</v>
      </c>
      <c r="D44" s="159">
        <v>73</v>
      </c>
      <c r="E44" s="159">
        <v>98</v>
      </c>
    </row>
    <row r="45" spans="1:5">
      <c r="A45" s="158" t="s">
        <v>34</v>
      </c>
      <c r="B45" s="159">
        <v>306</v>
      </c>
      <c r="C45" s="159">
        <v>213</v>
      </c>
      <c r="D45" s="159">
        <v>218</v>
      </c>
      <c r="E45" s="159">
        <v>256</v>
      </c>
    </row>
    <row r="46" spans="1:5" ht="16.2" thickBot="1">
      <c r="A46" s="160" t="s">
        <v>35</v>
      </c>
      <c r="B46" s="159">
        <v>365</v>
      </c>
      <c r="C46" s="159">
        <v>335</v>
      </c>
      <c r="D46" s="159">
        <v>386</v>
      </c>
      <c r="E46" s="159">
        <v>299</v>
      </c>
    </row>
    <row r="47" spans="1:5" ht="16.2" thickBot="1">
      <c r="A47" s="86"/>
      <c r="B47" s="87"/>
      <c r="C47" s="87"/>
      <c r="D47" s="87"/>
      <c r="E47" s="87"/>
    </row>
    <row r="48" spans="1:5" ht="16.2" thickBot="1">
      <c r="A48" s="161" t="s">
        <v>36</v>
      </c>
      <c r="B48" s="523">
        <f>SUM(B35:B46)</f>
        <v>2330</v>
      </c>
      <c r="C48" s="523">
        <f>SUM(C35:C46)</f>
        <v>1867</v>
      </c>
      <c r="D48" s="523">
        <f>SUM(D35:D46)</f>
        <v>1922</v>
      </c>
      <c r="E48" s="523">
        <f>SUM(E35:E46)</f>
        <v>1914</v>
      </c>
    </row>
    <row r="49" spans="1:5">
      <c r="A49" s="86"/>
      <c r="B49" s="86"/>
      <c r="C49" s="86"/>
      <c r="D49" s="86"/>
      <c r="E49" s="86"/>
    </row>
    <row r="50" spans="1:5">
      <c r="A50" s="86"/>
      <c r="B50" s="86"/>
      <c r="C50" s="86"/>
      <c r="D50" s="86"/>
      <c r="E50" s="86"/>
    </row>
    <row r="51" spans="1:5">
      <c r="A51" s="154" t="s">
        <v>23</v>
      </c>
      <c r="B51" s="85" t="s">
        <v>48</v>
      </c>
      <c r="C51" s="86"/>
      <c r="D51" s="86"/>
      <c r="E51" s="86"/>
    </row>
    <row r="52" spans="1:5">
      <c r="A52" s="86"/>
      <c r="B52" s="86"/>
      <c r="C52" s="86"/>
      <c r="D52" s="86"/>
      <c r="E52" s="86"/>
    </row>
    <row r="53" spans="1:5">
      <c r="A53" s="86"/>
      <c r="B53" s="86"/>
      <c r="C53" s="86"/>
      <c r="D53" s="86"/>
      <c r="E53" s="86"/>
    </row>
  </sheetData>
  <mergeCells count="5">
    <mergeCell ref="A24:D24"/>
    <mergeCell ref="A16:C16"/>
    <mergeCell ref="A1:C1"/>
    <mergeCell ref="A31:D31"/>
    <mergeCell ref="C3:F3"/>
  </mergeCells>
  <phoneticPr fontId="34" type="noConversion"/>
  <hyperlinks>
    <hyperlink ref="C22" r:id="rId1" location=":~:text=20%2C5%20,%C3%A0%20l%27usage%20exclusif%20de%20l%27entreprise" xr:uid="{A47575BD-CFEA-4E00-8C9C-19C131B93AB5}"/>
    <hyperlink ref="C20" r:id="rId2" xr:uid="{599C6DEF-41A0-4E7B-813F-3DF49570296D}"/>
    <hyperlink ref="D21" r:id="rId3" display="https://statbel.fgov.be/fr/themes/prix-la-consommation" xr:uid="{D6F4EDD9-3101-48F3-B6A2-944591BA561F}"/>
    <hyperlink ref="B51" r:id="rId4" xr:uid="{F30B533F-8D32-42ED-86CB-CCB5E92278AE}"/>
  </hyperlinks>
  <pageMargins left="0.78740157499999996" right="0.78740157499999996" top="0.984251969" bottom="0.984251969" header="0.5" footer="0.5"/>
  <pageSetup paperSize="9" orientation="landscape" horizontalDpi="1200" verticalDpi="1200" r:id="rId5"/>
  <headerFooter alignWithMargins="0">
    <oddHeader>&amp;R3J-CONSULT sa</oddHeader>
    <oddFooter>&amp;L&amp;F&amp;R&amp;A</oddFooter>
  </headerFooter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47F3D-D3CD-4317-A3E2-9DA972BC64C3}">
  <sheetPr>
    <pageSetUpPr fitToPage="1"/>
  </sheetPr>
  <dimension ref="A1:AX51"/>
  <sheetViews>
    <sheetView showGridLines="0" zoomScale="115" zoomScaleNormal="115" workbookViewId="0">
      <pane xSplit="2" ySplit="4" topLeftCell="C5" activePane="bottomRight" state="frozen"/>
      <selection activeCell="J49" sqref="J49"/>
      <selection pane="topRight" activeCell="J49" sqref="J49"/>
      <selection pane="bottomLeft" activeCell="J49" sqref="J49"/>
      <selection pane="bottomRight" activeCell="E19" sqref="D19:E19"/>
    </sheetView>
  </sheetViews>
  <sheetFormatPr baseColWidth="10" defaultColWidth="9.109375" defaultRowHeight="13.2" outlineLevelCol="1"/>
  <cols>
    <col min="1" max="1" width="22" customWidth="1"/>
    <col min="2" max="2" width="30.6640625" bestFit="1" customWidth="1"/>
    <col min="3" max="3" width="14.6640625" customWidth="1"/>
    <col min="4" max="4" width="10.88671875" bestFit="1" customWidth="1"/>
    <col min="5" max="5" width="9.109375" style="51" bestFit="1" customWidth="1"/>
    <col min="6" max="6" width="10.44140625" style="51" customWidth="1"/>
    <col min="7" max="8" width="13.5546875" bestFit="1" customWidth="1"/>
    <col min="9" max="9" width="12.5546875" bestFit="1" customWidth="1"/>
    <col min="10" max="10" width="3.5546875" customWidth="1"/>
    <col min="11" max="11" width="4.44140625" customWidth="1"/>
    <col min="12" max="12" width="11.88671875" bestFit="1" customWidth="1"/>
    <col min="13" max="13" width="6.33203125" bestFit="1" customWidth="1"/>
    <col min="14" max="14" width="6.5546875" bestFit="1" customWidth="1"/>
    <col min="15" max="15" width="5.44140625" customWidth="1"/>
    <col min="16" max="16" width="10.33203125" style="51" bestFit="1" customWidth="1"/>
    <col min="17" max="17" width="12.44140625" style="51" bestFit="1" customWidth="1"/>
    <col min="18" max="18" width="6.6640625" hidden="1" customWidth="1"/>
    <col min="19" max="19" width="7" hidden="1" customWidth="1"/>
    <col min="20" max="20" width="14.44140625" style="51" bestFit="1" customWidth="1"/>
    <col min="21" max="21" width="10.6640625" style="51" bestFit="1" customWidth="1"/>
    <col min="22" max="22" width="8.44140625" customWidth="1"/>
    <col min="23" max="23" width="8.44140625" customWidth="1" outlineLevel="1"/>
    <col min="24" max="24" width="8" bestFit="1" customWidth="1" outlineLevel="1"/>
    <col min="25" max="25" width="9.109375" outlineLevel="1"/>
    <col min="26" max="26" width="17.6640625" customWidth="1" outlineLevel="1"/>
    <col min="27" max="27" width="11.6640625" customWidth="1" outlineLevel="1"/>
    <col min="28" max="28" width="12" bestFit="1" customWidth="1" outlineLevel="1"/>
    <col min="29" max="29" width="12" customWidth="1" outlineLevel="1"/>
    <col min="30" max="30" width="9.109375" outlineLevel="1"/>
    <col min="31" max="31" width="7.33203125" bestFit="1" customWidth="1" outlineLevel="1"/>
    <col min="32" max="32" width="4.5546875" bestFit="1" customWidth="1" outlineLevel="1"/>
    <col min="33" max="33" width="12.109375" bestFit="1" customWidth="1" outlineLevel="1"/>
    <col min="34" max="34" width="6.33203125" bestFit="1" customWidth="1" outlineLevel="1"/>
    <col min="35" max="35" width="6.88671875" bestFit="1" customWidth="1" outlineLevel="1"/>
    <col min="36" max="36" width="11.5546875" customWidth="1"/>
    <col min="37" max="37" width="11.5546875" customWidth="1" outlineLevel="1"/>
    <col min="38" max="42" width="9.109375" outlineLevel="1"/>
    <col min="43" max="43" width="9.88671875" bestFit="1" customWidth="1" outlineLevel="1"/>
    <col min="44" max="45" width="9.109375" outlineLevel="1"/>
    <col min="46" max="46" width="7.33203125" bestFit="1" customWidth="1" outlineLevel="1"/>
    <col min="47" max="47" width="6.5546875" bestFit="1" customWidth="1" outlineLevel="1"/>
    <col min="48" max="48" width="13.44140625" bestFit="1" customWidth="1" outlineLevel="1"/>
    <col min="49" max="49" width="8.33203125" customWidth="1" outlineLevel="1"/>
    <col min="50" max="50" width="6.88671875" bestFit="1" customWidth="1" outlineLevel="1"/>
  </cols>
  <sheetData>
    <row r="1" spans="1:50" s="9" customFormat="1" ht="25.2" thickBot="1">
      <c r="B1" s="14"/>
      <c r="C1" s="14" t="str">
        <f>Paramètres!B3</f>
        <v>NOM DE L'ENTITE</v>
      </c>
      <c r="E1" s="103"/>
      <c r="F1" s="103"/>
      <c r="J1" s="139"/>
      <c r="O1" s="139"/>
      <c r="P1" s="103"/>
      <c r="Q1" s="103"/>
      <c r="T1" s="103"/>
      <c r="U1" s="103"/>
      <c r="V1" s="139"/>
      <c r="W1" s="14" t="s">
        <v>52</v>
      </c>
      <c r="Z1" s="14"/>
      <c r="AK1" s="14" t="s">
        <v>43</v>
      </c>
      <c r="AM1" s="103"/>
      <c r="AN1" s="103"/>
      <c r="AO1" s="103"/>
      <c r="AP1" s="103"/>
      <c r="AQ1" s="103"/>
    </row>
    <row r="2" spans="1:50" s="65" customFormat="1" ht="30.6" thickBot="1">
      <c r="A2" s="64" t="s">
        <v>7</v>
      </c>
      <c r="B2" s="541">
        <v>2023</v>
      </c>
      <c r="C2" s="681" t="s">
        <v>11</v>
      </c>
      <c r="D2" s="681"/>
      <c r="E2" s="681"/>
      <c r="F2" s="682"/>
      <c r="G2" s="690" t="s">
        <v>4</v>
      </c>
      <c r="H2" s="691"/>
      <c r="I2" s="628" t="s">
        <v>293</v>
      </c>
      <c r="J2" s="145"/>
      <c r="K2" s="692" t="s">
        <v>260</v>
      </c>
      <c r="L2" s="693"/>
      <c r="M2" s="693"/>
      <c r="N2" s="694"/>
      <c r="O2" s="144"/>
      <c r="P2" s="695" t="s">
        <v>49</v>
      </c>
      <c r="Q2" s="696"/>
      <c r="R2" s="697"/>
      <c r="S2" s="696"/>
      <c r="T2" s="695" t="s">
        <v>259</v>
      </c>
      <c r="U2" s="696"/>
      <c r="V2" s="144"/>
      <c r="W2" s="698" t="s">
        <v>11</v>
      </c>
      <c r="X2" s="700"/>
      <c r="Y2" s="700"/>
      <c r="Z2" s="699"/>
      <c r="AA2" s="698" t="s">
        <v>4</v>
      </c>
      <c r="AB2" s="699"/>
      <c r="AC2" s="142"/>
      <c r="AD2" s="695" t="s">
        <v>149</v>
      </c>
      <c r="AE2" s="697"/>
      <c r="AF2" s="697"/>
      <c r="AG2" s="696"/>
      <c r="AH2" s="695" t="s">
        <v>40</v>
      </c>
      <c r="AI2" s="696"/>
      <c r="AJ2" s="142"/>
      <c r="AK2" s="701" t="s">
        <v>11</v>
      </c>
      <c r="AL2" s="702"/>
      <c r="AM2" s="702"/>
      <c r="AN2" s="703"/>
      <c r="AO2" s="698" t="s">
        <v>4</v>
      </c>
      <c r="AP2" s="699"/>
      <c r="AQ2" s="647" t="s">
        <v>294</v>
      </c>
      <c r="AR2" s="633"/>
      <c r="AS2" s="695"/>
      <c r="AT2" s="697"/>
      <c r="AU2" s="697"/>
      <c r="AV2" s="697"/>
      <c r="AW2" s="695" t="s">
        <v>50</v>
      </c>
      <c r="AX2" s="696"/>
    </row>
    <row r="3" spans="1:50" s="9" customFormat="1" ht="30" customHeight="1">
      <c r="A3" s="10"/>
      <c r="B3" s="483"/>
      <c r="C3" s="81" t="str">
        <f>Paramètres!C5</f>
        <v>Electricité 
achetée</v>
      </c>
      <c r="D3" s="81" t="str">
        <f>Paramètres!D5</f>
        <v>Gaz Naturel</v>
      </c>
      <c r="E3" s="81" t="str">
        <f>Paramètres!E5</f>
        <v>Fuel léger</v>
      </c>
      <c r="F3" s="540" t="s">
        <v>47</v>
      </c>
      <c r="G3" s="598" t="s">
        <v>284</v>
      </c>
      <c r="H3" s="599" t="s">
        <v>285</v>
      </c>
      <c r="I3" s="627"/>
      <c r="J3" s="145"/>
      <c r="K3" s="487" t="s">
        <v>266</v>
      </c>
      <c r="L3" s="16" t="s">
        <v>5</v>
      </c>
      <c r="M3" s="126" t="s">
        <v>265</v>
      </c>
      <c r="N3" s="17" t="s">
        <v>6</v>
      </c>
      <c r="O3" s="139"/>
      <c r="P3" s="123" t="s">
        <v>38</v>
      </c>
      <c r="Q3" s="128" t="s">
        <v>39</v>
      </c>
      <c r="R3" s="126"/>
      <c r="S3" s="127"/>
      <c r="T3" s="98" t="str">
        <f>"CRA("&amp;B2&amp;")"</f>
        <v>CRA(2023)</v>
      </c>
      <c r="U3" s="19" t="str">
        <f>"ERA("&amp;B2&amp;")"</f>
        <v>ERA(2023)</v>
      </c>
      <c r="V3" s="139"/>
      <c r="W3" s="102" t="str">
        <f t="shared" ref="W3:AB3" si="0">C3</f>
        <v>Electricité 
achetée</v>
      </c>
      <c r="X3" s="81" t="str">
        <f t="shared" si="0"/>
        <v>Gaz Naturel</v>
      </c>
      <c r="Y3" s="81" t="str">
        <f t="shared" si="0"/>
        <v>Fuel léger</v>
      </c>
      <c r="Z3" s="80" t="str">
        <f t="shared" si="0"/>
        <v>Cabosse</v>
      </c>
      <c r="AA3" s="102" t="str">
        <f t="shared" si="0"/>
        <v>Utilité 1</v>
      </c>
      <c r="AB3" s="19" t="str">
        <f t="shared" si="0"/>
        <v>Utilité 2</v>
      </c>
      <c r="AC3" s="143"/>
      <c r="AD3" s="263" t="s">
        <v>10</v>
      </c>
      <c r="AE3" s="113" t="s">
        <v>37</v>
      </c>
      <c r="AF3" s="684" t="s">
        <v>12</v>
      </c>
      <c r="AG3" s="685"/>
      <c r="AH3" s="102" t="s">
        <v>41</v>
      </c>
      <c r="AI3" s="80" t="s">
        <v>42</v>
      </c>
      <c r="AJ3" s="143"/>
      <c r="AK3" s="102" t="str">
        <f>Paramètres!C5</f>
        <v>Electricité 
achetée</v>
      </c>
      <c r="AL3" s="81" t="str">
        <f>Paramètres!D5</f>
        <v>Gaz Naturel</v>
      </c>
      <c r="AM3" s="81" t="str">
        <f>Paramètres!E5</f>
        <v>Fuel léger</v>
      </c>
      <c r="AN3" s="80" t="str">
        <f>Paramètres!F5</f>
        <v>Bois</v>
      </c>
      <c r="AO3" s="102" t="str">
        <f>'2023'!G3</f>
        <v>Utilité 1</v>
      </c>
      <c r="AP3" s="19" t="str">
        <f>'2023'!H3</f>
        <v>Utilité 2</v>
      </c>
      <c r="AQ3" s="636">
        <f>'2023'!I3</f>
        <v>0</v>
      </c>
      <c r="AR3" s="634"/>
      <c r="AS3" s="102" t="s">
        <v>10</v>
      </c>
      <c r="AT3" s="113" t="s">
        <v>37</v>
      </c>
      <c r="AU3" s="684" t="s">
        <v>18</v>
      </c>
      <c r="AV3" s="686"/>
      <c r="AW3" s="102" t="s">
        <v>41</v>
      </c>
      <c r="AX3" s="80" t="s">
        <v>42</v>
      </c>
    </row>
    <row r="4" spans="1:50" s="9" customFormat="1" ht="15" customHeight="1" thickBot="1">
      <c r="A4" s="542"/>
      <c r="B4" s="484"/>
      <c r="C4" s="486" t="str">
        <f>Paramètres!C6</f>
        <v>kWh</v>
      </c>
      <c r="D4" s="486" t="str">
        <f>Paramètres!D6</f>
        <v>kWhs</v>
      </c>
      <c r="E4" s="486" t="str">
        <f>Paramètres!E6</f>
        <v>litres</v>
      </c>
      <c r="F4" s="544" t="str">
        <f>Paramètres!F6</f>
        <v>tonnes</v>
      </c>
      <c r="G4" s="600" t="s">
        <v>286</v>
      </c>
      <c r="H4" s="601" t="s">
        <v>287</v>
      </c>
      <c r="I4" s="601" t="s">
        <v>16</v>
      </c>
      <c r="J4" s="145"/>
      <c r="K4" s="11"/>
      <c r="L4" s="15"/>
      <c r="M4" s="12"/>
      <c r="N4" s="13"/>
      <c r="O4" s="139"/>
      <c r="P4" s="124" t="s">
        <v>147</v>
      </c>
      <c r="Q4" s="129" t="s">
        <v>148</v>
      </c>
      <c r="R4" s="125"/>
      <c r="S4" s="129"/>
      <c r="T4" s="237" t="s">
        <v>53</v>
      </c>
      <c r="U4" s="129" t="s">
        <v>16</v>
      </c>
      <c r="V4" s="139"/>
      <c r="W4" s="124" t="s">
        <v>53</v>
      </c>
      <c r="X4" s="26" t="s">
        <v>53</v>
      </c>
      <c r="Y4" s="26" t="s">
        <v>53</v>
      </c>
      <c r="Z4" s="162" t="s">
        <v>53</v>
      </c>
      <c r="AA4" s="25" t="s">
        <v>53</v>
      </c>
      <c r="AB4" s="49" t="s">
        <v>53</v>
      </c>
      <c r="AC4" s="143"/>
      <c r="AD4" s="264" t="s">
        <v>53</v>
      </c>
      <c r="AE4" s="114" t="s">
        <v>37</v>
      </c>
      <c r="AF4" s="687" t="s">
        <v>147</v>
      </c>
      <c r="AG4" s="688"/>
      <c r="AH4" s="25"/>
      <c r="AI4" s="129"/>
      <c r="AJ4" s="143"/>
      <c r="AK4" s="124" t="s">
        <v>16</v>
      </c>
      <c r="AL4" s="26" t="s">
        <v>16</v>
      </c>
      <c r="AM4" s="26" t="s">
        <v>16</v>
      </c>
      <c r="AN4" s="49" t="s">
        <v>16</v>
      </c>
      <c r="AO4" s="25" t="s">
        <v>16</v>
      </c>
      <c r="AP4" s="49" t="s">
        <v>16</v>
      </c>
      <c r="AQ4" s="637" t="s">
        <v>16</v>
      </c>
      <c r="AR4" s="634"/>
      <c r="AS4" s="25" t="s">
        <v>16</v>
      </c>
      <c r="AT4" s="114" t="s">
        <v>37</v>
      </c>
      <c r="AU4" s="687" t="s">
        <v>148</v>
      </c>
      <c r="AV4" s="689"/>
      <c r="AW4" s="25"/>
      <c r="AX4" s="162"/>
    </row>
    <row r="5" spans="1:50">
      <c r="A5" s="76"/>
      <c r="B5" s="493" t="s">
        <v>262</v>
      </c>
      <c r="C5" s="515"/>
      <c r="D5" s="516"/>
      <c r="E5" s="517"/>
      <c r="F5" s="545"/>
      <c r="G5" s="546"/>
      <c r="H5" s="518"/>
      <c r="I5" s="518"/>
      <c r="J5" s="146"/>
      <c r="K5" s="7"/>
      <c r="L5" s="4"/>
      <c r="M5" s="5"/>
      <c r="N5" s="8"/>
      <c r="O5" s="139"/>
      <c r="P5" s="104"/>
      <c r="Q5" s="130"/>
      <c r="R5" s="132"/>
      <c r="S5" s="133"/>
      <c r="T5" s="131"/>
      <c r="U5" s="106"/>
      <c r="V5" s="139"/>
      <c r="W5" s="490"/>
      <c r="X5" s="485"/>
      <c r="Y5" s="485"/>
      <c r="Z5" s="491"/>
      <c r="AA5" s="643"/>
      <c r="AB5" s="644"/>
      <c r="AC5" s="143"/>
      <c r="AD5" s="69"/>
      <c r="AE5" s="78"/>
      <c r="AF5" s="79"/>
      <c r="AG5" s="136"/>
      <c r="AH5" s="115"/>
      <c r="AI5" s="116"/>
      <c r="AJ5" s="143"/>
      <c r="AK5" s="504"/>
      <c r="AL5" s="505"/>
      <c r="AM5" s="506"/>
      <c r="AN5" s="507"/>
      <c r="AO5" s="504"/>
      <c r="AP5" s="508"/>
      <c r="AQ5" s="638"/>
      <c r="AR5" s="635"/>
      <c r="AS5" s="69"/>
      <c r="AT5" s="152"/>
      <c r="AU5" s="79"/>
      <c r="AV5" s="70"/>
      <c r="AW5" s="115"/>
      <c r="AX5" s="116"/>
    </row>
    <row r="6" spans="1:50">
      <c r="A6" s="621">
        <v>1</v>
      </c>
      <c r="B6" s="534" t="s">
        <v>288</v>
      </c>
      <c r="C6" s="535">
        <v>1000</v>
      </c>
      <c r="D6" s="536"/>
      <c r="E6" s="536"/>
      <c r="F6" s="549"/>
      <c r="G6" s="547"/>
      <c r="H6" s="537"/>
      <c r="I6" s="537"/>
      <c r="J6" s="147"/>
      <c r="K6" s="481">
        <f>A6</f>
        <v>1</v>
      </c>
      <c r="L6" s="539" t="s">
        <v>274</v>
      </c>
      <c r="M6" s="88">
        <v>1</v>
      </c>
      <c r="N6" s="585" t="s">
        <v>275</v>
      </c>
      <c r="O6" s="139"/>
      <c r="P6" s="571">
        <f>AF6</f>
        <v>1</v>
      </c>
      <c r="Q6" s="572">
        <f>AU6</f>
        <v>216</v>
      </c>
      <c r="R6" s="265"/>
      <c r="S6" s="266"/>
      <c r="T6" s="528">
        <f>P6*M6</f>
        <v>1</v>
      </c>
      <c r="U6" s="529">
        <f>Q6*M6</f>
        <v>216</v>
      </c>
      <c r="V6" s="139"/>
      <c r="W6" s="500">
        <f t="shared" ref="W6:AB7" si="1">C6*C$30/1000</f>
        <v>1</v>
      </c>
      <c r="X6" s="499">
        <f t="shared" si="1"/>
        <v>0</v>
      </c>
      <c r="Y6" s="499">
        <f t="shared" si="1"/>
        <v>0</v>
      </c>
      <c r="Z6" s="501">
        <f t="shared" si="1"/>
        <v>0</v>
      </c>
      <c r="AA6" s="500">
        <f t="shared" si="1"/>
        <v>0</v>
      </c>
      <c r="AB6" s="501">
        <f t="shared" si="1"/>
        <v>0</v>
      </c>
      <c r="AC6" s="143"/>
      <c r="AD6" s="239">
        <f t="shared" ref="AD6:AD13" si="2">IF($M6="","",SUM(W6:AB6))</f>
        <v>1</v>
      </c>
      <c r="AE6" s="74">
        <f>IF(AD6="","",AD6/$AD$14)</f>
        <v>1</v>
      </c>
      <c r="AF6" s="22">
        <f t="shared" ref="AF6:AF13" si="3">IF(M6="","",IF(M6=0,0,AD6/M6))</f>
        <v>1</v>
      </c>
      <c r="AG6" s="71" t="str">
        <f t="shared" ref="AG6:AG13" si="4">IF(M6="","",CONCATENATE("MWh/",N6))</f>
        <v>MWh/tonne</v>
      </c>
      <c r="AH6" s="118">
        <f t="shared" ref="AH6:AH13" si="5">IF(M6="","",1-(AD6/T6))</f>
        <v>0</v>
      </c>
      <c r="AI6" s="119">
        <f t="shared" ref="AI6:AI13" si="6">IF(M6="","",(T6-AD6)/$T$17)</f>
        <v>0</v>
      </c>
      <c r="AJ6" s="143"/>
      <c r="AK6" s="500">
        <f>C6*C$31</f>
        <v>216</v>
      </c>
      <c r="AL6" s="499">
        <f t="shared" ref="AL6:AP6" si="7">D6*D$31</f>
        <v>0</v>
      </c>
      <c r="AM6" s="499">
        <f t="shared" si="7"/>
        <v>0</v>
      </c>
      <c r="AN6" s="501">
        <f t="shared" si="7"/>
        <v>0</v>
      </c>
      <c r="AO6" s="500">
        <f t="shared" si="7"/>
        <v>0</v>
      </c>
      <c r="AP6" s="501">
        <f t="shared" si="7"/>
        <v>0</v>
      </c>
      <c r="AQ6" s="639">
        <f>I6</f>
        <v>0</v>
      </c>
      <c r="AR6" s="635"/>
      <c r="AS6" s="20">
        <f>IF(M6="","",SUM(AK6:AQ6))</f>
        <v>216</v>
      </c>
      <c r="AT6" s="152">
        <f t="shared" ref="AT6:AT13" si="8">IF(AS6="","",AS6/$AS$14)</f>
        <v>1</v>
      </c>
      <c r="AU6" s="22">
        <f t="shared" ref="AU6:AU13" si="9">IF(M6="","",IF(M6=0,0,AS6/M6))</f>
        <v>216</v>
      </c>
      <c r="AV6" s="21" t="str">
        <f t="shared" ref="AV6:AV13" si="10">IF(M6="","",CONCATENATE("kgCO2/",N6))</f>
        <v>kgCO2/tonne</v>
      </c>
      <c r="AW6" s="117">
        <f t="shared" ref="AW6:AW13" si="11">IF(M6="","",1-(AS6/U6))</f>
        <v>0</v>
      </c>
      <c r="AX6" s="119">
        <f t="shared" ref="AX6:AX13" si="12">IF(M6="","",(U6-AS6)/$U$17)</f>
        <v>0</v>
      </c>
    </row>
    <row r="7" spans="1:50">
      <c r="A7" s="621">
        <f>A6+1</f>
        <v>2</v>
      </c>
      <c r="B7" s="534"/>
      <c r="C7" s="535"/>
      <c r="D7" s="536"/>
      <c r="E7" s="536"/>
      <c r="F7" s="549"/>
      <c r="G7" s="547"/>
      <c r="H7" s="537"/>
      <c r="I7" s="537"/>
      <c r="J7" s="147"/>
      <c r="K7" s="481">
        <f>A7</f>
        <v>2</v>
      </c>
      <c r="L7" s="539"/>
      <c r="M7" s="88"/>
      <c r="N7" s="585"/>
      <c r="O7" s="139"/>
      <c r="P7" s="571"/>
      <c r="Q7" s="572"/>
      <c r="R7" s="265"/>
      <c r="S7" s="266"/>
      <c r="T7" s="528">
        <f>P7*M7</f>
        <v>0</v>
      </c>
      <c r="U7" s="529">
        <f>Q7*M7</f>
        <v>0</v>
      </c>
      <c r="V7" s="139"/>
      <c r="W7" s="500">
        <f t="shared" si="1"/>
        <v>0</v>
      </c>
      <c r="X7" s="499">
        <f t="shared" si="1"/>
        <v>0</v>
      </c>
      <c r="Y7" s="499">
        <f t="shared" si="1"/>
        <v>0</v>
      </c>
      <c r="Z7" s="501">
        <f t="shared" si="1"/>
        <v>0</v>
      </c>
      <c r="AA7" s="500">
        <f t="shared" si="1"/>
        <v>0</v>
      </c>
      <c r="AB7" s="501">
        <f t="shared" si="1"/>
        <v>0</v>
      </c>
      <c r="AC7" s="143"/>
      <c r="AD7" s="239" t="str">
        <f t="shared" si="2"/>
        <v/>
      </c>
      <c r="AE7" s="74" t="str">
        <f>IF(AD7="","",AD7/$AD$14)</f>
        <v/>
      </c>
      <c r="AF7" s="22" t="str">
        <f t="shared" si="3"/>
        <v/>
      </c>
      <c r="AG7" s="71" t="str">
        <f t="shared" si="4"/>
        <v/>
      </c>
      <c r="AH7" s="118" t="str">
        <f t="shared" si="5"/>
        <v/>
      </c>
      <c r="AI7" s="119" t="str">
        <f t="shared" si="6"/>
        <v/>
      </c>
      <c r="AJ7" s="143"/>
      <c r="AK7" s="500">
        <f>C7*C$31</f>
        <v>0</v>
      </c>
      <c r="AL7" s="499">
        <f t="shared" ref="AL7" si="13">D7*D$31</f>
        <v>0</v>
      </c>
      <c r="AM7" s="499">
        <f t="shared" ref="AM7" si="14">E7*E$31</f>
        <v>0</v>
      </c>
      <c r="AN7" s="501">
        <f t="shared" ref="AN7" si="15">F7*F$31</f>
        <v>0</v>
      </c>
      <c r="AO7" s="500">
        <f t="shared" ref="AO7" si="16">G7*G$31</f>
        <v>0</v>
      </c>
      <c r="AP7" s="501">
        <f t="shared" ref="AP7" si="17">H7*H$31</f>
        <v>0</v>
      </c>
      <c r="AQ7" s="639">
        <f>I7</f>
        <v>0</v>
      </c>
      <c r="AR7" s="635"/>
      <c r="AS7" s="20" t="str">
        <f t="shared" ref="AS7:AS13" si="18">IF(M7="","",SUM(AK7:AQ7))</f>
        <v/>
      </c>
      <c r="AT7" s="152" t="str">
        <f t="shared" si="8"/>
        <v/>
      </c>
      <c r="AU7" s="22" t="str">
        <f t="shared" si="9"/>
        <v/>
      </c>
      <c r="AV7" s="21" t="str">
        <f t="shared" si="10"/>
        <v/>
      </c>
      <c r="AW7" s="117" t="str">
        <f t="shared" si="11"/>
        <v/>
      </c>
      <c r="AX7" s="119" t="str">
        <f t="shared" si="12"/>
        <v/>
      </c>
    </row>
    <row r="8" spans="1:50">
      <c r="A8" s="75"/>
      <c r="B8" s="494" t="s">
        <v>263</v>
      </c>
      <c r="C8" s="550"/>
      <c r="D8" s="551"/>
      <c r="E8" s="552"/>
      <c r="F8" s="553"/>
      <c r="G8" s="554"/>
      <c r="H8" s="555"/>
      <c r="I8" s="555"/>
      <c r="J8" s="146"/>
      <c r="K8" s="481"/>
      <c r="L8" s="6"/>
      <c r="M8" s="100"/>
      <c r="N8" s="583"/>
      <c r="O8" s="139"/>
      <c r="P8" s="573"/>
      <c r="Q8" s="574"/>
      <c r="R8" s="265"/>
      <c r="S8" s="266"/>
      <c r="T8" s="528"/>
      <c r="U8" s="529"/>
      <c r="V8" s="139"/>
      <c r="W8" s="490"/>
      <c r="X8" s="485"/>
      <c r="Y8" s="485"/>
      <c r="Z8" s="491"/>
      <c r="AA8" s="490"/>
      <c r="AB8" s="491"/>
      <c r="AC8" s="143"/>
      <c r="AD8" s="239" t="str">
        <f t="shared" si="2"/>
        <v/>
      </c>
      <c r="AE8" s="74"/>
      <c r="AF8" s="22" t="str">
        <f t="shared" si="3"/>
        <v/>
      </c>
      <c r="AG8" s="71" t="str">
        <f t="shared" si="4"/>
        <v/>
      </c>
      <c r="AH8" s="118" t="str">
        <f t="shared" si="5"/>
        <v/>
      </c>
      <c r="AI8" s="119" t="str">
        <f t="shared" si="6"/>
        <v/>
      </c>
      <c r="AJ8" s="143"/>
      <c r="AK8" s="509"/>
      <c r="AL8" s="510"/>
      <c r="AM8" s="511"/>
      <c r="AN8" s="512"/>
      <c r="AO8" s="509"/>
      <c r="AP8" s="513"/>
      <c r="AQ8" s="640"/>
      <c r="AR8" s="635"/>
      <c r="AS8" s="20" t="str">
        <f t="shared" si="18"/>
        <v/>
      </c>
      <c r="AT8" s="152" t="str">
        <f t="shared" si="8"/>
        <v/>
      </c>
      <c r="AU8" s="22" t="str">
        <f t="shared" si="9"/>
        <v/>
      </c>
      <c r="AV8" s="21" t="str">
        <f t="shared" si="10"/>
        <v/>
      </c>
      <c r="AW8" s="117" t="str">
        <f t="shared" si="11"/>
        <v/>
      </c>
      <c r="AX8" s="119" t="str">
        <f t="shared" si="12"/>
        <v/>
      </c>
    </row>
    <row r="9" spans="1:50">
      <c r="A9" s="621">
        <f>A7+1</f>
        <v>3</v>
      </c>
      <c r="B9" s="534"/>
      <c r="C9" s="535"/>
      <c r="D9" s="536"/>
      <c r="E9" s="536"/>
      <c r="F9" s="549"/>
      <c r="G9" s="547"/>
      <c r="H9" s="537"/>
      <c r="I9" s="537"/>
      <c r="J9" s="148"/>
      <c r="K9" s="481">
        <f>A9</f>
        <v>3</v>
      </c>
      <c r="L9" s="532"/>
      <c r="M9" s="88"/>
      <c r="N9" s="581"/>
      <c r="O9" s="139"/>
      <c r="P9" s="571"/>
      <c r="Q9" s="572"/>
      <c r="R9" s="265"/>
      <c r="S9" s="266"/>
      <c r="T9" s="528">
        <f>P9*M9</f>
        <v>0</v>
      </c>
      <c r="U9" s="529">
        <f>Q9*M9</f>
        <v>0</v>
      </c>
      <c r="V9" s="139"/>
      <c r="W9" s="500">
        <f t="shared" ref="W9:AB10" si="19">C9*C$30/1000</f>
        <v>0</v>
      </c>
      <c r="X9" s="499">
        <f t="shared" si="19"/>
        <v>0</v>
      </c>
      <c r="Y9" s="499">
        <f t="shared" si="19"/>
        <v>0</v>
      </c>
      <c r="Z9" s="501">
        <f t="shared" si="19"/>
        <v>0</v>
      </c>
      <c r="AA9" s="500">
        <f t="shared" si="19"/>
        <v>0</v>
      </c>
      <c r="AB9" s="501">
        <f t="shared" si="19"/>
        <v>0</v>
      </c>
      <c r="AC9" s="143"/>
      <c r="AD9" s="239" t="str">
        <f t="shared" si="2"/>
        <v/>
      </c>
      <c r="AE9" s="74" t="str">
        <f>IF(AD9="","",AD9/$AD$14)</f>
        <v/>
      </c>
      <c r="AF9" s="22" t="str">
        <f t="shared" si="3"/>
        <v/>
      </c>
      <c r="AG9" s="71" t="str">
        <f t="shared" si="4"/>
        <v/>
      </c>
      <c r="AH9" s="118" t="str">
        <f t="shared" si="5"/>
        <v/>
      </c>
      <c r="AI9" s="119" t="str">
        <f t="shared" si="6"/>
        <v/>
      </c>
      <c r="AJ9" s="143"/>
      <c r="AK9" s="500">
        <f>C9*C$31</f>
        <v>0</v>
      </c>
      <c r="AL9" s="499">
        <f t="shared" ref="AL9:AL10" si="20">D9*D$31</f>
        <v>0</v>
      </c>
      <c r="AM9" s="499">
        <f t="shared" ref="AM9:AM10" si="21">E9*E$31</f>
        <v>0</v>
      </c>
      <c r="AN9" s="501">
        <f t="shared" ref="AN9:AN10" si="22">F9*F$31</f>
        <v>0</v>
      </c>
      <c r="AO9" s="500">
        <f t="shared" ref="AO9:AO10" si="23">G9*G$31</f>
        <v>0</v>
      </c>
      <c r="AP9" s="501">
        <f t="shared" ref="AP9:AP10" si="24">H9*H$31</f>
        <v>0</v>
      </c>
      <c r="AQ9" s="639">
        <f>I9</f>
        <v>0</v>
      </c>
      <c r="AR9" s="635"/>
      <c r="AS9" s="20" t="str">
        <f t="shared" si="18"/>
        <v/>
      </c>
      <c r="AT9" s="152" t="str">
        <f t="shared" si="8"/>
        <v/>
      </c>
      <c r="AU9" s="22" t="str">
        <f t="shared" si="9"/>
        <v/>
      </c>
      <c r="AV9" s="21" t="str">
        <f t="shared" si="10"/>
        <v/>
      </c>
      <c r="AW9" s="117" t="str">
        <f t="shared" si="11"/>
        <v/>
      </c>
      <c r="AX9" s="119" t="str">
        <f t="shared" si="12"/>
        <v/>
      </c>
    </row>
    <row r="10" spans="1:50">
      <c r="A10" s="621">
        <f>A9+1</f>
        <v>4</v>
      </c>
      <c r="B10" s="534"/>
      <c r="C10" s="535"/>
      <c r="D10" s="536"/>
      <c r="E10" s="536"/>
      <c r="F10" s="549"/>
      <c r="G10" s="547"/>
      <c r="H10" s="537"/>
      <c r="I10" s="537"/>
      <c r="J10" s="148"/>
      <c r="K10" s="481">
        <f>A10</f>
        <v>4</v>
      </c>
      <c r="L10" s="532"/>
      <c r="M10" s="88"/>
      <c r="N10" s="581"/>
      <c r="O10" s="139"/>
      <c r="P10" s="571"/>
      <c r="Q10" s="572"/>
      <c r="R10" s="265"/>
      <c r="S10" s="265"/>
      <c r="T10" s="528">
        <f>P10*M10</f>
        <v>0</v>
      </c>
      <c r="U10" s="529">
        <f>Q10*M10</f>
        <v>0</v>
      </c>
      <c r="V10" s="139"/>
      <c r="W10" s="500">
        <f t="shared" si="19"/>
        <v>0</v>
      </c>
      <c r="X10" s="499">
        <f t="shared" si="19"/>
        <v>0</v>
      </c>
      <c r="Y10" s="499">
        <f t="shared" si="19"/>
        <v>0</v>
      </c>
      <c r="Z10" s="501">
        <f t="shared" si="19"/>
        <v>0</v>
      </c>
      <c r="AA10" s="500">
        <f t="shared" si="19"/>
        <v>0</v>
      </c>
      <c r="AB10" s="501">
        <f t="shared" si="19"/>
        <v>0</v>
      </c>
      <c r="AC10" s="143"/>
      <c r="AD10" s="239" t="str">
        <f t="shared" si="2"/>
        <v/>
      </c>
      <c r="AE10" s="74" t="str">
        <f>IF(AD10="","",AD10/$AD$14)</f>
        <v/>
      </c>
      <c r="AF10" s="22" t="str">
        <f t="shared" si="3"/>
        <v/>
      </c>
      <c r="AG10" s="71" t="str">
        <f t="shared" si="4"/>
        <v/>
      </c>
      <c r="AH10" s="118" t="str">
        <f t="shared" si="5"/>
        <v/>
      </c>
      <c r="AI10" s="119" t="str">
        <f t="shared" si="6"/>
        <v/>
      </c>
      <c r="AJ10" s="143"/>
      <c r="AK10" s="500">
        <f>C10*C$31</f>
        <v>0</v>
      </c>
      <c r="AL10" s="499">
        <f t="shared" si="20"/>
        <v>0</v>
      </c>
      <c r="AM10" s="499">
        <f t="shared" si="21"/>
        <v>0</v>
      </c>
      <c r="AN10" s="501">
        <f t="shared" si="22"/>
        <v>0</v>
      </c>
      <c r="AO10" s="500">
        <f t="shared" si="23"/>
        <v>0</v>
      </c>
      <c r="AP10" s="501">
        <f t="shared" si="24"/>
        <v>0</v>
      </c>
      <c r="AQ10" s="639">
        <f>I10</f>
        <v>0</v>
      </c>
      <c r="AR10" s="635"/>
      <c r="AS10" s="20" t="str">
        <f t="shared" si="18"/>
        <v/>
      </c>
      <c r="AT10" s="152" t="str">
        <f t="shared" si="8"/>
        <v/>
      </c>
      <c r="AU10" s="22" t="str">
        <f t="shared" si="9"/>
        <v/>
      </c>
      <c r="AV10" s="21" t="str">
        <f t="shared" si="10"/>
        <v/>
      </c>
      <c r="AW10" s="117" t="str">
        <f t="shared" si="11"/>
        <v/>
      </c>
      <c r="AX10" s="119" t="str">
        <f t="shared" si="12"/>
        <v/>
      </c>
    </row>
    <row r="11" spans="1:50">
      <c r="A11" s="75"/>
      <c r="B11" s="494" t="s">
        <v>277</v>
      </c>
      <c r="C11" s="550"/>
      <c r="D11" s="551"/>
      <c r="E11" s="552"/>
      <c r="F11" s="553"/>
      <c r="G11" s="554"/>
      <c r="H11" s="555"/>
      <c r="I11" s="555"/>
      <c r="J11" s="146"/>
      <c r="K11" s="481"/>
      <c r="L11" s="6"/>
      <c r="M11" s="503"/>
      <c r="N11" s="584"/>
      <c r="O11" s="548"/>
      <c r="P11" s="573"/>
      <c r="Q11" s="575"/>
      <c r="R11" s="475"/>
      <c r="S11" s="476"/>
      <c r="T11" s="528"/>
      <c r="U11" s="529"/>
      <c r="V11" s="139"/>
      <c r="W11" s="490"/>
      <c r="X11" s="485"/>
      <c r="Y11" s="485"/>
      <c r="Z11" s="491"/>
      <c r="AA11" s="490"/>
      <c r="AB11" s="491"/>
      <c r="AC11" s="143"/>
      <c r="AD11" s="239" t="str">
        <f t="shared" si="2"/>
        <v/>
      </c>
      <c r="AE11" s="74"/>
      <c r="AF11" s="22" t="str">
        <f t="shared" si="3"/>
        <v/>
      </c>
      <c r="AG11" s="71" t="str">
        <f t="shared" si="4"/>
        <v/>
      </c>
      <c r="AH11" s="118" t="str">
        <f t="shared" si="5"/>
        <v/>
      </c>
      <c r="AI11" s="119" t="str">
        <f t="shared" si="6"/>
        <v/>
      </c>
      <c r="AJ11" s="143"/>
      <c r="AK11" s="509"/>
      <c r="AL11" s="510"/>
      <c r="AM11" s="511"/>
      <c r="AN11" s="512"/>
      <c r="AO11" s="514"/>
      <c r="AP11" s="513"/>
      <c r="AQ11" s="640"/>
      <c r="AR11" s="635"/>
      <c r="AS11" s="20" t="str">
        <f t="shared" si="18"/>
        <v/>
      </c>
      <c r="AT11" s="152" t="str">
        <f t="shared" si="8"/>
        <v/>
      </c>
      <c r="AU11" s="22" t="str">
        <f t="shared" si="9"/>
        <v/>
      </c>
      <c r="AV11" s="21" t="str">
        <f t="shared" si="10"/>
        <v/>
      </c>
      <c r="AW11" s="117" t="str">
        <f t="shared" si="11"/>
        <v/>
      </c>
      <c r="AX11" s="119" t="str">
        <f t="shared" si="12"/>
        <v/>
      </c>
    </row>
    <row r="12" spans="1:50">
      <c r="A12" s="621">
        <f>A10+1</f>
        <v>5</v>
      </c>
      <c r="B12" s="534"/>
      <c r="C12" s="535"/>
      <c r="D12" s="536"/>
      <c r="E12" s="536"/>
      <c r="F12" s="549"/>
      <c r="G12" s="547"/>
      <c r="H12" s="537"/>
      <c r="I12" s="537"/>
      <c r="J12" s="148"/>
      <c r="K12" s="481">
        <f>A12</f>
        <v>5</v>
      </c>
      <c r="L12" s="532"/>
      <c r="M12" s="88"/>
      <c r="N12" s="581"/>
      <c r="O12" s="139"/>
      <c r="P12" s="571"/>
      <c r="Q12" s="572"/>
      <c r="R12" s="265"/>
      <c r="S12" s="266"/>
      <c r="T12" s="528">
        <f>P12*M12</f>
        <v>0</v>
      </c>
      <c r="U12" s="529">
        <f>Q12*M12</f>
        <v>0</v>
      </c>
      <c r="V12" s="139"/>
      <c r="W12" s="500">
        <f t="shared" ref="W12:AB13" si="25">C12*C$30/1000</f>
        <v>0</v>
      </c>
      <c r="X12" s="499">
        <f t="shared" si="25"/>
        <v>0</v>
      </c>
      <c r="Y12" s="499">
        <f t="shared" si="25"/>
        <v>0</v>
      </c>
      <c r="Z12" s="501">
        <f t="shared" si="25"/>
        <v>0</v>
      </c>
      <c r="AA12" s="500">
        <f t="shared" si="25"/>
        <v>0</v>
      </c>
      <c r="AB12" s="501">
        <f t="shared" si="25"/>
        <v>0</v>
      </c>
      <c r="AC12" s="143"/>
      <c r="AD12" s="239" t="str">
        <f t="shared" si="2"/>
        <v/>
      </c>
      <c r="AE12" s="74" t="str">
        <f>IF(AD12="","",AD12/$AD$14)</f>
        <v/>
      </c>
      <c r="AF12" s="22" t="str">
        <f t="shared" si="3"/>
        <v/>
      </c>
      <c r="AG12" s="71" t="str">
        <f t="shared" si="4"/>
        <v/>
      </c>
      <c r="AH12" s="118" t="str">
        <f t="shared" si="5"/>
        <v/>
      </c>
      <c r="AI12" s="119" t="str">
        <f t="shared" si="6"/>
        <v/>
      </c>
      <c r="AJ12" s="143"/>
      <c r="AK12" s="500">
        <f>C12*C$31</f>
        <v>0</v>
      </c>
      <c r="AL12" s="499">
        <f t="shared" ref="AL12:AL13" si="26">D12*D$31</f>
        <v>0</v>
      </c>
      <c r="AM12" s="499">
        <f t="shared" ref="AM12:AM13" si="27">E12*E$31</f>
        <v>0</v>
      </c>
      <c r="AN12" s="501">
        <f t="shared" ref="AN12:AN13" si="28">F12*F$31</f>
        <v>0</v>
      </c>
      <c r="AO12" s="500">
        <f t="shared" ref="AO12:AO13" si="29">G12*G$31</f>
        <v>0</v>
      </c>
      <c r="AP12" s="501">
        <f t="shared" ref="AP12:AP13" si="30">H12*H$31</f>
        <v>0</v>
      </c>
      <c r="AQ12" s="639">
        <f>I12</f>
        <v>0</v>
      </c>
      <c r="AR12" s="635"/>
      <c r="AS12" s="20" t="str">
        <f t="shared" si="18"/>
        <v/>
      </c>
      <c r="AT12" s="152" t="str">
        <f t="shared" si="8"/>
        <v/>
      </c>
      <c r="AU12" s="22" t="str">
        <f t="shared" si="9"/>
        <v/>
      </c>
      <c r="AV12" s="21" t="str">
        <f t="shared" si="10"/>
        <v/>
      </c>
      <c r="AW12" s="117" t="str">
        <f t="shared" si="11"/>
        <v/>
      </c>
      <c r="AX12" s="119" t="str">
        <f t="shared" si="12"/>
        <v/>
      </c>
    </row>
    <row r="13" spans="1:50" ht="13.8" thickBot="1">
      <c r="A13" s="621">
        <f>A12+1</f>
        <v>6</v>
      </c>
      <c r="B13" s="534"/>
      <c r="C13" s="535"/>
      <c r="D13" s="536"/>
      <c r="E13" s="536"/>
      <c r="F13" s="549"/>
      <c r="G13" s="547"/>
      <c r="H13" s="537"/>
      <c r="I13" s="537"/>
      <c r="J13" s="148"/>
      <c r="K13" s="482">
        <f>A13</f>
        <v>6</v>
      </c>
      <c r="L13" s="533"/>
      <c r="M13" s="570"/>
      <c r="N13" s="582"/>
      <c r="O13" s="139"/>
      <c r="P13" s="576"/>
      <c r="Q13" s="577"/>
      <c r="R13" s="473"/>
      <c r="S13" s="474"/>
      <c r="T13" s="530">
        <f>P13*M13</f>
        <v>0</v>
      </c>
      <c r="U13" s="531">
        <f>Q13*M13</f>
        <v>0</v>
      </c>
      <c r="V13" s="139"/>
      <c r="W13" s="500">
        <f t="shared" si="25"/>
        <v>0</v>
      </c>
      <c r="X13" s="499">
        <f t="shared" si="25"/>
        <v>0</v>
      </c>
      <c r="Y13" s="499">
        <f t="shared" si="25"/>
        <v>0</v>
      </c>
      <c r="Z13" s="501">
        <f t="shared" si="25"/>
        <v>0</v>
      </c>
      <c r="AA13" s="500">
        <f t="shared" si="25"/>
        <v>0</v>
      </c>
      <c r="AB13" s="501">
        <f t="shared" si="25"/>
        <v>0</v>
      </c>
      <c r="AC13" s="143"/>
      <c r="AD13" s="261" t="str">
        <f t="shared" si="2"/>
        <v/>
      </c>
      <c r="AE13" s="77" t="str">
        <f>IF(AD13="","",AD13/$AD$14)</f>
        <v/>
      </c>
      <c r="AF13" s="23" t="str">
        <f t="shared" si="3"/>
        <v/>
      </c>
      <c r="AG13" s="72" t="str">
        <f t="shared" si="4"/>
        <v/>
      </c>
      <c r="AH13" s="121" t="str">
        <f t="shared" si="5"/>
        <v/>
      </c>
      <c r="AI13" s="122" t="str">
        <f t="shared" si="6"/>
        <v/>
      </c>
      <c r="AJ13" s="143"/>
      <c r="AK13" s="500">
        <f>C13*C$31</f>
        <v>0</v>
      </c>
      <c r="AL13" s="499">
        <f t="shared" si="26"/>
        <v>0</v>
      </c>
      <c r="AM13" s="499">
        <f t="shared" si="27"/>
        <v>0</v>
      </c>
      <c r="AN13" s="501">
        <f t="shared" si="28"/>
        <v>0</v>
      </c>
      <c r="AO13" s="500">
        <f t="shared" si="29"/>
        <v>0</v>
      </c>
      <c r="AP13" s="501">
        <f t="shared" si="30"/>
        <v>0</v>
      </c>
      <c r="AQ13" s="639">
        <f>I13</f>
        <v>0</v>
      </c>
      <c r="AR13" s="635"/>
      <c r="AS13" s="632" t="str">
        <f t="shared" si="18"/>
        <v/>
      </c>
      <c r="AT13" s="464" t="str">
        <f t="shared" si="8"/>
        <v/>
      </c>
      <c r="AU13" s="23" t="str">
        <f t="shared" si="9"/>
        <v/>
      </c>
      <c r="AV13" s="465" t="str">
        <f t="shared" si="10"/>
        <v/>
      </c>
      <c r="AW13" s="120" t="str">
        <f t="shared" si="11"/>
        <v/>
      </c>
      <c r="AX13" s="122" t="str">
        <f t="shared" si="12"/>
        <v/>
      </c>
    </row>
    <row r="14" spans="1:50" ht="13.8" thickBot="1">
      <c r="A14" s="75"/>
      <c r="B14" s="494" t="s">
        <v>264</v>
      </c>
      <c r="C14" s="550"/>
      <c r="D14" s="551"/>
      <c r="E14" s="552"/>
      <c r="F14" s="553"/>
      <c r="G14" s="554"/>
      <c r="H14" s="555"/>
      <c r="I14" s="555"/>
      <c r="J14" s="146"/>
      <c r="K14" s="3"/>
      <c r="R14" s="134" t="str">
        <f>IF(K14="","",IF(#REF!=FALSE,1,#REF!/#REF!))</f>
        <v/>
      </c>
      <c r="S14" s="165" t="str">
        <f>IF(K14="","",IF(#REF!=FALSE,1,#REF!/#REF!))</f>
        <v/>
      </c>
      <c r="V14" s="139"/>
      <c r="W14" s="490"/>
      <c r="X14" s="485"/>
      <c r="Y14" s="485"/>
      <c r="Z14" s="491"/>
      <c r="AA14" s="490"/>
      <c r="AB14" s="491"/>
      <c r="AC14" s="143"/>
      <c r="AD14" s="260">
        <f>SUM(AD5:AD13)</f>
        <v>1</v>
      </c>
      <c r="AE14" s="73">
        <f>SUM(AE5:AE13)</f>
        <v>1</v>
      </c>
      <c r="AI14" s="151">
        <f>SUM(AI6:AI13)</f>
        <v>0</v>
      </c>
      <c r="AJ14" s="262"/>
      <c r="AK14" s="509"/>
      <c r="AL14" s="510"/>
      <c r="AM14" s="511"/>
      <c r="AN14" s="513"/>
      <c r="AO14" s="509"/>
      <c r="AP14" s="513"/>
      <c r="AQ14" s="640"/>
      <c r="AR14" s="635"/>
      <c r="AS14" s="18">
        <f>SUM(AS5:AS13)</f>
        <v>216</v>
      </c>
      <c r="AT14" s="153">
        <f>SUM(AT5:AT13)</f>
        <v>1</v>
      </c>
      <c r="AX14" s="151">
        <f>SUM(AX6:AX13)</f>
        <v>0</v>
      </c>
    </row>
    <row r="15" spans="1:50" ht="13.8" thickBot="1">
      <c r="A15" s="621">
        <f>A13+1</f>
        <v>7</v>
      </c>
      <c r="B15" s="534"/>
      <c r="C15" s="535"/>
      <c r="D15" s="536"/>
      <c r="E15" s="536"/>
      <c r="F15" s="549"/>
      <c r="G15" s="547"/>
      <c r="H15" s="537"/>
      <c r="I15" s="537"/>
      <c r="J15" s="148"/>
      <c r="K15" s="3"/>
      <c r="R15" s="134" t="str">
        <f>IF(K15="","",IF(#REF!=FALSE,1,#REF!/#REF!))</f>
        <v/>
      </c>
      <c r="S15" s="165" t="str">
        <f>IF(K15="","",IF(#REF!=FALSE,1,#REF!/#REF!))</f>
        <v/>
      </c>
      <c r="V15" s="139"/>
      <c r="W15" s="500">
        <f t="shared" ref="W15:AB16" si="31">C15*C$30/1000</f>
        <v>0</v>
      </c>
      <c r="X15" s="499">
        <f t="shared" si="31"/>
        <v>0</v>
      </c>
      <c r="Y15" s="499">
        <f t="shared" si="31"/>
        <v>0</v>
      </c>
      <c r="Z15" s="501">
        <f t="shared" si="31"/>
        <v>0</v>
      </c>
      <c r="AA15" s="500">
        <f t="shared" si="31"/>
        <v>0</v>
      </c>
      <c r="AB15" s="501">
        <f t="shared" si="31"/>
        <v>0</v>
      </c>
      <c r="AC15" s="143"/>
      <c r="AJ15" s="238"/>
      <c r="AK15" s="500">
        <f>C15*C$31</f>
        <v>0</v>
      </c>
      <c r="AL15" s="499">
        <f t="shared" ref="AL15:AL16" si="32">D15*D$31</f>
        <v>0</v>
      </c>
      <c r="AM15" s="499">
        <f t="shared" ref="AM15:AM16" si="33">E15*E$31</f>
        <v>0</v>
      </c>
      <c r="AN15" s="501">
        <f t="shared" ref="AN15:AN16" si="34">F15*F$31</f>
        <v>0</v>
      </c>
      <c r="AO15" s="500">
        <f t="shared" ref="AO15:AO16" si="35">G15*G$31</f>
        <v>0</v>
      </c>
      <c r="AP15" s="501">
        <f t="shared" ref="AP15:AP16" si="36">H15*H$31</f>
        <v>0</v>
      </c>
      <c r="AQ15" s="639"/>
      <c r="AR15" s="635"/>
    </row>
    <row r="16" spans="1:50" ht="13.8" thickBot="1">
      <c r="A16" s="621">
        <f>A15+1</f>
        <v>8</v>
      </c>
      <c r="B16" s="538"/>
      <c r="C16" s="543"/>
      <c r="D16" s="556"/>
      <c r="E16" s="556"/>
      <c r="F16" s="557"/>
      <c r="G16" s="558"/>
      <c r="H16" s="559"/>
      <c r="I16" s="559"/>
      <c r="J16" s="148"/>
      <c r="K16" s="3"/>
      <c r="R16" s="135" t="str">
        <f>IF(K16="","",IF(#REF!=FALSE,1,#REF!/#REF!))</f>
        <v/>
      </c>
      <c r="S16" s="166" t="str">
        <f>IF(K16="","",IF(#REF!=FALSE,1,#REF!/#REF!))</f>
        <v/>
      </c>
      <c r="V16" s="139"/>
      <c r="W16" s="502">
        <f t="shared" si="31"/>
        <v>0</v>
      </c>
      <c r="X16" s="645">
        <f t="shared" si="31"/>
        <v>0</v>
      </c>
      <c r="Y16" s="645">
        <f t="shared" si="31"/>
        <v>0</v>
      </c>
      <c r="Z16" s="646">
        <f t="shared" si="31"/>
        <v>0</v>
      </c>
      <c r="AA16" s="500">
        <f t="shared" si="31"/>
        <v>0</v>
      </c>
      <c r="AB16" s="501">
        <f t="shared" si="31"/>
        <v>0</v>
      </c>
      <c r="AC16" s="111" t="s">
        <v>1</v>
      </c>
      <c r="AJ16" s="238"/>
      <c r="AK16" s="500">
        <f>C16*C$31</f>
        <v>0</v>
      </c>
      <c r="AL16" s="499">
        <f t="shared" si="32"/>
        <v>0</v>
      </c>
      <c r="AM16" s="499">
        <f t="shared" si="33"/>
        <v>0</v>
      </c>
      <c r="AN16" s="501">
        <f t="shared" si="34"/>
        <v>0</v>
      </c>
      <c r="AO16" s="500">
        <f t="shared" si="35"/>
        <v>0</v>
      </c>
      <c r="AP16" s="501">
        <f t="shared" si="36"/>
        <v>0</v>
      </c>
      <c r="AQ16" s="641"/>
      <c r="AR16" s="642" t="s">
        <v>1</v>
      </c>
    </row>
    <row r="17" spans="1:45" ht="13.8" thickBot="1">
      <c r="A17" s="622"/>
      <c r="B17" s="492" t="s">
        <v>1</v>
      </c>
      <c r="C17" s="99">
        <f t="shared" ref="C17:I17" si="37">SUM(C5:C16)</f>
        <v>1000</v>
      </c>
      <c r="D17" s="99">
        <f t="shared" si="37"/>
        <v>0</v>
      </c>
      <c r="E17" s="99">
        <f t="shared" si="37"/>
        <v>0</v>
      </c>
      <c r="F17" s="99">
        <f t="shared" si="37"/>
        <v>0</v>
      </c>
      <c r="G17" s="99">
        <f t="shared" si="37"/>
        <v>0</v>
      </c>
      <c r="H17" s="163">
        <f t="shared" si="37"/>
        <v>0</v>
      </c>
      <c r="I17" s="163">
        <f t="shared" si="37"/>
        <v>0</v>
      </c>
      <c r="J17" s="149"/>
      <c r="K17" s="3"/>
      <c r="T17" s="137">
        <f>SUM(T6:T13)</f>
        <v>1</v>
      </c>
      <c r="U17" s="138">
        <f>SUM(U6:U13)</f>
        <v>216</v>
      </c>
      <c r="V17" s="139"/>
      <c r="W17" s="108">
        <f t="shared" ref="W17:AB17" si="38">SUM(W5:W13)</f>
        <v>1</v>
      </c>
      <c r="X17" s="108">
        <f t="shared" si="38"/>
        <v>0</v>
      </c>
      <c r="Y17" s="111">
        <f t="shared" si="38"/>
        <v>0</v>
      </c>
      <c r="Z17" s="111">
        <f t="shared" si="38"/>
        <v>0</v>
      </c>
      <c r="AA17" s="108">
        <f t="shared" si="38"/>
        <v>0</v>
      </c>
      <c r="AB17" s="112">
        <f t="shared" si="38"/>
        <v>0</v>
      </c>
      <c r="AC17" s="111">
        <f>SUM(W17:AB17)</f>
        <v>1</v>
      </c>
      <c r="AD17" s="51"/>
      <c r="AJ17" s="238"/>
      <c r="AK17" s="108">
        <f t="shared" ref="AK17:AQ17" si="39">SUM(AK5:AK13)</f>
        <v>216</v>
      </c>
      <c r="AL17" s="109">
        <f t="shared" si="39"/>
        <v>0</v>
      </c>
      <c r="AM17" s="110">
        <f t="shared" si="39"/>
        <v>0</v>
      </c>
      <c r="AN17" s="111">
        <f t="shared" si="39"/>
        <v>0</v>
      </c>
      <c r="AO17" s="109">
        <f t="shared" si="39"/>
        <v>0</v>
      </c>
      <c r="AP17" s="109">
        <f t="shared" si="39"/>
        <v>0</v>
      </c>
      <c r="AQ17" s="109">
        <f t="shared" si="39"/>
        <v>0</v>
      </c>
      <c r="AR17" s="111">
        <f>SUM(AK17:AQ17)</f>
        <v>216</v>
      </c>
      <c r="AS17" s="51"/>
    </row>
    <row r="18" spans="1:45" ht="16.5" customHeight="1" thickBot="1">
      <c r="C18" s="141"/>
      <c r="D18" s="141"/>
      <c r="E18" s="141"/>
      <c r="F18" s="141"/>
      <c r="G18" s="164"/>
      <c r="H18" s="164"/>
      <c r="I18" s="164"/>
      <c r="J18" s="3"/>
      <c r="K18" s="3"/>
      <c r="V18" s="139"/>
      <c r="W18" s="108">
        <f>SUM(W5:W16)</f>
        <v>1</v>
      </c>
      <c r="X18" s="108">
        <f>SUM(X5:X16)</f>
        <v>0</v>
      </c>
      <c r="Y18" s="111">
        <f>SUM(Y5:Y16)</f>
        <v>0</v>
      </c>
      <c r="Z18" s="112">
        <f>SUM(Z5:Z16)</f>
        <v>0</v>
      </c>
      <c r="AA18" s="51"/>
      <c r="AB18" s="51"/>
      <c r="AC18" s="111">
        <f>SUM(W18:Z18)</f>
        <v>1</v>
      </c>
      <c r="AD18" s="111">
        <f>H35</f>
        <v>1</v>
      </c>
      <c r="AJ18" s="238"/>
      <c r="AK18" s="108">
        <f>SUM(AK5:AK16)</f>
        <v>216</v>
      </c>
      <c r="AL18" s="110">
        <f>SUM(AL5:AL16)</f>
        <v>0</v>
      </c>
      <c r="AM18" s="112">
        <f>SUM(AM5:AM16)</f>
        <v>0</v>
      </c>
      <c r="AN18" s="112">
        <f>SUM(AN5:AN16)</f>
        <v>0</v>
      </c>
      <c r="AO18" s="51"/>
      <c r="AP18" s="51"/>
      <c r="AQ18" s="112">
        <f>SUM(AQ5:AQ16)</f>
        <v>0</v>
      </c>
      <c r="AR18" s="111">
        <f>SUM(AK18:AQ18)</f>
        <v>216</v>
      </c>
      <c r="AS18" s="111">
        <f>H36</f>
        <v>216</v>
      </c>
    </row>
    <row r="19" spans="1:45">
      <c r="A19" s="580" t="s">
        <v>276</v>
      </c>
      <c r="B19" s="471"/>
      <c r="C19" s="466">
        <v>1000</v>
      </c>
      <c r="D19" s="466"/>
      <c r="E19" s="466"/>
      <c r="F19" s="466"/>
      <c r="G19" s="466"/>
      <c r="H19" s="466"/>
      <c r="I19" s="466"/>
      <c r="J19" s="66"/>
      <c r="K19" s="1"/>
      <c r="N19" s="1"/>
      <c r="P19" s="50"/>
    </row>
    <row r="20" spans="1:45">
      <c r="A20" s="580" t="s">
        <v>295</v>
      </c>
      <c r="B20" s="471"/>
      <c r="C20" s="467"/>
      <c r="D20" s="467"/>
      <c r="E20" s="467"/>
      <c r="F20" s="467"/>
      <c r="G20" s="468">
        <f>IFERROR((SUMPRODUCT($C$15:$F$15,C20:F20)/G$17),0)</f>
        <v>0</v>
      </c>
      <c r="H20" s="468">
        <f>IFERROR((SUMPRODUCT($C$16:$F$16,C20:F20))/H$17,0)</f>
        <v>0</v>
      </c>
      <c r="I20" s="467"/>
      <c r="J20" s="53"/>
      <c r="K20" s="1"/>
      <c r="N20" s="1"/>
      <c r="P20" s="50"/>
    </row>
    <row r="21" spans="1:45">
      <c r="A21" s="617"/>
      <c r="B21" s="596"/>
      <c r="C21" s="619"/>
      <c r="D21" s="619"/>
      <c r="E21" s="619"/>
      <c r="F21" s="619"/>
      <c r="G21" s="618"/>
      <c r="H21" s="618"/>
      <c r="I21" s="618"/>
      <c r="J21" s="53"/>
      <c r="K21" s="1"/>
      <c r="N21" s="1"/>
      <c r="P21" s="50"/>
    </row>
    <row r="22" spans="1:45">
      <c r="A22" s="580" t="s">
        <v>291</v>
      </c>
      <c r="B22" s="471"/>
      <c r="C22" s="466"/>
      <c r="D22" s="466"/>
      <c r="E22" s="466"/>
      <c r="F22" s="466"/>
      <c r="G22" s="466"/>
      <c r="H22" s="466"/>
      <c r="I22" s="629"/>
      <c r="J22" s="51"/>
      <c r="Q22" s="287"/>
    </row>
    <row r="23" spans="1:45">
      <c r="A23" s="580" t="s">
        <v>292</v>
      </c>
      <c r="B23" s="471"/>
      <c r="C23" s="620"/>
      <c r="D23" s="620"/>
      <c r="E23" s="466"/>
      <c r="F23" s="466"/>
      <c r="G23" s="51"/>
      <c r="H23" s="53"/>
      <c r="I23" s="53"/>
      <c r="J23" s="51"/>
      <c r="Q23" s="287"/>
    </row>
    <row r="24" spans="1:45">
      <c r="A24" s="617"/>
      <c r="B24" s="596"/>
      <c r="C24" s="67"/>
      <c r="D24" s="68"/>
      <c r="E24" s="68"/>
      <c r="F24" s="68"/>
      <c r="G24" s="51"/>
      <c r="H24" s="53"/>
      <c r="I24" s="53"/>
      <c r="J24" s="51"/>
      <c r="Q24" s="287"/>
    </row>
    <row r="25" spans="1:45">
      <c r="A25" s="470" t="s">
        <v>296</v>
      </c>
      <c r="B25" s="471"/>
      <c r="C25" s="623">
        <f>C19-C22</f>
        <v>1000</v>
      </c>
      <c r="D25" s="623">
        <f>D19-D22</f>
        <v>0</v>
      </c>
      <c r="E25" s="623">
        <f>E19-E22-E23</f>
        <v>0</v>
      </c>
      <c r="F25" s="623">
        <f t="shared" ref="F25" si="40">F19-F22-F23</f>
        <v>0</v>
      </c>
      <c r="G25" s="51"/>
      <c r="H25" s="53"/>
      <c r="I25" s="623">
        <f t="shared" ref="I25" si="41">I19-I22-I23</f>
        <v>0</v>
      </c>
      <c r="J25" s="51"/>
      <c r="Q25" s="287"/>
    </row>
    <row r="26" spans="1:45">
      <c r="A26" s="617"/>
      <c r="B26" s="596"/>
      <c r="C26" s="67"/>
      <c r="D26" s="68"/>
      <c r="E26" s="68"/>
      <c r="F26" s="68"/>
      <c r="G26" s="51"/>
      <c r="H26" s="53"/>
      <c r="I26" s="53"/>
      <c r="J26" s="51"/>
      <c r="Q26" s="287"/>
    </row>
    <row r="27" spans="1:45">
      <c r="A27" s="580" t="s">
        <v>8</v>
      </c>
      <c r="B27" s="471"/>
      <c r="C27" s="469">
        <f>C17-C25</f>
        <v>0</v>
      </c>
      <c r="D27" s="469">
        <f>D25-D17</f>
        <v>0</v>
      </c>
      <c r="E27" s="469">
        <f>E25-E17</f>
        <v>0</v>
      </c>
      <c r="F27" s="469">
        <f>F25-F17</f>
        <v>0</v>
      </c>
      <c r="G27" s="52"/>
      <c r="H27" s="53"/>
      <c r="I27" s="53"/>
      <c r="J27" s="50"/>
      <c r="K27" s="1"/>
    </row>
    <row r="28" spans="1:45">
      <c r="A28" s="580" t="s">
        <v>9</v>
      </c>
      <c r="B28" s="471"/>
      <c r="C28" s="624">
        <f>IFERROR(0,(C27/C25))</f>
        <v>0</v>
      </c>
      <c r="D28" s="624">
        <f>IFERROR(0,(D27/D25))</f>
        <v>0</v>
      </c>
      <c r="E28" s="624">
        <f>IFERROR(0,(E27/E25))</f>
        <v>0</v>
      </c>
      <c r="F28" s="624">
        <f>IFERROR(0,(F27/F25))</f>
        <v>0</v>
      </c>
      <c r="G28" s="53"/>
      <c r="H28" s="53"/>
      <c r="I28" s="53"/>
      <c r="J28" s="51"/>
      <c r="L28" s="1"/>
      <c r="M28" s="1"/>
    </row>
    <row r="29" spans="1:45">
      <c r="A29" s="596"/>
      <c r="B29" s="596"/>
      <c r="C29" s="107"/>
      <c r="D29" s="107"/>
      <c r="E29" s="107"/>
      <c r="F29" s="107"/>
      <c r="G29" s="53"/>
      <c r="H29" s="53"/>
      <c r="I29" s="53"/>
      <c r="J29" s="51"/>
      <c r="L29" s="1"/>
      <c r="M29" s="1"/>
    </row>
    <row r="30" spans="1:45">
      <c r="A30" s="580" t="s">
        <v>281</v>
      </c>
      <c r="B30" s="202"/>
      <c r="C30" s="587">
        <f>Paramètres!C10</f>
        <v>1</v>
      </c>
      <c r="D30" s="587">
        <f>Paramètres!D10</f>
        <v>1</v>
      </c>
      <c r="E30" s="587">
        <f>Paramètres!E10</f>
        <v>10.6</v>
      </c>
      <c r="F30" s="587">
        <f>Paramètres!F10</f>
        <v>4413.5802469135797</v>
      </c>
      <c r="G30" s="588">
        <f>IFERROR(SUMPRODUCT($C$15:$F$15,C30:F30)/G$17,0)</f>
        <v>0</v>
      </c>
      <c r="H30" s="588">
        <f>IFERROR(SUMPRODUCT($C$16:$F$16,C30:F30)/H$17,0)</f>
        <v>0</v>
      </c>
      <c r="I30" s="625"/>
      <c r="J30" s="53"/>
      <c r="L30" s="1"/>
    </row>
    <row r="31" spans="1:45">
      <c r="A31" s="580" t="s">
        <v>282</v>
      </c>
      <c r="B31" s="202"/>
      <c r="C31" s="472">
        <f>Paramètres!C12</f>
        <v>0.216</v>
      </c>
      <c r="D31" s="472">
        <f>Paramètres!D12</f>
        <v>0.218</v>
      </c>
      <c r="E31" s="472">
        <f>Paramètres!E12</f>
        <v>3.2568999999999999</v>
      </c>
      <c r="F31" s="472">
        <f>Paramètres!F12</f>
        <v>0</v>
      </c>
      <c r="G31" s="586">
        <f>IFERROR(SUMPRODUCT($C$15:$F$15,C31:F31)/G$17,0)</f>
        <v>0</v>
      </c>
      <c r="H31" s="586">
        <f>IFERROR(SUMPRODUCT($C$16:$F$16,C31:F31)/H$17,0)</f>
        <v>0</v>
      </c>
      <c r="I31" s="626"/>
      <c r="J31" s="53"/>
      <c r="L31" s="1"/>
    </row>
    <row r="32" spans="1:45" ht="13.8" thickBot="1">
      <c r="A32" s="597"/>
      <c r="B32" s="597"/>
      <c r="J32" s="139"/>
    </row>
    <row r="33" spans="1:36" ht="26.4">
      <c r="A33" s="560">
        <f>B2</f>
        <v>2023</v>
      </c>
      <c r="B33" s="561"/>
      <c r="C33" s="602" t="str">
        <f>C3</f>
        <v>Electricité 
achetée</v>
      </c>
      <c r="D33" s="603" t="str">
        <f>D3</f>
        <v>Gaz Naturel</v>
      </c>
      <c r="E33" s="603" t="str">
        <f>E3</f>
        <v>Fuel léger</v>
      </c>
      <c r="F33" s="604" t="str">
        <f>F3</f>
        <v>Cabosse</v>
      </c>
      <c r="G33" s="604" t="s">
        <v>294</v>
      </c>
      <c r="H33" s="683" t="s">
        <v>1</v>
      </c>
      <c r="I33" s="683"/>
      <c r="K33" s="55"/>
      <c r="W33" s="55"/>
      <c r="X33" s="55"/>
      <c r="Y33" s="55"/>
      <c r="Z33" s="55"/>
      <c r="AA33" s="55"/>
      <c r="AB33" s="55"/>
      <c r="AC33" s="55"/>
      <c r="AJ33" s="55"/>
    </row>
    <row r="34" spans="1:36" ht="13.8" thickBot="1">
      <c r="A34" s="562"/>
      <c r="B34" s="563"/>
      <c r="C34" s="605"/>
      <c r="D34" s="606"/>
      <c r="E34" s="606"/>
      <c r="F34" s="607"/>
      <c r="G34" s="607"/>
      <c r="H34" s="275"/>
      <c r="I34" s="276"/>
      <c r="K34" s="55"/>
      <c r="P34"/>
      <c r="W34" s="55"/>
      <c r="X34" s="55"/>
      <c r="Y34" s="55"/>
      <c r="Z34" s="55"/>
      <c r="AA34" s="55"/>
      <c r="AB34" s="55"/>
      <c r="AC34" s="55"/>
      <c r="AJ34" s="55"/>
    </row>
    <row r="35" spans="1:36">
      <c r="A35" s="564" t="s">
        <v>52</v>
      </c>
      <c r="B35" s="565"/>
      <c r="C35" s="608">
        <f>C25*C30/1000</f>
        <v>1</v>
      </c>
      <c r="D35" s="609">
        <f>D25*D30/1000</f>
        <v>0</v>
      </c>
      <c r="E35" s="609">
        <f>E25*E30/1000</f>
        <v>0</v>
      </c>
      <c r="F35" s="610">
        <f>F25*F30/1000</f>
        <v>0</v>
      </c>
      <c r="G35" s="630"/>
      <c r="H35" s="277">
        <f>SUM(C35:F35)</f>
        <v>1</v>
      </c>
      <c r="I35" s="278" t="s">
        <v>280</v>
      </c>
      <c r="W35" s="55"/>
      <c r="X35" s="55"/>
      <c r="Y35" s="55"/>
      <c r="Z35" s="55"/>
      <c r="AA35" s="55"/>
      <c r="AB35" s="55"/>
      <c r="AC35" s="55"/>
      <c r="AJ35" s="55"/>
    </row>
    <row r="36" spans="1:36">
      <c r="A36" s="566" t="s">
        <v>13</v>
      </c>
      <c r="B36" s="567"/>
      <c r="C36" s="608">
        <f>C31*C25</f>
        <v>216</v>
      </c>
      <c r="D36" s="609">
        <f>D31*D25</f>
        <v>0</v>
      </c>
      <c r="E36" s="609">
        <f>E31*E25</f>
        <v>0</v>
      </c>
      <c r="F36" s="610">
        <f>F31*F25</f>
        <v>0</v>
      </c>
      <c r="G36" s="610">
        <f>I19</f>
        <v>0</v>
      </c>
      <c r="H36" s="277">
        <f>SUM(C36:G36)</f>
        <v>216</v>
      </c>
      <c r="I36" s="278" t="s">
        <v>16</v>
      </c>
      <c r="W36" s="55"/>
      <c r="X36" s="55"/>
      <c r="Y36" s="55"/>
      <c r="Z36" s="55"/>
      <c r="AA36" s="55"/>
      <c r="AB36" s="55"/>
      <c r="AC36" s="55"/>
      <c r="AJ36" s="55"/>
    </row>
    <row r="37" spans="1:36">
      <c r="A37" s="564" t="s">
        <v>54</v>
      </c>
      <c r="B37" s="565"/>
      <c r="C37" s="611">
        <f>IFERROR(C36/C35,0)</f>
        <v>216</v>
      </c>
      <c r="D37" s="612">
        <f t="shared" ref="D37:F37" si="42">IFERROR(D36/D35,0)</f>
        <v>0</v>
      </c>
      <c r="E37" s="612">
        <f t="shared" si="42"/>
        <v>0</v>
      </c>
      <c r="F37" s="613">
        <f t="shared" si="42"/>
        <v>0</v>
      </c>
      <c r="G37" s="631"/>
      <c r="H37" s="277">
        <f>H36/H35</f>
        <v>216</v>
      </c>
      <c r="I37" s="278" t="s">
        <v>279</v>
      </c>
      <c r="W37" s="55"/>
      <c r="X37" s="55"/>
      <c r="Y37" s="55"/>
      <c r="Z37" s="55"/>
      <c r="AA37" s="55"/>
      <c r="AB37" s="55"/>
      <c r="AC37" s="55"/>
      <c r="AJ37" s="55"/>
    </row>
    <row r="38" spans="1:36" ht="13.8" thickBot="1">
      <c r="A38" s="568" t="s">
        <v>19</v>
      </c>
      <c r="B38" s="569"/>
      <c r="C38" s="614">
        <f>C20*C25</f>
        <v>0</v>
      </c>
      <c r="D38" s="615">
        <f>D20*D25</f>
        <v>0</v>
      </c>
      <c r="E38" s="615">
        <f>E20*E25</f>
        <v>0</v>
      </c>
      <c r="F38" s="616">
        <f>F20*F25</f>
        <v>0</v>
      </c>
      <c r="G38" s="616">
        <f>I20*I25</f>
        <v>0</v>
      </c>
      <c r="H38" s="279">
        <f>SUM(C38:G38)</f>
        <v>0</v>
      </c>
      <c r="I38" s="280" t="s">
        <v>20</v>
      </c>
    </row>
    <row r="39" spans="1:36">
      <c r="A39" s="92"/>
      <c r="B39" s="92"/>
      <c r="C39" s="89"/>
      <c r="D39" s="89"/>
      <c r="E39" s="89"/>
      <c r="F39" s="257"/>
      <c r="G39" s="93"/>
      <c r="H39" s="94"/>
      <c r="I39" s="94"/>
      <c r="J39" s="94"/>
      <c r="W39" s="55"/>
      <c r="X39" s="55"/>
      <c r="Y39" s="55"/>
      <c r="Z39" s="55"/>
      <c r="AA39" s="55"/>
      <c r="AB39" s="55"/>
      <c r="AC39" s="55"/>
      <c r="AJ39" s="55"/>
    </row>
    <row r="40" spans="1:36" ht="13.8" thickBot="1">
      <c r="A40" s="92"/>
      <c r="B40" s="92"/>
      <c r="C40" s="89"/>
      <c r="D40" s="89"/>
      <c r="E40" s="89"/>
      <c r="F40" s="257"/>
      <c r="G40" s="93"/>
      <c r="H40" s="94"/>
      <c r="I40" s="94"/>
      <c r="J40" s="94"/>
      <c r="K40" s="90"/>
      <c r="W40" s="55"/>
      <c r="X40" s="55"/>
      <c r="Y40" s="55"/>
      <c r="Z40" s="55"/>
      <c r="AA40" s="55"/>
      <c r="AB40" s="55"/>
      <c r="AC40" s="55"/>
      <c r="AJ40" s="55"/>
    </row>
    <row r="41" spans="1:36" ht="15" thickBot="1">
      <c r="A41" s="579" t="s">
        <v>271</v>
      </c>
      <c r="B41" s="578"/>
      <c r="C41" s="527"/>
      <c r="D41" s="55"/>
      <c r="E41" s="105"/>
      <c r="F41" s="257"/>
      <c r="G41" s="95"/>
      <c r="H41" s="94"/>
      <c r="I41" s="94"/>
      <c r="J41" s="96"/>
      <c r="W41" s="55"/>
      <c r="X41" s="55"/>
      <c r="Y41" s="55"/>
      <c r="Z41" s="55"/>
      <c r="AA41" s="55"/>
      <c r="AB41" s="55"/>
      <c r="AC41" s="55"/>
      <c r="AJ41" s="55"/>
    </row>
    <row r="42" spans="1:36" ht="14.4">
      <c r="A42" s="527"/>
      <c r="B42" s="527"/>
      <c r="C42" s="527"/>
      <c r="D42" s="55"/>
      <c r="E42" s="105"/>
      <c r="F42" s="257"/>
      <c r="G42" s="55"/>
      <c r="H42" s="94"/>
      <c r="I42" s="94"/>
      <c r="J42" s="55"/>
      <c r="K42" s="90"/>
      <c r="L42" s="167"/>
      <c r="W42" s="55"/>
      <c r="X42" s="55"/>
      <c r="Y42" s="55"/>
      <c r="Z42" s="55"/>
      <c r="AA42" s="55"/>
      <c r="AB42" s="55"/>
      <c r="AC42" s="55"/>
      <c r="AJ42" s="55"/>
    </row>
    <row r="43" spans="1:36" ht="14.4">
      <c r="A43" s="589" t="s">
        <v>272</v>
      </c>
      <c r="B43" s="590">
        <f>H35/T17</f>
        <v>1</v>
      </c>
      <c r="C43" s="591"/>
      <c r="D43" s="97"/>
      <c r="E43" s="97"/>
      <c r="F43" s="97"/>
      <c r="G43" s="91"/>
      <c r="H43" s="91"/>
      <c r="I43" s="91"/>
      <c r="J43" s="91"/>
      <c r="W43" s="55"/>
      <c r="X43" s="55"/>
      <c r="Y43" s="55"/>
      <c r="Z43" s="55"/>
      <c r="AA43" s="55"/>
      <c r="AB43" s="55"/>
      <c r="AC43" s="55"/>
      <c r="AJ43" s="55"/>
    </row>
    <row r="44" spans="1:36" ht="14.4">
      <c r="A44" s="592" t="s">
        <v>278</v>
      </c>
      <c r="B44" s="593">
        <f>H36/H35</f>
        <v>216</v>
      </c>
      <c r="C44" s="594" t="s">
        <v>279</v>
      </c>
      <c r="D44" s="89"/>
      <c r="E44" s="89"/>
      <c r="F44" s="89"/>
      <c r="G44" s="93"/>
      <c r="H44" s="94"/>
      <c r="I44" s="94"/>
      <c r="J44" s="94"/>
      <c r="W44" s="55"/>
      <c r="X44" s="55"/>
      <c r="Y44" s="55"/>
      <c r="Z44" s="55"/>
      <c r="AA44" s="55"/>
      <c r="AB44" s="55"/>
      <c r="AC44" s="55"/>
      <c r="AJ44" s="55"/>
    </row>
    <row r="45" spans="1:36" ht="14.4">
      <c r="A45" s="592" t="s">
        <v>283</v>
      </c>
      <c r="B45" s="590">
        <f>F35/H35</f>
        <v>0</v>
      </c>
      <c r="C45" s="595"/>
      <c r="D45" s="89"/>
      <c r="E45" s="89"/>
      <c r="F45" s="89"/>
      <c r="G45" s="93"/>
      <c r="H45" s="94"/>
      <c r="I45" s="94"/>
      <c r="J45" s="94"/>
      <c r="W45" s="55"/>
      <c r="X45" s="55"/>
      <c r="Y45" s="55"/>
      <c r="Z45" s="55"/>
      <c r="AA45" s="55"/>
      <c r="AB45" s="55"/>
      <c r="AC45" s="55"/>
      <c r="AJ45" s="55"/>
    </row>
    <row r="46" spans="1:36" ht="13.8" thickBot="1"/>
    <row r="47" spans="1:36" s="55" customFormat="1" ht="14.4" thickBot="1">
      <c r="A47" s="579" t="s">
        <v>273</v>
      </c>
      <c r="E47" s="105"/>
      <c r="F47" s="105"/>
      <c r="P47" s="105"/>
      <c r="Q47" s="105"/>
      <c r="T47" s="105"/>
      <c r="U47" s="105"/>
      <c r="W47"/>
      <c r="X47"/>
      <c r="Y47"/>
      <c r="Z47"/>
      <c r="AA47"/>
      <c r="AB47"/>
      <c r="AC47"/>
      <c r="AJ47"/>
    </row>
    <row r="48" spans="1:36" s="55" customFormat="1">
      <c r="E48" s="105"/>
      <c r="F48" s="105"/>
      <c r="P48" s="105"/>
      <c r="Q48" s="105"/>
      <c r="T48" s="105"/>
      <c r="U48" s="105"/>
      <c r="W48"/>
      <c r="X48"/>
      <c r="Y48"/>
      <c r="Z48"/>
      <c r="AA48"/>
      <c r="AB48"/>
      <c r="AC48"/>
      <c r="AJ48"/>
    </row>
    <row r="49" spans="1:36" s="55" customFormat="1" ht="14.4">
      <c r="A49" s="589" t="s">
        <v>289</v>
      </c>
      <c r="B49" s="590">
        <f>1-B43</f>
        <v>0</v>
      </c>
      <c r="E49" s="105"/>
      <c r="F49" s="105"/>
      <c r="P49" s="105"/>
      <c r="Q49" s="105"/>
      <c r="T49" s="105"/>
      <c r="U49" s="105"/>
      <c r="W49"/>
      <c r="X49"/>
      <c r="Y49"/>
      <c r="Z49"/>
      <c r="AA49"/>
      <c r="AB49"/>
      <c r="AC49"/>
      <c r="AJ49"/>
    </row>
    <row r="50" spans="1:36" s="55" customFormat="1" ht="14.4">
      <c r="A50" s="589" t="s">
        <v>51</v>
      </c>
      <c r="B50" s="590">
        <f>H36/U17</f>
        <v>1</v>
      </c>
      <c r="E50" s="105"/>
      <c r="F50" s="105"/>
      <c r="P50" s="105"/>
      <c r="Q50" s="105"/>
      <c r="T50" s="105"/>
      <c r="U50" s="105"/>
      <c r="W50"/>
      <c r="X50"/>
      <c r="Y50"/>
      <c r="Z50"/>
      <c r="AA50"/>
      <c r="AB50"/>
      <c r="AC50"/>
      <c r="AJ50"/>
    </row>
    <row r="51" spans="1:36" ht="14.4">
      <c r="A51" s="589" t="s">
        <v>290</v>
      </c>
      <c r="B51" s="590">
        <f>1-B50</f>
        <v>0</v>
      </c>
    </row>
  </sheetData>
  <mergeCells count="19">
    <mergeCell ref="AW2:AX2"/>
    <mergeCell ref="AD2:AG2"/>
    <mergeCell ref="AH2:AI2"/>
    <mergeCell ref="AO2:AP2"/>
    <mergeCell ref="AS2:AV2"/>
    <mergeCell ref="C2:F2"/>
    <mergeCell ref="H33:I33"/>
    <mergeCell ref="AF3:AG3"/>
    <mergeCell ref="AU3:AV3"/>
    <mergeCell ref="AF4:AG4"/>
    <mergeCell ref="AU4:AV4"/>
    <mergeCell ref="G2:H2"/>
    <mergeCell ref="K2:N2"/>
    <mergeCell ref="P2:Q2"/>
    <mergeCell ref="R2:S2"/>
    <mergeCell ref="AA2:AB2"/>
    <mergeCell ref="T2:U2"/>
    <mergeCell ref="W2:Z2"/>
    <mergeCell ref="AK2:AN2"/>
  </mergeCells>
  <phoneticPr fontId="39" type="noConversion"/>
  <conditionalFormatting sqref="AH7">
    <cfRule type="colorScale" priority="14">
      <colorScale>
        <cfvo type="min"/>
        <cfvo type="max"/>
        <color rgb="FFFFEF9C"/>
        <color rgb="FF63BE7B"/>
      </colorScale>
    </cfRule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7">
    <cfRule type="colorScale" priority="19">
      <colorScale>
        <cfvo type="min"/>
        <cfvo type="max"/>
        <color rgb="FFFFEF9C"/>
        <color rgb="FF63BE7B"/>
      </colorScale>
    </cfRule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7">
    <cfRule type="colorScale" priority="18">
      <colorScale>
        <cfvo type="min"/>
        <cfvo type="max"/>
        <color rgb="FFFFEF9C"/>
        <color rgb="FF63BE7B"/>
      </colorScale>
    </cfRule>
  </conditionalFormatting>
  <conditionalFormatting sqref="AD6:AD13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6:AE13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  <cfRule type="cellIs" dxfId="31" priority="98" operator="greaterThan">
      <formula>0.04</formula>
    </cfRule>
  </conditionalFormatting>
  <conditionalFormatting sqref="AH8:AH13 AH6">
    <cfRule type="colorScale" priority="101">
      <colorScale>
        <cfvo type="min"/>
        <cfvo type="max"/>
        <color rgb="FFFFEF9C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8:AI13 AI6">
    <cfRule type="colorScale" priority="105">
      <colorScale>
        <cfvo type="min"/>
        <cfvo type="max"/>
        <color rgb="FFFFEF9C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S6:AS13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T5:AT13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X8:AX13 AX6">
    <cfRule type="colorScale" priority="113">
      <colorScale>
        <cfvo type="min"/>
        <cfvo type="max"/>
        <color rgb="FFFFEF9C"/>
        <color rgb="FF63BE7B"/>
      </colorScale>
    </cfRule>
  </conditionalFormatting>
  <pageMargins left="0.74803149606299213" right="0.74803149606299213" top="0.98425196850393704" bottom="0.98425196850393704" header="0.51181102362204722" footer="0.51181102362204722"/>
  <pageSetup paperSize="9" scale="45" fitToHeight="2" orientation="landscape" horizontalDpi="1200" verticalDpi="1200" r:id="rId1"/>
  <headerFooter alignWithMargins="0">
    <oddHeader>&amp;LPIROTECH sprl&amp;Rjbv@pirotech.be</oddHeader>
    <oddFooter>&amp;L&amp;F&amp;R&amp;A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1556C-A474-44FC-9452-811F10F5EC0A}">
  <dimension ref="A1:X28"/>
  <sheetViews>
    <sheetView zoomScale="85" zoomScaleNormal="85" zoomScaleSheetLayoutView="70" workbookViewId="0">
      <pane xSplit="2" ySplit="4" topLeftCell="C5" activePane="bottomRight" state="frozen"/>
      <selection activeCell="A3" sqref="A3:G20"/>
      <selection pane="topRight" activeCell="A3" sqref="A3:G20"/>
      <selection pane="bottomLeft" activeCell="A3" sqref="A3:G20"/>
      <selection pane="bottomRight" activeCell="Q17" sqref="Q17"/>
    </sheetView>
  </sheetViews>
  <sheetFormatPr baseColWidth="10" defaultRowHeight="13.2"/>
  <cols>
    <col min="1" max="1" width="7.88671875" hidden="1" customWidth="1"/>
    <col min="2" max="2" width="11.6640625" style="172" bestFit="1" customWidth="1"/>
    <col min="3" max="3" width="30.88671875" bestFit="1" customWidth="1"/>
    <col min="4" max="4" width="8.88671875" bestFit="1" customWidth="1"/>
    <col min="5" max="5" width="8" bestFit="1" customWidth="1"/>
    <col min="6" max="6" width="10.5546875" style="51" bestFit="1" customWidth="1"/>
    <col min="7" max="7" width="10.33203125" style="51" bestFit="1" customWidth="1"/>
    <col min="8" max="8" width="8" bestFit="1" customWidth="1"/>
    <col min="9" max="9" width="6.6640625" bestFit="1" customWidth="1"/>
    <col min="10" max="10" width="7.88671875" style="51" bestFit="1" customWidth="1"/>
    <col min="11" max="11" width="10" style="51" bestFit="1" customWidth="1"/>
    <col min="12" max="12" width="9.6640625" bestFit="1" customWidth="1"/>
    <col min="13" max="13" width="11.109375" bestFit="1" customWidth="1"/>
    <col min="14" max="14" width="9.5546875" bestFit="1" customWidth="1"/>
    <col min="15" max="15" width="10.88671875" bestFit="1" customWidth="1"/>
    <col min="16" max="16" width="16.6640625" bestFit="1" customWidth="1"/>
    <col min="17" max="17" width="26.33203125" bestFit="1" customWidth="1"/>
    <col min="18" max="18" width="8.44140625" customWidth="1"/>
    <col min="19" max="19" width="8.44140625" bestFit="1" customWidth="1"/>
    <col min="20" max="20" width="8.5546875" customWidth="1"/>
    <col min="21" max="21" width="23.109375" bestFit="1" customWidth="1"/>
    <col min="22" max="22" width="10.88671875" bestFit="1" customWidth="1"/>
    <col min="23" max="23" width="6" style="51" bestFit="1" customWidth="1"/>
    <col min="24" max="24" width="5.5546875" style="51" bestFit="1" customWidth="1"/>
    <col min="25" max="25" width="12.109375" bestFit="1" customWidth="1"/>
  </cols>
  <sheetData>
    <row r="1" spans="1:24" ht="78.75" customHeight="1">
      <c r="A1" s="200" t="s">
        <v>94</v>
      </c>
      <c r="B1" s="704" t="s">
        <v>93</v>
      </c>
      <c r="C1" s="198" t="s">
        <v>92</v>
      </c>
      <c r="D1" s="706" t="s">
        <v>77</v>
      </c>
      <c r="E1" s="707"/>
      <c r="F1" s="710"/>
      <c r="G1" s="199"/>
      <c r="H1" s="708" t="s">
        <v>91</v>
      </c>
      <c r="I1" s="709"/>
      <c r="J1" s="198" t="s">
        <v>134</v>
      </c>
      <c r="K1" s="198" t="s">
        <v>73</v>
      </c>
      <c r="L1" s="706" t="s">
        <v>90</v>
      </c>
      <c r="M1" s="707"/>
      <c r="N1" s="707"/>
      <c r="O1" s="198" t="s">
        <v>89</v>
      </c>
      <c r="P1" s="198" t="s">
        <v>88</v>
      </c>
      <c r="Q1" s="198" t="s">
        <v>87</v>
      </c>
      <c r="R1" s="198" t="s">
        <v>150</v>
      </c>
      <c r="S1" s="198" t="s">
        <v>151</v>
      </c>
    </row>
    <row r="2" spans="1:24">
      <c r="A2" s="197"/>
      <c r="B2" s="705"/>
      <c r="C2" s="196"/>
      <c r="D2" s="195"/>
      <c r="E2" s="194" t="s">
        <v>153</v>
      </c>
      <c r="F2" s="194" t="s">
        <v>154</v>
      </c>
      <c r="G2" s="194"/>
      <c r="H2" s="195"/>
      <c r="I2" s="194"/>
      <c r="J2" s="193"/>
      <c r="K2" s="193"/>
      <c r="L2" s="193"/>
      <c r="M2" s="193"/>
      <c r="N2" s="193"/>
      <c r="O2" s="193"/>
      <c r="P2" s="193" t="s">
        <v>86</v>
      </c>
      <c r="Q2" s="193"/>
      <c r="R2" s="193"/>
      <c r="S2" s="193"/>
    </row>
    <row r="3" spans="1:24" ht="16.2" thickBot="1">
      <c r="A3" s="192"/>
      <c r="B3" s="191"/>
      <c r="C3" s="190"/>
      <c r="D3" s="189" t="s">
        <v>85</v>
      </c>
      <c r="E3" s="189" t="s">
        <v>84</v>
      </c>
      <c r="F3" s="189" t="s">
        <v>37</v>
      </c>
      <c r="G3" s="189" t="s">
        <v>81</v>
      </c>
      <c r="H3" s="189" t="s">
        <v>83</v>
      </c>
      <c r="I3" s="189" t="s">
        <v>82</v>
      </c>
      <c r="J3" s="189" t="s">
        <v>131</v>
      </c>
      <c r="K3" s="189" t="s">
        <v>80</v>
      </c>
      <c r="L3" s="189"/>
      <c r="M3" s="189"/>
      <c r="N3" s="189"/>
      <c r="O3" s="189"/>
      <c r="P3" s="189" t="s">
        <v>79</v>
      </c>
      <c r="Q3" s="189"/>
      <c r="R3" s="189"/>
      <c r="S3" s="189"/>
    </row>
    <row r="4" spans="1:24" s="168" customFormat="1" hidden="1">
      <c r="A4" s="188">
        <v>1</v>
      </c>
      <c r="B4" s="187" t="s">
        <v>78</v>
      </c>
      <c r="C4" s="186">
        <v>3</v>
      </c>
      <c r="D4" s="186" t="s">
        <v>77</v>
      </c>
      <c r="E4" s="186" t="s">
        <v>76</v>
      </c>
      <c r="F4" s="186" t="s">
        <v>69</v>
      </c>
      <c r="G4" s="186" t="s">
        <v>75</v>
      </c>
      <c r="H4" s="186">
        <v>4</v>
      </c>
      <c r="I4" s="186">
        <v>5</v>
      </c>
      <c r="J4" s="186" t="s">
        <v>74</v>
      </c>
      <c r="K4" s="186" t="s">
        <v>73</v>
      </c>
      <c r="L4" s="185">
        <v>11</v>
      </c>
      <c r="M4" s="185">
        <v>13</v>
      </c>
      <c r="N4" s="185">
        <v>15</v>
      </c>
      <c r="O4" s="185">
        <v>26</v>
      </c>
      <c r="P4" s="185">
        <v>27</v>
      </c>
      <c r="Q4" s="184">
        <v>28</v>
      </c>
      <c r="R4" s="174"/>
      <c r="S4" s="174"/>
      <c r="T4" s="174"/>
      <c r="U4" s="174"/>
      <c r="W4" s="150"/>
      <c r="X4" s="150"/>
    </row>
    <row r="5" spans="1:24" ht="13.8" thickBot="1">
      <c r="A5" s="179">
        <v>7</v>
      </c>
      <c r="B5" s="183">
        <f>'AA1'!$E$5</f>
        <v>0</v>
      </c>
      <c r="C5" s="177">
        <f>'AA1'!$A$9</f>
        <v>0</v>
      </c>
      <c r="D5" s="182">
        <f>'AA1'!$F$48</f>
        <v>0</v>
      </c>
      <c r="E5" s="176">
        <f>'AA1'!M14</f>
        <v>0</v>
      </c>
      <c r="F5" s="457" t="str">
        <f>'AA1'!M13</f>
        <v>PROJET NON RENTABLE</v>
      </c>
      <c r="G5" s="181" t="str">
        <f>'AA1'!E23</f>
        <v>A</v>
      </c>
      <c r="H5" s="182">
        <f>'AA1'!$E$19</f>
        <v>0</v>
      </c>
      <c r="I5" s="182">
        <f>'AA1'!$F$54</f>
        <v>0</v>
      </c>
      <c r="J5" s="180">
        <f>'AA1'!$F$62</f>
        <v>0</v>
      </c>
      <c r="K5" s="180">
        <f>'AA1'!$F$70</f>
        <v>0</v>
      </c>
      <c r="L5" s="180"/>
      <c r="M5" s="180"/>
      <c r="N5" s="180"/>
      <c r="O5" s="180"/>
      <c r="P5" s="180"/>
      <c r="Q5" s="180"/>
      <c r="R5" s="175">
        <f>J5/$D$11</f>
        <v>0</v>
      </c>
      <c r="S5" s="175">
        <f>K5/$F$11</f>
        <v>0</v>
      </c>
      <c r="T5" s="174"/>
      <c r="U5" s="174"/>
    </row>
    <row r="6" spans="1:24">
      <c r="A6" s="179">
        <v>3</v>
      </c>
      <c r="B6" s="649"/>
      <c r="C6" s="650"/>
      <c r="D6" s="651"/>
      <c r="E6" s="652"/>
      <c r="F6" s="653"/>
      <c r="G6" s="653"/>
      <c r="H6" s="651"/>
      <c r="I6" s="651"/>
      <c r="J6" s="654"/>
      <c r="K6" s="654"/>
      <c r="L6" s="654"/>
      <c r="M6" s="654"/>
      <c r="N6" s="654"/>
      <c r="O6" s="654"/>
      <c r="P6" s="653"/>
      <c r="Q6" s="650"/>
      <c r="R6" s="655"/>
      <c r="S6" s="656"/>
      <c r="T6" s="174"/>
      <c r="U6" s="174"/>
    </row>
    <row r="7" spans="1:24">
      <c r="A7" s="179">
        <v>11</v>
      </c>
      <c r="B7" s="173"/>
      <c r="T7" s="174"/>
      <c r="U7" s="174"/>
    </row>
    <row r="8" spans="1:24" ht="15.6">
      <c r="A8" s="179">
        <v>9</v>
      </c>
      <c r="B8" s="173"/>
      <c r="T8" s="174"/>
      <c r="U8" s="171" t="s">
        <v>70</v>
      </c>
      <c r="V8" s="226" t="s">
        <v>75</v>
      </c>
      <c r="W8" s="170" t="s">
        <v>268</v>
      </c>
      <c r="X8"/>
    </row>
    <row r="9" spans="1:24" ht="16.2">
      <c r="A9" s="179">
        <v>8</v>
      </c>
      <c r="B9" s="173"/>
      <c r="C9" s="250"/>
      <c r="D9" s="251" t="s">
        <v>135</v>
      </c>
      <c r="E9" s="251" t="s">
        <v>136</v>
      </c>
      <c r="F9" s="251" t="s">
        <v>71</v>
      </c>
      <c r="G9" s="209" t="s">
        <v>137</v>
      </c>
      <c r="T9" s="174"/>
      <c r="U9" s="169" t="s">
        <v>68</v>
      </c>
      <c r="V9" s="226" t="s">
        <v>298</v>
      </c>
      <c r="W9" s="657">
        <v>1</v>
      </c>
      <c r="X9"/>
    </row>
    <row r="10" spans="1:24" ht="15.6">
      <c r="A10" s="179">
        <v>1</v>
      </c>
      <c r="B10" s="173"/>
      <c r="C10" s="252" t="s">
        <v>297</v>
      </c>
      <c r="D10" s="253">
        <f>'2023'!H35</f>
        <v>1</v>
      </c>
      <c r="E10" s="254"/>
      <c r="F10" s="253">
        <f>'2023'!H36</f>
        <v>216</v>
      </c>
      <c r="G10" s="248"/>
      <c r="T10" s="174"/>
      <c r="U10" s="228" t="s">
        <v>67</v>
      </c>
      <c r="V10" s="226" t="s">
        <v>298</v>
      </c>
      <c r="W10" s="525">
        <v>0</v>
      </c>
      <c r="X10"/>
    </row>
    <row r="11" spans="1:24" ht="15.6">
      <c r="A11" s="179"/>
      <c r="B11" s="173"/>
      <c r="C11" s="252" t="s">
        <v>72</v>
      </c>
      <c r="D11" s="253">
        <f>'2023'!T17</f>
        <v>1</v>
      </c>
      <c r="E11" s="251"/>
      <c r="F11" s="253">
        <f>'2023'!U17</f>
        <v>216</v>
      </c>
      <c r="G11" s="251"/>
      <c r="T11" s="174"/>
      <c r="U11" s="228" t="s">
        <v>66</v>
      </c>
      <c r="V11" s="226" t="s">
        <v>298</v>
      </c>
      <c r="W11" s="525">
        <v>0</v>
      </c>
      <c r="X11"/>
    </row>
    <row r="12" spans="1:24" ht="16.2" thickBot="1">
      <c r="A12" s="178">
        <v>6</v>
      </c>
      <c r="B12" s="173"/>
      <c r="C12" s="256" t="s">
        <v>138</v>
      </c>
      <c r="D12" s="253">
        <f>D11-D10</f>
        <v>0</v>
      </c>
      <c r="E12" s="255">
        <f>1-D10/D11</f>
        <v>0</v>
      </c>
      <c r="F12" s="253">
        <f>F11-F10</f>
        <v>0</v>
      </c>
      <c r="G12" s="255">
        <f>1-F10/F11</f>
        <v>0</v>
      </c>
      <c r="T12" s="174"/>
      <c r="U12" s="658" t="s">
        <v>65</v>
      </c>
      <c r="V12" s="226" t="s">
        <v>298</v>
      </c>
      <c r="W12" s="526">
        <v>0</v>
      </c>
      <c r="X12"/>
    </row>
    <row r="13" spans="1:24" ht="15.6">
      <c r="B13" s="173"/>
      <c r="C13" s="249"/>
      <c r="D13" s="251"/>
      <c r="E13" s="2"/>
      <c r="F13" s="251"/>
      <c r="G13" s="248"/>
      <c r="T13" s="174"/>
      <c r="U13" s="226" t="s">
        <v>269</v>
      </c>
      <c r="V13" s="226" t="s">
        <v>298</v>
      </c>
      <c r="W13" s="659">
        <v>1</v>
      </c>
      <c r="X13"/>
    </row>
    <row r="14" spans="1:24" ht="15.6">
      <c r="B14" s="173"/>
      <c r="C14" s="252" t="s">
        <v>139</v>
      </c>
      <c r="D14" s="253">
        <f>SUM($J$5:$J$5)</f>
        <v>0</v>
      </c>
      <c r="E14" s="255">
        <f>D14/D11</f>
        <v>0</v>
      </c>
      <c r="F14" s="253">
        <f>SUM($K$5:$K$5)</f>
        <v>0</v>
      </c>
      <c r="G14" s="255">
        <f>F14/F11</f>
        <v>0</v>
      </c>
      <c r="U14" s="226" t="s">
        <v>64</v>
      </c>
      <c r="V14" s="227"/>
      <c r="W14" s="659">
        <v>1</v>
      </c>
      <c r="X14"/>
    </row>
    <row r="15" spans="1:24" ht="15.6">
      <c r="B15" s="173"/>
      <c r="U15" s="226" t="s">
        <v>63</v>
      </c>
      <c r="V15" s="227"/>
      <c r="W15" s="525">
        <v>0</v>
      </c>
      <c r="X15"/>
    </row>
    <row r="16" spans="1:24" ht="15.6">
      <c r="U16" s="226" t="s">
        <v>62</v>
      </c>
      <c r="V16" s="227"/>
      <c r="W16" s="525">
        <v>0</v>
      </c>
      <c r="X16"/>
    </row>
    <row r="17" spans="2:24" ht="15.6">
      <c r="U17" s="226" t="s">
        <v>61</v>
      </c>
      <c r="V17" s="227"/>
      <c r="W17" s="526">
        <v>0</v>
      </c>
      <c r="X17"/>
    </row>
    <row r="18" spans="2:24" ht="15.6">
      <c r="U18" s="229" t="s">
        <v>270</v>
      </c>
      <c r="V18" s="230"/>
      <c r="W18" s="660">
        <v>1</v>
      </c>
      <c r="X18"/>
    </row>
    <row r="19" spans="2:24">
      <c r="W19"/>
      <c r="X19"/>
    </row>
    <row r="20" spans="2:24">
      <c r="W20"/>
      <c r="X20"/>
    </row>
    <row r="21" spans="2:24">
      <c r="W21"/>
      <c r="X21"/>
    </row>
    <row r="22" spans="2:24">
      <c r="B22" s="139"/>
      <c r="W22"/>
    </row>
    <row r="23" spans="2:24">
      <c r="W23"/>
    </row>
    <row r="24" spans="2:24">
      <c r="W24"/>
    </row>
    <row r="25" spans="2:24">
      <c r="W25"/>
    </row>
    <row r="26" spans="2:24">
      <c r="W26"/>
    </row>
    <row r="27" spans="2:24">
      <c r="W27"/>
    </row>
    <row r="28" spans="2:24">
      <c r="W28"/>
    </row>
  </sheetData>
  <mergeCells count="4">
    <mergeCell ref="B1:B2"/>
    <mergeCell ref="L1:N1"/>
    <mergeCell ref="H1:I1"/>
    <mergeCell ref="D1:F1"/>
  </mergeCells>
  <printOptions horizontalCentered="1" verticalCentered="1" gridLines="1"/>
  <pageMargins left="0.39370078740157483" right="0.39370078740157483" top="0.98425196850393704" bottom="0.98425196850393704" header="0.51181102362204722" footer="0.51181102362204722"/>
  <pageSetup paperSize="9" orientation="landscape" horizontalDpi="1200" verticalDpi="1200" r:id="rId2"/>
  <headerFooter alignWithMargins="0">
    <oddHeader>&amp;C&amp;"Arial,Gras"&amp;14ECONOTEC / 3J-CONSULT
&amp;"Arial,Normal"&amp;12Fiches de description d'améliorations</oddHeader>
    <oddFooter>&amp;L&amp;D&amp;CFichier : &amp;F&amp;ROnglet : &amp;A</oddFooter>
  </headerFooter>
  <colBreaks count="1" manualBreakCount="1">
    <brk id="2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7257D-BF03-4A73-8B88-70E145F42AB5}">
  <dimension ref="A1:AQ99"/>
  <sheetViews>
    <sheetView tabSelected="1" zoomScaleNormal="100" workbookViewId="0">
      <selection activeCell="K10" sqref="K10"/>
    </sheetView>
  </sheetViews>
  <sheetFormatPr baseColWidth="10" defaultRowHeight="13.2"/>
  <cols>
    <col min="1" max="1" width="16.88671875" customWidth="1"/>
    <col min="5" max="5" width="14" bestFit="1" customWidth="1"/>
    <col min="6" max="6" width="11.88671875" customWidth="1"/>
    <col min="7" max="7" width="12.6640625" bestFit="1" customWidth="1"/>
    <col min="9" max="9" width="51.88671875" customWidth="1"/>
    <col min="10" max="10" width="31.109375" bestFit="1" customWidth="1"/>
    <col min="11" max="11" width="41.44140625" bestFit="1" customWidth="1"/>
    <col min="12" max="12" width="35.5546875" bestFit="1" customWidth="1"/>
    <col min="13" max="13" width="10.109375" bestFit="1" customWidth="1"/>
    <col min="14" max="14" width="9.6640625" bestFit="1" customWidth="1"/>
    <col min="15" max="17" width="5" bestFit="1" customWidth="1"/>
    <col min="18" max="28" width="5.33203125" bestFit="1" customWidth="1"/>
    <col min="29" max="43" width="2.88671875" bestFit="1" customWidth="1"/>
  </cols>
  <sheetData>
    <row r="1" spans="1:43" ht="21">
      <c r="A1" s="718" t="str">
        <f>Entête!C15</f>
        <v>NOM DE L'ENTITE</v>
      </c>
      <c r="B1" s="719"/>
      <c r="C1" s="719"/>
      <c r="D1" s="719"/>
      <c r="E1" s="719"/>
      <c r="F1" s="719"/>
      <c r="G1" s="720"/>
      <c r="I1" s="288"/>
      <c r="J1" s="288"/>
      <c r="K1" s="288"/>
      <c r="L1" s="289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</row>
    <row r="2" spans="1:43" ht="21">
      <c r="A2" s="721"/>
      <c r="B2" s="722"/>
      <c r="C2" s="722"/>
      <c r="D2" s="722"/>
      <c r="E2" s="722"/>
      <c r="F2" s="722"/>
      <c r="G2" s="723"/>
      <c r="I2" s="756" t="s">
        <v>236</v>
      </c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  <c r="AB2" s="757"/>
      <c r="AC2" s="757"/>
      <c r="AD2" s="757"/>
      <c r="AE2" s="757"/>
      <c r="AF2" s="757"/>
      <c r="AG2" s="757"/>
      <c r="AH2" s="757"/>
      <c r="AI2" s="757"/>
      <c r="AJ2" s="757"/>
      <c r="AK2" s="757"/>
      <c r="AL2" s="757"/>
      <c r="AM2" s="757"/>
      <c r="AN2" s="757"/>
      <c r="AO2" s="757"/>
      <c r="AP2" s="757"/>
      <c r="AQ2" s="757"/>
    </row>
    <row r="3" spans="1:43" ht="16.2" thickBot="1">
      <c r="A3" s="724" t="s">
        <v>115</v>
      </c>
      <c r="B3" s="725"/>
      <c r="C3" s="725"/>
      <c r="D3" s="725"/>
      <c r="E3" s="725"/>
      <c r="F3" s="725"/>
      <c r="G3" s="726"/>
      <c r="I3" s="413"/>
      <c r="J3" s="413"/>
      <c r="K3" s="413"/>
      <c r="L3" s="454"/>
      <c r="M3" s="413"/>
      <c r="N3" s="413"/>
      <c r="O3" s="413"/>
      <c r="P3" s="413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</row>
    <row r="4" spans="1:43">
      <c r="I4" s="413"/>
      <c r="J4" s="413"/>
      <c r="K4" s="413"/>
      <c r="L4" s="413"/>
      <c r="M4" s="413"/>
      <c r="N4" s="413"/>
      <c r="O4" s="413"/>
      <c r="P4" s="413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  <c r="AK4" s="340"/>
      <c r="AL4" s="340"/>
      <c r="AM4" s="340"/>
      <c r="AN4" s="340"/>
      <c r="AO4" s="340"/>
      <c r="AP4" s="340"/>
      <c r="AQ4" s="340"/>
    </row>
    <row r="5" spans="1:43" ht="16.2" thickBot="1">
      <c r="A5" s="224" t="s">
        <v>114</v>
      </c>
      <c r="E5" s="727"/>
      <c r="F5" s="728"/>
      <c r="I5" s="413"/>
      <c r="J5" s="413"/>
      <c r="K5" s="413"/>
      <c r="L5" s="455"/>
      <c r="M5" s="413"/>
      <c r="N5" s="413"/>
      <c r="O5" s="413"/>
      <c r="P5" s="413"/>
      <c r="Q5" s="340"/>
      <c r="R5" s="340"/>
      <c r="S5" s="340"/>
      <c r="T5" s="340"/>
      <c r="U5" s="340"/>
      <c r="V5" s="340"/>
      <c r="W5" s="340"/>
      <c r="X5" s="340"/>
      <c r="Y5" s="340"/>
      <c r="Z5" s="340"/>
      <c r="AA5" s="340"/>
      <c r="AB5" s="340"/>
      <c r="AC5" s="340"/>
      <c r="AD5" s="340"/>
      <c r="AE5" s="340"/>
      <c r="AF5" s="340"/>
      <c r="AG5" s="340"/>
      <c r="AH5" s="340"/>
      <c r="AI5" s="340"/>
      <c r="AJ5" s="340"/>
      <c r="AK5" s="340"/>
      <c r="AL5" s="340"/>
      <c r="AM5" s="340"/>
      <c r="AN5" s="340"/>
      <c r="AO5" s="340"/>
      <c r="AP5" s="340"/>
      <c r="AQ5" s="340"/>
    </row>
    <row r="6" spans="1:43" ht="16.2" thickBot="1">
      <c r="A6" s="224"/>
      <c r="E6" s="225"/>
      <c r="F6" s="225"/>
      <c r="I6" s="414" t="s">
        <v>235</v>
      </c>
      <c r="J6" s="427"/>
      <c r="K6" s="778"/>
      <c r="L6" s="778"/>
      <c r="M6" s="425"/>
      <c r="N6" s="425"/>
      <c r="O6" s="425"/>
      <c r="P6" s="425"/>
      <c r="Q6" s="451"/>
      <c r="R6" s="451"/>
      <c r="S6" s="451"/>
      <c r="T6" s="451"/>
      <c r="U6" s="451"/>
      <c r="V6" s="451"/>
      <c r="W6" s="451"/>
      <c r="X6" s="451"/>
      <c r="Y6" s="451"/>
      <c r="Z6" s="451"/>
      <c r="AA6" s="451"/>
      <c r="AB6" s="451"/>
      <c r="AC6" s="452"/>
      <c r="AD6" s="452"/>
      <c r="AE6" s="340"/>
      <c r="AF6" s="340"/>
      <c r="AG6" s="340"/>
      <c r="AH6" s="340"/>
      <c r="AI6" s="340"/>
      <c r="AJ6" s="340"/>
      <c r="AK6" s="340"/>
      <c r="AL6" s="340"/>
      <c r="AM6" s="340"/>
      <c r="AN6" s="340"/>
      <c r="AO6" s="340"/>
      <c r="AP6" s="340"/>
      <c r="AQ6" s="340"/>
    </row>
    <row r="7" spans="1:43" ht="16.2" thickBot="1">
      <c r="A7" s="224" t="s">
        <v>113</v>
      </c>
      <c r="I7" s="426"/>
      <c r="J7" s="425"/>
      <c r="K7" s="778"/>
      <c r="L7" s="778"/>
      <c r="M7" s="425"/>
      <c r="N7" s="425"/>
      <c r="O7" s="425"/>
      <c r="P7" s="425"/>
      <c r="Q7" s="451"/>
      <c r="R7" s="451"/>
      <c r="S7" s="451"/>
      <c r="T7" s="451"/>
      <c r="U7" s="451"/>
      <c r="V7" s="451"/>
      <c r="W7" s="451"/>
      <c r="X7" s="451"/>
      <c r="Y7" s="451"/>
      <c r="Z7" s="451"/>
      <c r="AA7" s="451"/>
      <c r="AB7" s="451"/>
      <c r="AC7" s="452"/>
      <c r="AD7" s="452"/>
      <c r="AE7" s="340"/>
      <c r="AF7" s="340"/>
      <c r="AG7" s="340"/>
      <c r="AH7" s="340"/>
      <c r="AI7" s="340"/>
      <c r="AJ7" s="340"/>
      <c r="AK7" s="340"/>
      <c r="AL7" s="340"/>
      <c r="AM7" s="340"/>
      <c r="AN7" s="340"/>
      <c r="AO7" s="340"/>
      <c r="AP7" s="340"/>
      <c r="AQ7" s="340"/>
    </row>
    <row r="8" spans="1:43" ht="16.2" thickBot="1">
      <c r="I8" s="765" t="s">
        <v>234</v>
      </c>
      <c r="J8" s="767"/>
      <c r="K8" s="412"/>
      <c r="L8" s="765" t="s">
        <v>233</v>
      </c>
      <c r="M8" s="767"/>
      <c r="N8" s="412"/>
      <c r="O8" s="412"/>
      <c r="P8" s="412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  <c r="AD8" s="453"/>
      <c r="AE8" s="340"/>
      <c r="AF8" s="340"/>
      <c r="AG8" s="340"/>
      <c r="AH8" s="340"/>
      <c r="AI8" s="340"/>
      <c r="AJ8" s="340"/>
      <c r="AK8" s="340"/>
      <c r="AL8" s="340"/>
      <c r="AM8" s="340"/>
      <c r="AN8" s="340"/>
      <c r="AO8" s="340"/>
      <c r="AP8" s="340"/>
      <c r="AQ8" s="340"/>
    </row>
    <row r="9" spans="1:43" ht="16.2" thickBot="1">
      <c r="A9" s="733"/>
      <c r="B9" s="734"/>
      <c r="C9" s="734"/>
      <c r="D9" s="734"/>
      <c r="E9" s="734"/>
      <c r="F9" s="734"/>
      <c r="G9" s="735"/>
      <c r="I9" s="300"/>
      <c r="J9" s="300"/>
      <c r="K9" s="300"/>
      <c r="L9" s="300"/>
      <c r="M9" s="300"/>
      <c r="N9" s="300"/>
      <c r="O9" s="300"/>
      <c r="P9" s="300"/>
      <c r="Q9" s="453"/>
      <c r="R9" s="453"/>
      <c r="S9" s="453"/>
      <c r="T9" s="453"/>
      <c r="U9" s="453"/>
      <c r="V9" s="453"/>
      <c r="W9" s="453"/>
      <c r="X9" s="453"/>
      <c r="Y9" s="453"/>
      <c r="Z9" s="453"/>
      <c r="AA9" s="453"/>
      <c r="AB9" s="453"/>
      <c r="AC9" s="453"/>
      <c r="AD9" s="453"/>
      <c r="AE9" s="340"/>
      <c r="AF9" s="340"/>
      <c r="AG9" s="340"/>
      <c r="AH9" s="340"/>
      <c r="AI9" s="340"/>
      <c r="AJ9" s="340"/>
      <c r="AK9" s="340"/>
      <c r="AL9" s="340"/>
      <c r="AM9" s="340"/>
      <c r="AN9" s="340"/>
      <c r="AO9" s="340"/>
      <c r="AP9" s="340"/>
      <c r="AQ9" s="340"/>
    </row>
    <row r="10" spans="1:43" ht="16.2" thickBot="1">
      <c r="I10" s="416" t="s">
        <v>232</v>
      </c>
      <c r="J10" s="414" t="s">
        <v>244</v>
      </c>
      <c r="K10" s="300"/>
      <c r="L10" s="424" t="s">
        <v>230</v>
      </c>
      <c r="M10" s="423" t="str">
        <f>L76</f>
        <v>PROJET NON RENTABLE</v>
      </c>
      <c r="N10" s="300"/>
      <c r="O10" s="300"/>
      <c r="P10" s="300"/>
      <c r="Q10" s="453"/>
      <c r="R10" s="453"/>
      <c r="S10" s="453"/>
      <c r="T10" s="453"/>
      <c r="U10" s="453"/>
      <c r="V10" s="453"/>
      <c r="W10" s="453"/>
      <c r="X10" s="453"/>
      <c r="Y10" s="453"/>
      <c r="Z10" s="453"/>
      <c r="AA10" s="453"/>
      <c r="AB10" s="453"/>
      <c r="AC10" s="453"/>
      <c r="AD10" s="453"/>
      <c r="AE10" s="340"/>
      <c r="AF10" s="340"/>
      <c r="AG10" s="340"/>
      <c r="AH10" s="340"/>
      <c r="AI10" s="340"/>
      <c r="AJ10" s="340"/>
      <c r="AK10" s="340"/>
      <c r="AL10" s="340"/>
      <c r="AM10" s="340"/>
      <c r="AN10" s="340"/>
      <c r="AO10" s="340"/>
      <c r="AP10" s="340"/>
      <c r="AQ10" s="340"/>
    </row>
    <row r="11" spans="1:43" ht="16.2" thickBot="1">
      <c r="A11" s="224" t="s">
        <v>112</v>
      </c>
      <c r="I11" s="300"/>
      <c r="J11" s="300"/>
      <c r="K11" s="300"/>
      <c r="L11" s="422" t="s">
        <v>229</v>
      </c>
      <c r="M11" s="421">
        <f>L77</f>
        <v>0</v>
      </c>
      <c r="N11" s="300"/>
      <c r="O11" s="300"/>
      <c r="P11" s="300"/>
      <c r="Q11" s="453"/>
      <c r="R11" s="453"/>
      <c r="S11" s="453"/>
      <c r="T11" s="453"/>
      <c r="U11" s="453"/>
      <c r="V11" s="453"/>
      <c r="W11" s="453"/>
      <c r="X11" s="453"/>
      <c r="Y11" s="453"/>
      <c r="Z11" s="453"/>
      <c r="AA11" s="453"/>
      <c r="AB11" s="453"/>
      <c r="AC11" s="453"/>
      <c r="AD11" s="453"/>
      <c r="AE11" s="340"/>
      <c r="AF11" s="340"/>
      <c r="AG11" s="340"/>
      <c r="AH11" s="340"/>
      <c r="AI11" s="340"/>
      <c r="AJ11" s="340"/>
      <c r="AK11" s="340"/>
      <c r="AL11" s="340"/>
      <c r="AM11" s="340"/>
      <c r="AN11" s="340"/>
      <c r="AO11" s="340"/>
      <c r="AP11" s="340"/>
      <c r="AQ11" s="340"/>
    </row>
    <row r="12" spans="1:43" ht="16.2" thickBot="1">
      <c r="I12" s="416" t="s">
        <v>228</v>
      </c>
      <c r="J12" s="419">
        <f>VLOOKUP(J10,Paramètres!A27:C29,3)</f>
        <v>15</v>
      </c>
      <c r="K12" s="413"/>
      <c r="L12" s="348"/>
      <c r="M12" s="348"/>
      <c r="N12" s="300"/>
      <c r="O12" s="300"/>
      <c r="P12" s="300"/>
      <c r="Q12" s="453"/>
      <c r="R12" s="453"/>
      <c r="S12" s="453"/>
      <c r="T12" s="453"/>
      <c r="U12" s="453"/>
      <c r="V12" s="453"/>
      <c r="W12" s="453"/>
      <c r="X12" s="453"/>
      <c r="Y12" s="453"/>
      <c r="Z12" s="453"/>
      <c r="AA12" s="453"/>
      <c r="AB12" s="453"/>
      <c r="AC12" s="453"/>
      <c r="AD12" s="453"/>
      <c r="AE12" s="340"/>
      <c r="AF12" s="340"/>
      <c r="AG12" s="340"/>
      <c r="AH12" s="340"/>
      <c r="AI12" s="340"/>
      <c r="AJ12" s="340"/>
      <c r="AK12" s="340"/>
      <c r="AL12" s="340"/>
      <c r="AM12" s="340"/>
      <c r="AN12" s="340"/>
      <c r="AO12" s="340"/>
      <c r="AP12" s="340"/>
      <c r="AQ12" s="340"/>
    </row>
    <row r="13" spans="1:43" ht="29.25" customHeight="1" thickBot="1">
      <c r="A13" s="733"/>
      <c r="B13" s="734"/>
      <c r="C13" s="734"/>
      <c r="D13" s="734"/>
      <c r="E13" s="734"/>
      <c r="F13" s="734"/>
      <c r="G13" s="735"/>
      <c r="I13" s="300"/>
      <c r="J13" s="300"/>
      <c r="K13" s="413"/>
      <c r="L13" s="338" t="s">
        <v>227</v>
      </c>
      <c r="M13" s="420" t="str">
        <f>L98</f>
        <v>PROJET NON RENTABLE</v>
      </c>
      <c r="N13" s="300"/>
      <c r="O13" s="300"/>
      <c r="P13" s="300"/>
      <c r="Q13" s="453"/>
      <c r="R13" s="453"/>
      <c r="S13" s="453"/>
      <c r="T13" s="453"/>
      <c r="U13" s="453"/>
      <c r="V13" s="453"/>
      <c r="W13" s="453"/>
      <c r="X13" s="453"/>
      <c r="Y13" s="453"/>
      <c r="Z13" s="453"/>
      <c r="AA13" s="453"/>
      <c r="AB13" s="453"/>
      <c r="AC13" s="453"/>
      <c r="AD13" s="453"/>
      <c r="AE13" s="340"/>
      <c r="AF13" s="340"/>
      <c r="AG13" s="340"/>
      <c r="AH13" s="340"/>
      <c r="AI13" s="340"/>
      <c r="AJ13" s="340"/>
      <c r="AK13" s="340"/>
      <c r="AL13" s="340"/>
      <c r="AM13" s="340"/>
      <c r="AN13" s="340"/>
      <c r="AO13" s="340"/>
      <c r="AP13" s="340"/>
      <c r="AQ13" s="340"/>
    </row>
    <row r="14" spans="1:43" ht="16.2" thickBot="1">
      <c r="I14" s="416" t="s">
        <v>226</v>
      </c>
      <c r="J14" s="419">
        <f>VLOOKUP(J10,Paramètres!A27:D29,4)</f>
        <v>8</v>
      </c>
      <c r="K14" s="300"/>
      <c r="L14" s="349" t="s">
        <v>225</v>
      </c>
      <c r="M14" s="418">
        <f>L99</f>
        <v>0</v>
      </c>
      <c r="N14" s="300"/>
      <c r="O14" s="300"/>
      <c r="P14" s="300"/>
      <c r="Q14" s="453"/>
      <c r="R14" s="453"/>
      <c r="S14" s="453"/>
      <c r="T14" s="453"/>
      <c r="U14" s="453"/>
      <c r="V14" s="453"/>
      <c r="W14" s="453"/>
      <c r="X14" s="453"/>
      <c r="Y14" s="453"/>
      <c r="Z14" s="453"/>
      <c r="AA14" s="453"/>
      <c r="AB14" s="453"/>
      <c r="AC14" s="453"/>
      <c r="AD14" s="453"/>
      <c r="AE14" s="340"/>
      <c r="AF14" s="340"/>
      <c r="AG14" s="340"/>
      <c r="AH14" s="340"/>
      <c r="AI14" s="340"/>
      <c r="AJ14" s="340"/>
      <c r="AK14" s="340"/>
      <c r="AL14" s="340"/>
      <c r="AM14" s="340"/>
      <c r="AN14" s="340"/>
      <c r="AO14" s="340"/>
      <c r="AP14" s="340"/>
      <c r="AQ14" s="340"/>
    </row>
    <row r="15" spans="1:43" ht="16.2" thickBot="1">
      <c r="A15" s="224" t="s">
        <v>111</v>
      </c>
      <c r="I15" s="300"/>
      <c r="J15" s="300"/>
      <c r="K15" s="300"/>
      <c r="L15" s="413"/>
      <c r="M15" s="413"/>
      <c r="N15" s="300"/>
      <c r="O15" s="300"/>
      <c r="P15" s="300"/>
      <c r="Q15" s="453"/>
      <c r="R15" s="453"/>
      <c r="S15" s="453"/>
      <c r="T15" s="453"/>
      <c r="U15" s="453"/>
      <c r="V15" s="453"/>
      <c r="W15" s="453"/>
      <c r="X15" s="453"/>
      <c r="Y15" s="453"/>
      <c r="Z15" s="453"/>
      <c r="AA15" s="453"/>
      <c r="AB15" s="453"/>
      <c r="AC15" s="453"/>
      <c r="AD15" s="453"/>
      <c r="AE15" s="340"/>
      <c r="AF15" s="340"/>
      <c r="AG15" s="340"/>
      <c r="AH15" s="340"/>
      <c r="AI15" s="340"/>
      <c r="AJ15" s="340"/>
      <c r="AK15" s="340"/>
      <c r="AL15" s="340"/>
      <c r="AM15" s="340"/>
      <c r="AN15" s="340"/>
      <c r="AO15" s="340"/>
      <c r="AP15" s="340"/>
      <c r="AQ15" s="340"/>
    </row>
    <row r="16" spans="1:43" ht="16.2" thickBot="1">
      <c r="I16" s="415" t="s">
        <v>224</v>
      </c>
      <c r="J16" s="417">
        <v>10</v>
      </c>
      <c r="K16" s="300"/>
      <c r="L16" s="300"/>
      <c r="M16" s="456"/>
      <c r="N16" s="300"/>
      <c r="O16" s="300"/>
      <c r="P16" s="300"/>
      <c r="Q16" s="453"/>
      <c r="R16" s="453"/>
      <c r="S16" s="453"/>
      <c r="T16" s="453"/>
      <c r="U16" s="453"/>
      <c r="V16" s="453"/>
      <c r="W16" s="453"/>
      <c r="X16" s="453"/>
      <c r="Y16" s="453"/>
      <c r="Z16" s="453"/>
      <c r="AA16" s="453"/>
      <c r="AB16" s="453"/>
      <c r="AC16" s="453"/>
      <c r="AD16" s="453"/>
      <c r="AE16" s="340"/>
      <c r="AF16" s="340"/>
      <c r="AG16" s="340"/>
      <c r="AH16" s="340"/>
      <c r="AI16" s="340"/>
      <c r="AJ16" s="340"/>
      <c r="AK16" s="340"/>
      <c r="AL16" s="340"/>
      <c r="AM16" s="340"/>
      <c r="AN16" s="340"/>
      <c r="AO16" s="340"/>
      <c r="AP16" s="340"/>
      <c r="AQ16" s="340"/>
    </row>
    <row r="17" spans="1:43" ht="16.2" thickBot="1">
      <c r="A17" s="733"/>
      <c r="B17" s="734"/>
      <c r="C17" s="734"/>
      <c r="D17" s="734"/>
      <c r="E17" s="734"/>
      <c r="F17" s="734"/>
      <c r="G17" s="735"/>
      <c r="I17" s="412"/>
      <c r="J17" s="300"/>
      <c r="K17" s="300"/>
      <c r="L17" s="300"/>
      <c r="M17" s="456"/>
      <c r="N17" s="300"/>
      <c r="O17" s="300"/>
      <c r="P17" s="300"/>
      <c r="Q17" s="453"/>
      <c r="R17" s="453"/>
      <c r="S17" s="453"/>
      <c r="T17" s="453"/>
      <c r="U17" s="453"/>
      <c r="V17" s="453"/>
      <c r="W17" s="453"/>
      <c r="X17" s="453"/>
      <c r="Y17" s="453"/>
      <c r="Z17" s="453"/>
      <c r="AA17" s="453"/>
      <c r="AB17" s="453"/>
      <c r="AC17" s="453"/>
      <c r="AD17" s="453"/>
      <c r="AE17" s="340"/>
      <c r="AF17" s="340"/>
      <c r="AG17" s="340"/>
      <c r="AH17" s="340"/>
      <c r="AI17" s="340"/>
      <c r="AJ17" s="340"/>
      <c r="AK17" s="340"/>
      <c r="AL17" s="340"/>
      <c r="AM17" s="340"/>
      <c r="AN17" s="340"/>
      <c r="AO17" s="340"/>
      <c r="AP17" s="340"/>
      <c r="AQ17" s="340"/>
    </row>
    <row r="18" spans="1:43" ht="16.2" thickBot="1">
      <c r="I18" s="416" t="s">
        <v>223</v>
      </c>
      <c r="J18" s="414" t="s">
        <v>222</v>
      </c>
      <c r="K18" s="300"/>
      <c r="L18" s="300"/>
      <c r="M18" s="300"/>
      <c r="N18" s="300"/>
      <c r="O18" s="300"/>
      <c r="P18" s="300"/>
      <c r="Q18" s="453"/>
      <c r="R18" s="453"/>
      <c r="S18" s="453"/>
      <c r="T18" s="453"/>
      <c r="U18" s="453"/>
      <c r="V18" s="453"/>
      <c r="W18" s="453"/>
      <c r="X18" s="453"/>
      <c r="Y18" s="453"/>
      <c r="Z18" s="453"/>
      <c r="AA18" s="453"/>
      <c r="AB18" s="453"/>
      <c r="AC18" s="453"/>
      <c r="AD18" s="453"/>
      <c r="AE18" s="340"/>
      <c r="AF18" s="340"/>
      <c r="AG18" s="340"/>
      <c r="AH18" s="340"/>
      <c r="AI18" s="340"/>
      <c r="AJ18" s="340"/>
      <c r="AK18" s="340"/>
      <c r="AL18" s="340"/>
      <c r="AM18" s="340"/>
      <c r="AN18" s="340"/>
      <c r="AO18" s="340"/>
      <c r="AP18" s="340"/>
      <c r="AQ18" s="340"/>
    </row>
    <row r="19" spans="1:43" ht="16.2" thickBot="1">
      <c r="A19" s="224" t="s">
        <v>110</v>
      </c>
      <c r="E19" s="459">
        <f>B35*Paramètres!C13+B36*Paramètres!D13+B37*Paramètres!E13</f>
        <v>0</v>
      </c>
      <c r="F19" s="168" t="s">
        <v>257</v>
      </c>
      <c r="I19" s="415" t="s">
        <v>221</v>
      </c>
      <c r="J19" s="414" t="s">
        <v>220</v>
      </c>
      <c r="K19" s="300"/>
      <c r="L19" s="300"/>
      <c r="M19" s="300"/>
      <c r="N19" s="300"/>
      <c r="O19" s="300"/>
      <c r="P19" s="300"/>
      <c r="Q19" s="453"/>
      <c r="R19" s="453"/>
      <c r="S19" s="453"/>
      <c r="T19" s="453"/>
      <c r="U19" s="453"/>
      <c r="V19" s="453"/>
      <c r="W19" s="453"/>
      <c r="X19" s="453"/>
      <c r="Y19" s="453"/>
      <c r="Z19" s="453"/>
      <c r="AA19" s="453"/>
      <c r="AB19" s="453"/>
      <c r="AC19" s="453"/>
      <c r="AD19" s="453"/>
      <c r="AE19" s="340"/>
      <c r="AF19" s="340"/>
      <c r="AG19" s="340"/>
      <c r="AH19" s="340"/>
      <c r="AI19" s="340"/>
      <c r="AJ19" s="340"/>
      <c r="AK19" s="340"/>
      <c r="AL19" s="340"/>
      <c r="AM19" s="340"/>
      <c r="AN19" s="340"/>
      <c r="AO19" s="340"/>
      <c r="AP19" s="340"/>
      <c r="AQ19" s="340"/>
    </row>
    <row r="20" spans="1:43" ht="15.6">
      <c r="I20" s="300"/>
      <c r="J20" s="300"/>
      <c r="K20" s="300"/>
      <c r="L20" s="300"/>
      <c r="M20" s="300"/>
      <c r="N20" s="300"/>
      <c r="O20" s="300"/>
      <c r="P20" s="300"/>
      <c r="Q20" s="453"/>
      <c r="R20" s="453"/>
      <c r="S20" s="453"/>
      <c r="T20" s="453"/>
      <c r="U20" s="453"/>
      <c r="V20" s="453"/>
      <c r="W20" s="453"/>
      <c r="X20" s="453"/>
      <c r="Y20" s="453"/>
      <c r="Z20" s="453"/>
      <c r="AA20" s="453"/>
      <c r="AB20" s="453"/>
      <c r="AC20" s="453"/>
      <c r="AD20" s="453"/>
      <c r="AE20" s="340"/>
      <c r="AF20" s="340"/>
      <c r="AG20" s="340"/>
      <c r="AH20" s="340"/>
      <c r="AI20" s="340"/>
      <c r="AJ20" s="340"/>
      <c r="AK20" s="340"/>
      <c r="AL20" s="340"/>
      <c r="AM20" s="340"/>
      <c r="AN20" s="340"/>
      <c r="AO20" s="340"/>
      <c r="AP20" s="340"/>
      <c r="AQ20" s="340"/>
    </row>
    <row r="21" spans="1:43" ht="16.2" thickBot="1">
      <c r="A21" s="224" t="s">
        <v>109</v>
      </c>
      <c r="E21" s="459">
        <f>+F48*1000</f>
        <v>0</v>
      </c>
      <c r="I21" s="412"/>
      <c r="J21" s="300"/>
      <c r="K21" s="300"/>
      <c r="L21" s="300"/>
      <c r="M21" s="300"/>
      <c r="N21" s="300"/>
      <c r="O21" s="340"/>
      <c r="P21" s="340"/>
      <c r="Q21" s="340"/>
      <c r="R21" s="340"/>
      <c r="S21" s="340"/>
      <c r="T21" s="340"/>
      <c r="U21" s="340"/>
      <c r="V21" s="340"/>
      <c r="W21" s="340"/>
      <c r="X21" s="359"/>
      <c r="Y21" s="359"/>
      <c r="Z21" s="359"/>
      <c r="AA21" s="359"/>
      <c r="AB21" s="359"/>
      <c r="AC21" s="340"/>
      <c r="AD21" s="340"/>
      <c r="AE21" s="340"/>
      <c r="AF21" s="340"/>
      <c r="AG21" s="340"/>
      <c r="AH21" s="340"/>
      <c r="AI21" s="340"/>
      <c r="AJ21" s="340"/>
      <c r="AK21" s="340"/>
      <c r="AL21" s="340"/>
      <c r="AM21" s="340"/>
      <c r="AN21" s="340"/>
      <c r="AO21" s="340"/>
      <c r="AP21" s="340"/>
      <c r="AQ21" s="340"/>
    </row>
    <row r="22" spans="1:43" ht="16.2" thickBot="1">
      <c r="I22" s="765" t="s">
        <v>219</v>
      </c>
      <c r="J22" s="766"/>
      <c r="K22" s="766"/>
      <c r="L22" s="766"/>
      <c r="M22" s="766"/>
      <c r="N22" s="766"/>
      <c r="O22" s="766"/>
      <c r="P22" s="767"/>
      <c r="Q22" s="340"/>
      <c r="R22" s="340"/>
      <c r="S22" s="340"/>
      <c r="T22" s="340"/>
      <c r="U22" s="340"/>
      <c r="V22" s="340"/>
      <c r="W22" s="340"/>
      <c r="X22" s="359"/>
      <c r="Y22" s="359"/>
      <c r="Z22" s="359"/>
      <c r="AA22" s="359"/>
      <c r="AB22" s="359"/>
      <c r="AC22" s="340"/>
      <c r="AD22" s="340"/>
      <c r="AE22" s="340"/>
      <c r="AF22" s="340"/>
      <c r="AG22" s="340"/>
      <c r="AH22" s="340"/>
      <c r="AI22" s="340"/>
      <c r="AJ22" s="340"/>
      <c r="AK22" s="340"/>
      <c r="AL22" s="340"/>
      <c r="AM22" s="340"/>
      <c r="AN22" s="340"/>
      <c r="AO22" s="340"/>
      <c r="AP22" s="340"/>
      <c r="AQ22" s="340"/>
    </row>
    <row r="23" spans="1:43" ht="16.2" thickBot="1">
      <c r="A23" s="224" t="s">
        <v>108</v>
      </c>
      <c r="E23" s="225" t="s">
        <v>298</v>
      </c>
      <c r="F23" s="458"/>
      <c r="I23" s="412"/>
      <c r="J23" s="300"/>
      <c r="K23" s="300"/>
      <c r="L23" s="300"/>
      <c r="M23" s="300"/>
      <c r="N23" s="300"/>
      <c r="O23" s="340"/>
      <c r="P23" s="340"/>
      <c r="Q23" s="340"/>
      <c r="R23" s="340"/>
      <c r="S23" s="340"/>
      <c r="T23" s="340"/>
      <c r="U23" s="340"/>
      <c r="V23" s="340"/>
      <c r="W23" s="340"/>
      <c r="X23" s="359"/>
      <c r="Y23" s="359"/>
      <c r="Z23" s="359"/>
      <c r="AA23" s="359"/>
      <c r="AB23" s="359"/>
      <c r="AC23" s="340"/>
      <c r="AD23" s="340"/>
      <c r="AE23" s="340"/>
      <c r="AF23" s="340"/>
      <c r="AG23" s="340"/>
      <c r="AH23" s="340"/>
      <c r="AI23" s="340"/>
      <c r="AJ23" s="340"/>
      <c r="AK23" s="340"/>
      <c r="AL23" s="340"/>
      <c r="AM23" s="340"/>
      <c r="AN23" s="340"/>
      <c r="AO23" s="340"/>
      <c r="AP23" s="340"/>
      <c r="AQ23" s="340"/>
    </row>
    <row r="24" spans="1:43" ht="13.8" thickBot="1">
      <c r="I24" s="411"/>
      <c r="J24" s="340"/>
      <c r="K24" s="340"/>
      <c r="L24" s="357"/>
      <c r="M24" s="771" t="s">
        <v>218</v>
      </c>
      <c r="N24" s="772"/>
      <c r="O24" s="340"/>
      <c r="P24" s="340"/>
      <c r="Q24" s="340"/>
      <c r="R24" s="340"/>
      <c r="S24" s="340"/>
      <c r="T24" s="340"/>
      <c r="U24" s="340"/>
      <c r="V24" s="359"/>
      <c r="W24" s="359"/>
      <c r="X24" s="359"/>
      <c r="Y24" s="359"/>
      <c r="Z24" s="359"/>
      <c r="AA24" s="340"/>
      <c r="AB24" s="340"/>
      <c r="AC24" s="340"/>
      <c r="AD24" s="340"/>
      <c r="AE24" s="340"/>
      <c r="AF24" s="340"/>
      <c r="AG24" s="340"/>
      <c r="AH24" s="340"/>
      <c r="AI24" s="340"/>
      <c r="AJ24" s="340"/>
      <c r="AK24" s="340"/>
      <c r="AL24" s="340"/>
      <c r="AM24" s="340"/>
      <c r="AN24" s="340"/>
      <c r="AO24" s="340"/>
      <c r="AP24" s="340"/>
      <c r="AQ24" s="340"/>
    </row>
    <row r="25" spans="1:43" ht="36.6" thickBot="1">
      <c r="A25" s="224" t="s">
        <v>107</v>
      </c>
      <c r="I25" s="408" t="s">
        <v>217</v>
      </c>
      <c r="J25" s="408" t="s">
        <v>216</v>
      </c>
      <c r="K25" s="410" t="s">
        <v>215</v>
      </c>
      <c r="L25" s="410" t="s">
        <v>214</v>
      </c>
      <c r="M25" s="409" t="s">
        <v>213</v>
      </c>
      <c r="N25" s="408" t="s">
        <v>212</v>
      </c>
      <c r="O25" s="340"/>
      <c r="P25" s="340"/>
      <c r="Q25" s="340"/>
      <c r="R25" s="340"/>
      <c r="S25" s="340"/>
      <c r="T25" s="340"/>
      <c r="U25" s="340"/>
      <c r="V25" s="359"/>
      <c r="W25" s="359"/>
      <c r="X25" s="359"/>
      <c r="Y25" s="359"/>
      <c r="Z25" s="359"/>
      <c r="AA25" s="340"/>
      <c r="AB25" s="340"/>
      <c r="AC25" s="340"/>
      <c r="AD25" s="340"/>
      <c r="AE25" s="340"/>
      <c r="AF25" s="340"/>
      <c r="AG25" s="340"/>
      <c r="AH25" s="340"/>
      <c r="AI25" s="340"/>
      <c r="AJ25" s="340"/>
      <c r="AK25" s="340"/>
      <c r="AL25" s="340"/>
      <c r="AM25" s="340"/>
      <c r="AN25" s="340"/>
      <c r="AO25" s="340"/>
      <c r="AP25" s="340"/>
      <c r="AQ25" s="340"/>
    </row>
    <row r="26" spans="1:43">
      <c r="I26" s="407" t="s">
        <v>211</v>
      </c>
      <c r="J26" s="406">
        <f>Paramètres!C12</f>
        <v>0.216</v>
      </c>
      <c r="K26" s="405"/>
      <c r="L26" s="405"/>
      <c r="M26" s="404">
        <f>Paramètres!C13*1000</f>
        <v>0</v>
      </c>
      <c r="N26" s="768">
        <v>70</v>
      </c>
      <c r="O26" s="340"/>
      <c r="P26" s="340"/>
      <c r="Q26" s="340"/>
      <c r="R26" s="340"/>
      <c r="S26" s="340"/>
      <c r="T26" s="340"/>
      <c r="U26" s="340"/>
      <c r="V26" s="359"/>
      <c r="W26" s="359"/>
      <c r="X26" s="359"/>
      <c r="Y26" s="359"/>
      <c r="Z26" s="359"/>
      <c r="AA26" s="340"/>
      <c r="AB26" s="340"/>
      <c r="AC26" s="340"/>
      <c r="AD26" s="340"/>
      <c r="AE26" s="340"/>
      <c r="AF26" s="340"/>
      <c r="AG26" s="340"/>
      <c r="AH26" s="340"/>
      <c r="AI26" s="340"/>
      <c r="AJ26" s="340"/>
      <c r="AK26" s="340"/>
      <c r="AL26" s="340"/>
      <c r="AM26" s="340"/>
      <c r="AN26" s="340"/>
      <c r="AO26" s="340"/>
      <c r="AP26" s="340"/>
      <c r="AQ26" s="340"/>
    </row>
    <row r="27" spans="1:43">
      <c r="A27" s="733"/>
      <c r="B27" s="734"/>
      <c r="C27" s="734"/>
      <c r="D27" s="734"/>
      <c r="E27" s="734"/>
      <c r="F27" s="734"/>
      <c r="G27" s="735"/>
      <c r="I27" s="402" t="s">
        <v>2</v>
      </c>
      <c r="J27" s="403">
        <f>Paramètres!D12</f>
        <v>0.218</v>
      </c>
      <c r="K27" s="400"/>
      <c r="L27" s="400"/>
      <c r="M27" s="399">
        <f>Paramètres!D13*1000</f>
        <v>0</v>
      </c>
      <c r="N27" s="769"/>
      <c r="O27" s="340"/>
      <c r="P27" s="340"/>
      <c r="Q27" s="340"/>
      <c r="R27" s="340"/>
      <c r="S27" s="340"/>
      <c r="T27" s="340"/>
      <c r="U27" s="340"/>
      <c r="V27" s="359"/>
      <c r="W27" s="359"/>
      <c r="X27" s="359"/>
      <c r="Y27" s="359"/>
      <c r="Z27" s="359"/>
      <c r="AA27" s="340"/>
      <c r="AB27" s="340"/>
      <c r="AC27" s="340"/>
      <c r="AD27" s="340"/>
      <c r="AE27" s="340"/>
      <c r="AF27" s="340"/>
      <c r="AG27" s="340"/>
      <c r="AH27" s="340"/>
      <c r="AI27" s="340"/>
      <c r="AJ27" s="340"/>
      <c r="AK27" s="340"/>
      <c r="AL27" s="340"/>
      <c r="AM27" s="340"/>
      <c r="AN27" s="340"/>
      <c r="AO27" s="340"/>
      <c r="AP27" s="340"/>
      <c r="AQ27" s="340"/>
    </row>
    <row r="28" spans="1:43">
      <c r="I28" s="402" t="s">
        <v>210</v>
      </c>
      <c r="J28" s="403">
        <f>Paramètres!E12/1000/(35.9/0.94/3600)</f>
        <v>0.30700138161559892</v>
      </c>
      <c r="K28" s="400"/>
      <c r="L28" s="400"/>
      <c r="M28" s="399">
        <f>Paramètres!E13/Paramètres!E10*1000</f>
        <v>0</v>
      </c>
      <c r="N28" s="769"/>
      <c r="O28" s="340"/>
      <c r="P28" s="340"/>
      <c r="Q28" s="340"/>
      <c r="R28" s="340"/>
      <c r="S28" s="340"/>
      <c r="T28" s="340"/>
      <c r="U28" s="340"/>
      <c r="V28" s="359"/>
      <c r="W28" s="359"/>
      <c r="X28" s="359"/>
      <c r="Y28" s="359"/>
      <c r="Z28" s="359"/>
      <c r="AA28" s="340"/>
      <c r="AB28" s="340"/>
      <c r="AC28" s="340"/>
      <c r="AD28" s="340"/>
      <c r="AE28" s="340"/>
      <c r="AF28" s="340"/>
      <c r="AG28" s="340"/>
      <c r="AH28" s="340"/>
      <c r="AI28" s="340"/>
      <c r="AJ28" s="340"/>
      <c r="AK28" s="340"/>
      <c r="AL28" s="340"/>
      <c r="AM28" s="340"/>
      <c r="AN28" s="340"/>
      <c r="AO28" s="340"/>
      <c r="AP28" s="340"/>
      <c r="AQ28" s="340"/>
    </row>
    <row r="29" spans="1:43" ht="15.6">
      <c r="A29" s="224" t="s">
        <v>106</v>
      </c>
      <c r="I29" s="402" t="s">
        <v>209</v>
      </c>
      <c r="J29" s="403">
        <f>2.9209/1000/(43.77/0.94/3600)</f>
        <v>0.22582420836189168</v>
      </c>
      <c r="K29" s="400"/>
      <c r="L29" s="400"/>
      <c r="M29" s="399"/>
      <c r="N29" s="769"/>
      <c r="O29" s="340"/>
      <c r="P29" s="340"/>
      <c r="Q29" s="340"/>
      <c r="R29" s="340"/>
      <c r="S29" s="340"/>
      <c r="T29" s="340"/>
      <c r="U29" s="340"/>
      <c r="V29" s="359"/>
      <c r="W29" s="359"/>
      <c r="X29" s="359"/>
      <c r="Y29" s="359"/>
      <c r="Z29" s="359"/>
      <c r="AA29" s="340"/>
      <c r="AB29" s="340"/>
      <c r="AC29" s="340"/>
      <c r="AD29" s="340"/>
      <c r="AE29" s="340"/>
      <c r="AF29" s="340"/>
      <c r="AG29" s="340"/>
      <c r="AH29" s="340"/>
      <c r="AI29" s="340"/>
      <c r="AJ29" s="340"/>
      <c r="AK29" s="340"/>
      <c r="AL29" s="340"/>
      <c r="AM29" s="340"/>
      <c r="AN29" s="340"/>
      <c r="AO29" s="340"/>
      <c r="AP29" s="340"/>
      <c r="AQ29" s="340"/>
    </row>
    <row r="30" spans="1:43">
      <c r="I30" s="402" t="s">
        <v>208</v>
      </c>
      <c r="J30" s="403">
        <f>3.3679/1000/(35.9/0.94/3600)</f>
        <v>0.31746444568245125</v>
      </c>
      <c r="K30" s="400"/>
      <c r="L30" s="400"/>
      <c r="M30" s="399"/>
      <c r="N30" s="769"/>
      <c r="O30" s="340"/>
      <c r="P30" s="340"/>
      <c r="Q30" s="340"/>
      <c r="R30" s="340"/>
      <c r="S30" s="340"/>
      <c r="T30" s="340"/>
      <c r="U30" s="340"/>
      <c r="V30" s="359"/>
      <c r="W30" s="359"/>
      <c r="X30" s="359"/>
      <c r="Y30" s="359"/>
      <c r="Z30" s="359"/>
      <c r="AA30" s="340"/>
      <c r="AB30" s="340"/>
      <c r="AC30" s="340"/>
      <c r="AD30" s="340"/>
      <c r="AE30" s="340"/>
      <c r="AF30" s="340"/>
      <c r="AG30" s="340"/>
      <c r="AH30" s="340"/>
      <c r="AI30" s="340"/>
      <c r="AJ30" s="340"/>
      <c r="AK30" s="340"/>
      <c r="AL30" s="340"/>
      <c r="AM30" s="340"/>
      <c r="AN30" s="340"/>
      <c r="AO30" s="340"/>
      <c r="AP30" s="340"/>
      <c r="AQ30" s="340"/>
    </row>
    <row r="31" spans="1:43">
      <c r="A31" s="733"/>
      <c r="B31" s="734"/>
      <c r="C31" s="734"/>
      <c r="D31" s="734"/>
      <c r="E31" s="734"/>
      <c r="F31" s="734"/>
      <c r="G31" s="735"/>
      <c r="I31" s="402" t="s">
        <v>207</v>
      </c>
      <c r="J31" s="403">
        <f>3.0567/1000/(29.31/0.96/3600)</f>
        <v>0.36042153531218019</v>
      </c>
      <c r="K31" s="400"/>
      <c r="L31" s="400"/>
      <c r="M31" s="399"/>
      <c r="N31" s="769"/>
      <c r="O31" s="340"/>
      <c r="P31" s="340"/>
      <c r="Q31" s="340"/>
      <c r="R31" s="340"/>
      <c r="S31" s="340"/>
      <c r="T31" s="340"/>
      <c r="U31" s="340"/>
      <c r="V31" s="359"/>
      <c r="W31" s="359"/>
      <c r="X31" s="359"/>
      <c r="Y31" s="359"/>
      <c r="Z31" s="359"/>
      <c r="AA31" s="340"/>
      <c r="AB31" s="340"/>
      <c r="AC31" s="340"/>
      <c r="AD31" s="340"/>
      <c r="AE31" s="340"/>
      <c r="AF31" s="340"/>
      <c r="AG31" s="340"/>
      <c r="AH31" s="340"/>
      <c r="AI31" s="340"/>
      <c r="AJ31" s="340"/>
      <c r="AK31" s="340"/>
      <c r="AL31" s="340"/>
      <c r="AM31" s="340"/>
      <c r="AN31" s="340"/>
      <c r="AO31" s="340"/>
      <c r="AP31" s="340"/>
      <c r="AQ31" s="340"/>
    </row>
    <row r="32" spans="1:43">
      <c r="A32" s="223"/>
      <c r="B32" s="223"/>
      <c r="C32" s="223"/>
      <c r="D32" s="223"/>
      <c r="E32" s="223"/>
      <c r="F32" s="223"/>
      <c r="G32" s="223"/>
      <c r="I32" s="402" t="s">
        <v>206</v>
      </c>
      <c r="J32" s="449">
        <v>0</v>
      </c>
      <c r="K32" s="400"/>
      <c r="L32" s="400"/>
      <c r="M32" s="399"/>
      <c r="N32" s="769"/>
      <c r="O32" s="340"/>
      <c r="P32" s="340"/>
      <c r="Q32" s="340"/>
      <c r="R32" s="340"/>
      <c r="S32" s="340"/>
      <c r="T32" s="340"/>
      <c r="U32" s="340"/>
      <c r="V32" s="359"/>
      <c r="W32" s="359"/>
      <c r="X32" s="359"/>
      <c r="Y32" s="359"/>
      <c r="Z32" s="359"/>
      <c r="AA32" s="340"/>
      <c r="AB32" s="340"/>
      <c r="AC32" s="340"/>
      <c r="AD32" s="340"/>
      <c r="AE32" s="340"/>
      <c r="AF32" s="340"/>
      <c r="AG32" s="340"/>
      <c r="AH32" s="340"/>
      <c r="AI32" s="340"/>
      <c r="AJ32" s="340"/>
      <c r="AK32" s="340"/>
      <c r="AL32" s="340"/>
      <c r="AM32" s="340"/>
      <c r="AN32" s="340"/>
      <c r="AO32" s="340"/>
      <c r="AP32" s="340"/>
      <c r="AQ32" s="340"/>
    </row>
    <row r="33" spans="1:43" ht="15.6">
      <c r="A33" s="224" t="s">
        <v>105</v>
      </c>
      <c r="B33" s="461"/>
      <c r="C33" s="461"/>
      <c r="D33" s="461"/>
      <c r="E33" s="461"/>
      <c r="F33" s="461"/>
      <c r="G33" s="461"/>
      <c r="I33" s="402" t="s">
        <v>205</v>
      </c>
      <c r="J33" s="401"/>
      <c r="K33" s="400"/>
      <c r="L33" s="400"/>
      <c r="M33" s="399"/>
      <c r="N33" s="769"/>
      <c r="O33" s="340"/>
      <c r="P33" s="340"/>
      <c r="Q33" s="340"/>
      <c r="R33" s="340"/>
      <c r="S33" s="340"/>
      <c r="T33" s="340"/>
      <c r="U33" s="340"/>
      <c r="V33" s="359"/>
      <c r="W33" s="359"/>
      <c r="X33" s="359"/>
      <c r="Y33" s="359"/>
      <c r="Z33" s="359"/>
      <c r="AA33" s="340"/>
      <c r="AB33" s="340"/>
      <c r="AC33" s="340"/>
      <c r="AD33" s="340"/>
      <c r="AE33" s="340"/>
      <c r="AF33" s="340"/>
      <c r="AG33" s="340"/>
      <c r="AH33" s="340"/>
      <c r="AI33" s="340"/>
      <c r="AJ33" s="340"/>
      <c r="AK33" s="340"/>
      <c r="AL33" s="340"/>
      <c r="AM33" s="340"/>
      <c r="AN33" s="340"/>
      <c r="AO33" s="340"/>
      <c r="AP33" s="340"/>
      <c r="AQ33" s="340"/>
    </row>
    <row r="34" spans="1:43" ht="13.8" thickBot="1">
      <c r="F34" s="220"/>
      <c r="I34" s="398" t="s">
        <v>205</v>
      </c>
      <c r="J34" s="397"/>
      <c r="K34" s="396"/>
      <c r="L34" s="396"/>
      <c r="M34" s="395"/>
      <c r="N34" s="770"/>
      <c r="O34" s="340"/>
      <c r="P34" s="340"/>
      <c r="Q34" s="340"/>
      <c r="R34" s="340"/>
      <c r="S34" s="340"/>
      <c r="T34" s="340"/>
      <c r="U34" s="340"/>
      <c r="V34" s="359"/>
      <c r="W34" s="359"/>
      <c r="X34" s="359"/>
      <c r="Y34" s="359"/>
      <c r="Z34" s="359"/>
      <c r="AA34" s="340"/>
      <c r="AB34" s="340"/>
      <c r="AC34" s="340"/>
      <c r="AD34" s="340"/>
      <c r="AE34" s="340"/>
      <c r="AF34" s="340"/>
      <c r="AG34" s="340"/>
      <c r="AH34" s="340"/>
      <c r="AI34" s="340"/>
      <c r="AJ34" s="340"/>
      <c r="AK34" s="340"/>
      <c r="AL34" s="340"/>
      <c r="AM34" s="340"/>
      <c r="AN34" s="340"/>
      <c r="AO34" s="340"/>
      <c r="AP34" s="340"/>
      <c r="AQ34" s="340"/>
    </row>
    <row r="35" spans="1:43" ht="13.8" thickBot="1">
      <c r="A35" t="str">
        <f>Paramètres!C5</f>
        <v>Electricité 
achetée</v>
      </c>
      <c r="B35" s="488"/>
      <c r="C35" t="s">
        <v>104</v>
      </c>
      <c r="F35" s="220"/>
      <c r="I35" s="340"/>
      <c r="J35" s="340"/>
      <c r="K35" s="340"/>
      <c r="L35" s="357"/>
      <c r="M35" s="340"/>
      <c r="N35" s="340"/>
      <c r="O35" s="340"/>
      <c r="P35" s="340"/>
      <c r="Q35" s="340"/>
      <c r="R35" s="340"/>
      <c r="S35" s="340"/>
      <c r="T35" s="340"/>
      <c r="U35" s="340"/>
      <c r="V35" s="359"/>
      <c r="W35" s="359"/>
      <c r="X35" s="359"/>
      <c r="Y35" s="359"/>
      <c r="Z35" s="359"/>
      <c r="AA35" s="340"/>
      <c r="AB35" s="340"/>
      <c r="AC35" s="340"/>
      <c r="AD35" s="340"/>
      <c r="AE35" s="340"/>
      <c r="AF35" s="340"/>
      <c r="AG35" s="340"/>
      <c r="AH35" s="340"/>
      <c r="AI35" s="340"/>
      <c r="AJ35" s="340"/>
      <c r="AK35" s="340"/>
      <c r="AL35" s="340"/>
      <c r="AM35" s="340"/>
      <c r="AN35" s="340"/>
      <c r="AO35" s="340"/>
      <c r="AP35" s="340"/>
      <c r="AQ35" s="340"/>
    </row>
    <row r="36" spans="1:43" ht="13.8" thickBot="1">
      <c r="A36" t="str">
        <f>Paramètres!D5</f>
        <v>Gaz Naturel</v>
      </c>
      <c r="B36" s="488"/>
      <c r="C36" s="168" t="s">
        <v>119</v>
      </c>
      <c r="F36" s="220"/>
      <c r="G36" s="168"/>
      <c r="H36" s="1"/>
      <c r="I36" s="340"/>
      <c r="J36" s="340"/>
      <c r="K36" s="340"/>
      <c r="L36" s="394" t="s">
        <v>204</v>
      </c>
      <c r="M36" s="773">
        <f>(((K26-L26)*M26)+((K27-L27)*M27)+((K28-L28)*M28)+((K29-L29)*M29)+((K30-L30)*M30)+((K31-L31)*M31)+((K32-L32)*M32)+((K33-L33)*M33)+((K34-L34)*M34))</f>
        <v>0</v>
      </c>
      <c r="N36" s="774"/>
      <c r="O36" s="340"/>
      <c r="P36" s="340"/>
      <c r="Q36" s="340"/>
      <c r="R36" s="340"/>
      <c r="S36" s="340"/>
      <c r="T36" s="340"/>
      <c r="U36" s="340"/>
      <c r="V36" s="359"/>
      <c r="W36" s="359"/>
      <c r="X36" s="359"/>
      <c r="Y36" s="359"/>
      <c r="Z36" s="359"/>
      <c r="AA36" s="340"/>
      <c r="AB36" s="340"/>
      <c r="AC36" s="340"/>
      <c r="AD36" s="340"/>
      <c r="AE36" s="340"/>
      <c r="AF36" s="340"/>
      <c r="AG36" s="340"/>
      <c r="AH36" s="340"/>
      <c r="AI36" s="340"/>
      <c r="AJ36" s="340"/>
      <c r="AK36" s="340"/>
      <c r="AL36" s="340"/>
      <c r="AM36" s="340"/>
      <c r="AN36" s="340"/>
      <c r="AO36" s="340"/>
      <c r="AP36" s="340"/>
      <c r="AQ36" s="340"/>
    </row>
    <row r="37" spans="1:43" ht="13.8" thickBot="1">
      <c r="B37" s="220"/>
      <c r="C37" s="168"/>
      <c r="F37" s="220"/>
      <c r="G37" s="168"/>
      <c r="H37" s="1"/>
      <c r="I37" s="340"/>
      <c r="J37" s="340"/>
      <c r="K37" s="340"/>
      <c r="L37" s="393" t="s">
        <v>203</v>
      </c>
      <c r="M37" s="773">
        <f>IF(J18="OUI",((((K27-L27)*J27)+((K28-L28)*J28)+((K29-L29)*J29)+((K30-L30)*J30)+((K31-L31)*J31)+((K32-L32)*J32)+((K33-L33)*J33)+((K34-L34)*J34)))*N26,0)</f>
        <v>0</v>
      </c>
      <c r="N37" s="774"/>
      <c r="O37" s="340"/>
      <c r="P37" s="340"/>
      <c r="Q37" s="340"/>
      <c r="R37" s="340"/>
      <c r="S37" s="340"/>
      <c r="T37" s="340"/>
      <c r="U37" s="340"/>
      <c r="V37" s="359"/>
      <c r="W37" s="359"/>
      <c r="X37" s="359"/>
      <c r="Y37" s="359"/>
      <c r="Z37" s="359"/>
      <c r="AA37" s="340"/>
      <c r="AB37" s="340"/>
      <c r="AC37" s="340"/>
      <c r="AD37" s="340"/>
      <c r="AE37" s="340"/>
      <c r="AF37" s="340"/>
      <c r="AG37" s="340"/>
      <c r="AH37" s="340"/>
      <c r="AI37" s="340"/>
      <c r="AJ37" s="340"/>
      <c r="AK37" s="340"/>
      <c r="AL37" s="340"/>
      <c r="AM37" s="340"/>
      <c r="AN37" s="340"/>
      <c r="AO37" s="340"/>
      <c r="AP37" s="340"/>
      <c r="AQ37" s="340"/>
    </row>
    <row r="38" spans="1:43">
      <c r="A38" s="168"/>
      <c r="B38" s="220"/>
      <c r="F38" s="220"/>
      <c r="G38" s="168"/>
      <c r="H38" s="1"/>
      <c r="I38" s="340"/>
      <c r="J38" s="340"/>
      <c r="K38" s="340"/>
      <c r="L38" s="392"/>
      <c r="M38" s="391"/>
      <c r="N38" s="391"/>
      <c r="O38" s="340"/>
      <c r="P38" s="340"/>
      <c r="Q38" s="340"/>
      <c r="R38" s="340"/>
      <c r="S38" s="340"/>
      <c r="T38" s="340"/>
      <c r="U38" s="340"/>
      <c r="V38" s="359"/>
      <c r="W38" s="359"/>
      <c r="X38" s="359"/>
      <c r="Y38" s="359"/>
      <c r="Z38" s="359"/>
      <c r="AA38" s="340"/>
      <c r="AB38" s="340"/>
      <c r="AC38" s="340"/>
      <c r="AD38" s="340"/>
      <c r="AE38" s="340"/>
      <c r="AF38" s="340"/>
      <c r="AG38" s="340"/>
      <c r="AH38" s="340"/>
      <c r="AI38" s="340"/>
      <c r="AJ38" s="340"/>
      <c r="AK38" s="340"/>
      <c r="AL38" s="340"/>
      <c r="AM38" s="340"/>
      <c r="AN38" s="340"/>
      <c r="AO38" s="340"/>
      <c r="AP38" s="340"/>
      <c r="AQ38" s="340"/>
    </row>
    <row r="39" spans="1:43" ht="13.8" thickBot="1">
      <c r="B39" s="220"/>
      <c r="F39" s="222"/>
      <c r="I39" s="340"/>
      <c r="J39" s="340"/>
      <c r="K39" s="340"/>
      <c r="L39" s="392"/>
      <c r="M39" s="391"/>
      <c r="N39" s="391"/>
      <c r="O39" s="391"/>
      <c r="P39" s="391"/>
      <c r="Q39" s="340"/>
      <c r="R39" s="340"/>
      <c r="S39" s="340"/>
      <c r="T39" s="340"/>
      <c r="U39" s="340"/>
      <c r="V39" s="340"/>
      <c r="W39" s="340"/>
      <c r="X39" s="359"/>
      <c r="Y39" s="359"/>
      <c r="Z39" s="359"/>
      <c r="AA39" s="359"/>
      <c r="AB39" s="359"/>
      <c r="AC39" s="340"/>
      <c r="AD39" s="340"/>
      <c r="AE39" s="340"/>
      <c r="AF39" s="340"/>
      <c r="AG39" s="340"/>
      <c r="AH39" s="340"/>
      <c r="AI39" s="340"/>
      <c r="AJ39" s="340"/>
      <c r="AK39" s="340"/>
      <c r="AL39" s="340"/>
      <c r="AM39" s="340"/>
      <c r="AN39" s="340"/>
      <c r="AO39" s="340"/>
      <c r="AP39" s="340"/>
      <c r="AQ39" s="340"/>
    </row>
    <row r="40" spans="1:43" ht="16.2" thickBot="1">
      <c r="B40" s="221"/>
      <c r="F40" s="220"/>
      <c r="I40" s="765" t="s">
        <v>202</v>
      </c>
      <c r="J40" s="766"/>
      <c r="K40" s="766"/>
      <c r="L40" s="766"/>
      <c r="M40" s="766"/>
      <c r="N40" s="766"/>
      <c r="O40" s="766"/>
      <c r="P40" s="767"/>
      <c r="Q40" s="340"/>
      <c r="R40" s="340"/>
      <c r="S40" s="340"/>
      <c r="T40" s="340"/>
      <c r="U40" s="340"/>
      <c r="V40" s="340"/>
      <c r="W40" s="340"/>
      <c r="X40" s="359"/>
      <c r="Y40" s="359"/>
      <c r="Z40" s="359"/>
      <c r="AA40" s="359"/>
      <c r="AB40" s="359"/>
      <c r="AC40" s="340"/>
      <c r="AD40" s="340"/>
      <c r="AE40" s="340"/>
      <c r="AF40" s="340"/>
      <c r="AG40" s="340"/>
      <c r="AH40" s="340"/>
      <c r="AI40" s="340"/>
      <c r="AJ40" s="340"/>
      <c r="AK40" s="340"/>
      <c r="AL40" s="340"/>
      <c r="AM40" s="340"/>
      <c r="AN40" s="340"/>
      <c r="AO40" s="340"/>
      <c r="AP40" s="340"/>
      <c r="AQ40" s="340"/>
    </row>
    <row r="41" spans="1:43" ht="13.8" thickBot="1">
      <c r="F41" s="220"/>
      <c r="I41" s="761"/>
      <c r="J41" s="761"/>
      <c r="K41" s="761"/>
      <c r="L41" s="761"/>
      <c r="M41" s="761"/>
      <c r="N41" s="340"/>
      <c r="O41" s="340"/>
      <c r="P41" s="340"/>
      <c r="Q41" s="340"/>
      <c r="R41" s="340"/>
      <c r="S41" s="340"/>
      <c r="T41" s="340"/>
      <c r="U41" s="340"/>
      <c r="V41" s="340"/>
      <c r="W41" s="340"/>
      <c r="X41" s="340"/>
      <c r="Y41" s="340"/>
      <c r="Z41" s="359"/>
      <c r="AA41" s="359"/>
      <c r="AB41" s="359"/>
      <c r="AC41" s="340"/>
      <c r="AD41" s="340"/>
      <c r="AE41" s="340"/>
      <c r="AF41" s="340"/>
      <c r="AG41" s="340"/>
      <c r="AH41" s="340"/>
      <c r="AI41" s="340"/>
      <c r="AJ41" s="340"/>
      <c r="AK41" s="340"/>
      <c r="AL41" s="340"/>
      <c r="AM41" s="340"/>
      <c r="AN41" s="340"/>
      <c r="AO41" s="340"/>
      <c r="AP41" s="340"/>
      <c r="AQ41" s="340"/>
    </row>
    <row r="42" spans="1:43">
      <c r="B42" s="219"/>
      <c r="I42" s="762" t="s">
        <v>201</v>
      </c>
      <c r="J42" s="736" t="s">
        <v>200</v>
      </c>
      <c r="K42" s="368" t="s">
        <v>170</v>
      </c>
      <c r="L42" s="390"/>
      <c r="M42" s="371" t="s">
        <v>195</v>
      </c>
      <c r="N42" s="340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0"/>
      <c r="Z42" s="359"/>
      <c r="AA42" s="359"/>
      <c r="AB42" s="359"/>
      <c r="AC42" s="359"/>
      <c r="AD42" s="340"/>
      <c r="AE42" s="340"/>
      <c r="AF42" s="340"/>
      <c r="AG42" s="340"/>
      <c r="AH42" s="340"/>
      <c r="AI42" s="340"/>
      <c r="AJ42" s="340"/>
      <c r="AK42" s="340"/>
      <c r="AL42" s="340"/>
      <c r="AM42" s="340"/>
      <c r="AN42" s="340"/>
      <c r="AO42" s="340"/>
      <c r="AP42" s="340"/>
      <c r="AQ42" s="340"/>
    </row>
    <row r="43" spans="1:43" ht="16.2" thickBot="1">
      <c r="A43" s="224" t="s">
        <v>103</v>
      </c>
      <c r="B43" s="461"/>
      <c r="C43" s="461"/>
      <c r="D43" s="461"/>
      <c r="E43" s="461"/>
      <c r="F43" s="461"/>
      <c r="G43" s="461"/>
      <c r="I43" s="763"/>
      <c r="J43" s="737"/>
      <c r="K43" s="364" t="s">
        <v>169</v>
      </c>
      <c r="L43" s="365"/>
      <c r="M43" s="364" t="s">
        <v>195</v>
      </c>
      <c r="N43" s="340"/>
      <c r="O43" s="340"/>
      <c r="P43" s="340"/>
      <c r="Q43" s="340"/>
      <c r="R43" s="340"/>
      <c r="S43" s="340"/>
      <c r="T43" s="340"/>
      <c r="U43" s="340"/>
      <c r="V43" s="340"/>
      <c r="W43" s="340"/>
      <c r="X43" s="340"/>
      <c r="Y43" s="340"/>
      <c r="Z43" s="359"/>
      <c r="AA43" s="359"/>
      <c r="AB43" s="359"/>
      <c r="AC43" s="359"/>
      <c r="AD43" s="340"/>
      <c r="AE43" s="340"/>
      <c r="AF43" s="340"/>
      <c r="AG43" s="340"/>
      <c r="AH43" s="340"/>
      <c r="AI43" s="340"/>
      <c r="AJ43" s="340"/>
      <c r="AK43" s="340"/>
      <c r="AL43" s="340"/>
      <c r="AM43" s="340"/>
      <c r="AN43" s="340"/>
      <c r="AO43" s="340"/>
      <c r="AP43" s="340"/>
      <c r="AQ43" s="340"/>
    </row>
    <row r="44" spans="1:43">
      <c r="G44" s="201"/>
      <c r="I44" s="763"/>
      <c r="J44" s="737" t="s">
        <v>199</v>
      </c>
      <c r="K44" s="379" t="s">
        <v>198</v>
      </c>
      <c r="L44" s="378"/>
      <c r="M44" s="371" t="s">
        <v>195</v>
      </c>
      <c r="N44" s="340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0"/>
      <c r="Z44" s="359"/>
      <c r="AA44" s="359"/>
      <c r="AB44" s="359"/>
      <c r="AC44" s="359"/>
      <c r="AD44" s="340"/>
      <c r="AE44" s="340"/>
      <c r="AF44" s="340"/>
      <c r="AG44" s="340"/>
      <c r="AH44" s="340"/>
      <c r="AI44" s="340"/>
      <c r="AJ44" s="340"/>
      <c r="AK44" s="340"/>
      <c r="AL44" s="340"/>
      <c r="AM44" s="340"/>
      <c r="AN44" s="340"/>
      <c r="AO44" s="340"/>
      <c r="AP44" s="340"/>
      <c r="AQ44" s="340"/>
    </row>
    <row r="45" spans="1:43" ht="13.8" thickBot="1">
      <c r="A45" s="732"/>
      <c r="B45" s="732"/>
      <c r="C45" s="732"/>
      <c r="D45" s="732"/>
      <c r="E45" s="732"/>
      <c r="F45" s="648"/>
      <c r="G45" s="519" t="s">
        <v>20</v>
      </c>
      <c r="I45" s="763"/>
      <c r="J45" s="737"/>
      <c r="K45" s="377" t="s">
        <v>197</v>
      </c>
      <c r="L45" s="389"/>
      <c r="M45" s="364" t="s">
        <v>195</v>
      </c>
      <c r="N45" s="340"/>
      <c r="O45" s="340"/>
      <c r="P45" s="340"/>
      <c r="Q45" s="340"/>
      <c r="R45" s="340"/>
      <c r="S45" s="340"/>
      <c r="T45" s="340"/>
      <c r="U45" s="340"/>
      <c r="V45" s="340"/>
      <c r="W45" s="340"/>
      <c r="X45" s="340"/>
      <c r="Y45" s="340"/>
      <c r="Z45" s="359"/>
      <c r="AA45" s="359"/>
      <c r="AB45" s="359"/>
      <c r="AC45" s="359"/>
      <c r="AD45" s="340"/>
      <c r="AE45" s="340"/>
      <c r="AF45" s="340"/>
      <c r="AG45" s="340"/>
      <c r="AH45" s="340"/>
      <c r="AI45" s="340"/>
      <c r="AJ45" s="340"/>
      <c r="AK45" s="340"/>
      <c r="AL45" s="340"/>
      <c r="AM45" s="340"/>
      <c r="AN45" s="340"/>
      <c r="AO45" s="340"/>
      <c r="AP45" s="340"/>
      <c r="AQ45" s="340"/>
    </row>
    <row r="46" spans="1:43" ht="13.8" thickBot="1">
      <c r="A46" s="730"/>
      <c r="B46" s="730"/>
      <c r="C46" s="730"/>
      <c r="D46" s="730"/>
      <c r="E46" s="730"/>
      <c r="F46" s="460"/>
      <c r="G46" s="201"/>
      <c r="I46" s="764"/>
      <c r="J46" s="388" t="s">
        <v>196</v>
      </c>
      <c r="K46" s="360" t="s">
        <v>158</v>
      </c>
      <c r="L46" s="387"/>
      <c r="M46" s="369" t="s">
        <v>195</v>
      </c>
      <c r="N46" s="340"/>
      <c r="O46" s="340"/>
      <c r="P46" s="340"/>
      <c r="Q46" s="340"/>
      <c r="R46" s="340"/>
      <c r="S46" s="340"/>
      <c r="T46" s="340"/>
      <c r="U46" s="340"/>
      <c r="V46" s="340"/>
      <c r="W46" s="340"/>
      <c r="X46" s="340"/>
      <c r="Y46" s="340"/>
      <c r="Z46" s="359"/>
      <c r="AA46" s="359"/>
      <c r="AB46" s="359"/>
      <c r="AC46" s="359"/>
      <c r="AD46" s="340"/>
      <c r="AE46" s="340"/>
      <c r="AF46" s="340"/>
      <c r="AG46" s="340"/>
      <c r="AH46" s="340"/>
      <c r="AI46" s="340"/>
      <c r="AJ46" s="340"/>
      <c r="AK46" s="340"/>
      <c r="AL46" s="340"/>
      <c r="AM46" s="340"/>
      <c r="AN46" s="340"/>
      <c r="AO46" s="340"/>
      <c r="AP46" s="340"/>
      <c r="AQ46" s="340"/>
    </row>
    <row r="47" spans="1:43" ht="13.8" thickBot="1">
      <c r="A47" s="730"/>
      <c r="B47" s="730"/>
      <c r="C47" s="730"/>
      <c r="D47" s="730"/>
      <c r="E47" s="730"/>
      <c r="F47" s="460"/>
      <c r="G47" s="201"/>
      <c r="I47" s="386"/>
      <c r="J47" s="384"/>
      <c r="K47" s="384"/>
      <c r="L47" s="385"/>
      <c r="M47" s="384"/>
      <c r="N47" s="340"/>
      <c r="O47" s="340"/>
      <c r="P47" s="340"/>
      <c r="Q47" s="340"/>
      <c r="R47" s="340"/>
      <c r="S47" s="340"/>
      <c r="T47" s="340"/>
      <c r="U47" s="340"/>
      <c r="V47" s="340"/>
      <c r="W47" s="340"/>
      <c r="X47" s="340"/>
      <c r="Y47" s="340"/>
      <c r="Z47" s="359"/>
      <c r="AA47" s="359"/>
      <c r="AB47" s="359"/>
      <c r="AC47" s="359"/>
      <c r="AD47" s="340"/>
      <c r="AE47" s="340"/>
      <c r="AF47" s="340"/>
      <c r="AG47" s="340"/>
      <c r="AH47" s="340"/>
      <c r="AI47" s="340"/>
      <c r="AJ47" s="340"/>
      <c r="AK47" s="340"/>
      <c r="AL47" s="340"/>
      <c r="AM47" s="340"/>
      <c r="AN47" s="340"/>
      <c r="AO47" s="340"/>
      <c r="AP47" s="340"/>
      <c r="AQ47" s="340"/>
    </row>
    <row r="48" spans="1:43" ht="13.8" thickBot="1">
      <c r="A48" s="731" t="s">
        <v>102</v>
      </c>
      <c r="B48" s="731"/>
      <c r="C48" s="731"/>
      <c r="D48" s="731"/>
      <c r="E48" s="731"/>
      <c r="F48" s="489">
        <f>SUM(F45:F47)/1000</f>
        <v>0</v>
      </c>
      <c r="G48" s="214"/>
      <c r="I48" s="775" t="s">
        <v>194</v>
      </c>
      <c r="J48" s="382" t="s">
        <v>193</v>
      </c>
      <c r="K48" s="381" t="s">
        <v>192</v>
      </c>
      <c r="L48" s="380"/>
      <c r="M48" s="371" t="s">
        <v>176</v>
      </c>
      <c r="N48" s="340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0"/>
      <c r="Z48" s="359"/>
      <c r="AA48" s="359"/>
      <c r="AB48" s="359"/>
      <c r="AC48" s="359"/>
      <c r="AD48" s="340"/>
      <c r="AE48" s="340"/>
      <c r="AF48" s="340"/>
      <c r="AG48" s="340"/>
      <c r="AH48" s="340"/>
      <c r="AI48" s="340"/>
      <c r="AJ48" s="340"/>
      <c r="AK48" s="340"/>
      <c r="AL48" s="340"/>
      <c r="AM48" s="340"/>
      <c r="AN48" s="340"/>
      <c r="AO48" s="340"/>
      <c r="AP48" s="340"/>
      <c r="AQ48" s="340"/>
    </row>
    <row r="49" spans="1:43">
      <c r="A49" s="217"/>
      <c r="B49" s="218"/>
      <c r="C49" s="217"/>
      <c r="D49" s="217"/>
      <c r="E49" s="217"/>
      <c r="I49" s="776"/>
      <c r="J49" s="737" t="s">
        <v>191</v>
      </c>
      <c r="K49" s="379" t="s">
        <v>190</v>
      </c>
      <c r="L49" s="378"/>
      <c r="M49" s="371" t="s">
        <v>176</v>
      </c>
      <c r="N49" s="340"/>
      <c r="O49" s="340"/>
      <c r="P49" s="340"/>
      <c r="Q49" s="340"/>
      <c r="R49" s="340"/>
      <c r="S49" s="340"/>
      <c r="T49" s="340"/>
      <c r="U49" s="340"/>
      <c r="V49" s="340"/>
      <c r="W49" s="340"/>
      <c r="X49" s="340"/>
      <c r="Y49" s="340"/>
      <c r="Z49" s="359"/>
      <c r="AA49" s="359"/>
      <c r="AB49" s="359"/>
      <c r="AC49" s="359"/>
      <c r="AD49" s="340"/>
      <c r="AE49" s="340"/>
      <c r="AF49" s="340"/>
      <c r="AG49" s="340"/>
      <c r="AH49" s="340"/>
      <c r="AI49" s="340"/>
      <c r="AJ49" s="340"/>
      <c r="AK49" s="340"/>
      <c r="AL49" s="340"/>
      <c r="AM49" s="340"/>
      <c r="AN49" s="340"/>
      <c r="AO49" s="340"/>
      <c r="AP49" s="340"/>
      <c r="AQ49" s="340"/>
    </row>
    <row r="50" spans="1:43" ht="16.2" thickBot="1">
      <c r="A50" s="224" t="s">
        <v>101</v>
      </c>
      <c r="B50" s="461"/>
      <c r="C50" s="461"/>
      <c r="D50" s="461"/>
      <c r="E50" s="461"/>
      <c r="F50" s="461"/>
      <c r="G50" s="461"/>
      <c r="I50" s="776"/>
      <c r="J50" s="737"/>
      <c r="K50" s="377" t="s">
        <v>189</v>
      </c>
      <c r="L50" s="376"/>
      <c r="M50" s="360" t="s">
        <v>188</v>
      </c>
      <c r="N50" s="340"/>
      <c r="O50" s="340"/>
      <c r="P50" s="340"/>
      <c r="Q50" s="340"/>
      <c r="R50" s="340"/>
      <c r="S50" s="340"/>
      <c r="T50" s="340"/>
      <c r="U50" s="340"/>
      <c r="V50" s="340"/>
      <c r="W50" s="340"/>
      <c r="X50" s="340"/>
      <c r="Y50" s="340"/>
      <c r="Z50" s="359"/>
      <c r="AA50" s="359"/>
      <c r="AB50" s="359"/>
      <c r="AC50" s="359"/>
      <c r="AD50" s="340"/>
      <c r="AE50" s="340"/>
      <c r="AF50" s="340"/>
      <c r="AG50" s="340"/>
      <c r="AH50" s="340"/>
      <c r="AI50" s="340"/>
      <c r="AJ50" s="340"/>
      <c r="AK50" s="340"/>
      <c r="AL50" s="340"/>
      <c r="AM50" s="340"/>
      <c r="AN50" s="340"/>
      <c r="AO50" s="340"/>
      <c r="AP50" s="340"/>
      <c r="AQ50" s="340"/>
    </row>
    <row r="51" spans="1:43">
      <c r="A51" s="730"/>
      <c r="B51" s="730"/>
      <c r="C51" s="730"/>
      <c r="D51" s="730"/>
      <c r="E51" s="730"/>
      <c r="F51" s="216"/>
      <c r="G51" s="201" t="s">
        <v>99</v>
      </c>
      <c r="I51" s="776"/>
      <c r="J51" s="737" t="s">
        <v>187</v>
      </c>
      <c r="K51" s="375" t="s">
        <v>186</v>
      </c>
      <c r="L51" s="374">
        <f>M36/1000</f>
        <v>0</v>
      </c>
      <c r="M51" s="371" t="s">
        <v>176</v>
      </c>
      <c r="N51" s="340"/>
      <c r="O51" s="340"/>
      <c r="P51" s="340"/>
      <c r="Q51" s="340"/>
      <c r="R51" s="340"/>
      <c r="S51" s="340"/>
      <c r="T51" s="340"/>
      <c r="U51" s="340"/>
      <c r="V51" s="340"/>
      <c r="W51" s="340"/>
      <c r="X51" s="340"/>
      <c r="Y51" s="340"/>
      <c r="Z51" s="359"/>
      <c r="AA51" s="359"/>
      <c r="AB51" s="359"/>
      <c r="AC51" s="359"/>
      <c r="AD51" s="340"/>
      <c r="AE51" s="340"/>
      <c r="AF51" s="340"/>
      <c r="AG51" s="340"/>
      <c r="AH51" s="340"/>
      <c r="AI51" s="340"/>
      <c r="AJ51" s="340"/>
      <c r="AK51" s="340"/>
      <c r="AL51" s="340"/>
      <c r="AM51" s="340"/>
      <c r="AN51" s="340"/>
      <c r="AO51" s="340"/>
      <c r="AP51" s="340"/>
      <c r="AQ51" s="340"/>
    </row>
    <row r="52" spans="1:43" ht="13.8" thickBot="1">
      <c r="A52" s="730"/>
      <c r="B52" s="730"/>
      <c r="C52" s="730"/>
      <c r="D52" s="730"/>
      <c r="E52" s="730"/>
      <c r="F52" s="216"/>
      <c r="G52" s="201" t="s">
        <v>99</v>
      </c>
      <c r="I52" s="776"/>
      <c r="J52" s="749"/>
      <c r="K52" s="366" t="s">
        <v>185</v>
      </c>
      <c r="L52" s="373">
        <f>M37/1000</f>
        <v>0</v>
      </c>
      <c r="M52" s="364" t="s">
        <v>176</v>
      </c>
      <c r="N52" s="340"/>
      <c r="O52" s="340"/>
      <c r="P52" s="340"/>
      <c r="Q52" s="340"/>
      <c r="R52" s="340"/>
      <c r="S52" s="340"/>
      <c r="T52" s="340"/>
      <c r="U52" s="340"/>
      <c r="V52" s="340"/>
      <c r="W52" s="340"/>
      <c r="X52" s="340"/>
      <c r="Y52" s="340"/>
      <c r="Z52" s="359"/>
      <c r="AA52" s="359"/>
      <c r="AB52" s="359"/>
      <c r="AC52" s="359"/>
      <c r="AD52" s="340"/>
      <c r="AE52" s="340"/>
      <c r="AF52" s="340"/>
      <c r="AG52" s="340"/>
      <c r="AH52" s="340"/>
      <c r="AI52" s="340"/>
      <c r="AJ52" s="340"/>
      <c r="AK52" s="340"/>
      <c r="AL52" s="340"/>
      <c r="AM52" s="340"/>
      <c r="AN52" s="340"/>
      <c r="AO52" s="340"/>
      <c r="AP52" s="340"/>
      <c r="AQ52" s="340"/>
    </row>
    <row r="53" spans="1:43" ht="13.8" thickBot="1">
      <c r="A53" s="730"/>
      <c r="B53" s="730"/>
      <c r="C53" s="730"/>
      <c r="D53" s="730"/>
      <c r="E53" s="730"/>
      <c r="F53" s="216"/>
      <c r="G53" s="201" t="s">
        <v>99</v>
      </c>
      <c r="I53" s="776"/>
      <c r="J53" s="372" t="s">
        <v>184</v>
      </c>
      <c r="K53" s="371" t="s">
        <v>183</v>
      </c>
      <c r="L53" s="370">
        <v>0</v>
      </c>
      <c r="M53" s="369" t="s">
        <v>176</v>
      </c>
      <c r="N53" s="340"/>
      <c r="O53" s="340"/>
      <c r="P53" s="340"/>
      <c r="Q53" s="340"/>
      <c r="R53" s="340"/>
      <c r="S53" s="340"/>
      <c r="T53" s="340"/>
      <c r="U53" s="340"/>
      <c r="V53" s="340"/>
      <c r="W53" s="340"/>
      <c r="X53" s="340"/>
      <c r="Y53" s="340"/>
      <c r="Z53" s="359"/>
      <c r="AA53" s="359"/>
      <c r="AB53" s="359"/>
      <c r="AC53" s="359"/>
      <c r="AD53" s="340"/>
      <c r="AE53" s="340"/>
      <c r="AF53" s="340"/>
      <c r="AG53" s="340"/>
      <c r="AH53" s="340"/>
      <c r="AI53" s="340"/>
      <c r="AJ53" s="340"/>
      <c r="AK53" s="340"/>
      <c r="AL53" s="340"/>
      <c r="AM53" s="340"/>
      <c r="AN53" s="340"/>
      <c r="AO53" s="340"/>
      <c r="AP53" s="340"/>
      <c r="AQ53" s="340"/>
    </row>
    <row r="54" spans="1:43">
      <c r="A54" s="731" t="s">
        <v>100</v>
      </c>
      <c r="B54" s="731"/>
      <c r="C54" s="731"/>
      <c r="D54" s="731"/>
      <c r="E54" s="731"/>
      <c r="F54" s="215">
        <f>SUM(F51:F53)</f>
        <v>0</v>
      </c>
      <c r="G54" s="214" t="s">
        <v>99</v>
      </c>
      <c r="I54" s="776"/>
      <c r="J54" s="747" t="s">
        <v>182</v>
      </c>
      <c r="K54" s="368" t="s">
        <v>181</v>
      </c>
      <c r="L54" s="365"/>
      <c r="M54" s="364" t="s">
        <v>176</v>
      </c>
      <c r="N54" s="340"/>
      <c r="O54" s="340"/>
      <c r="P54" s="340"/>
      <c r="Q54" s="340"/>
      <c r="R54" s="340"/>
      <c r="S54" s="340"/>
      <c r="T54" s="340"/>
      <c r="U54" s="340"/>
      <c r="V54" s="340"/>
      <c r="W54" s="340"/>
      <c r="X54" s="340"/>
      <c r="Y54" s="340"/>
      <c r="Z54" s="359"/>
      <c r="AA54" s="359"/>
      <c r="AB54" s="359"/>
      <c r="AC54" s="359"/>
      <c r="AD54" s="340"/>
      <c r="AE54" s="340"/>
      <c r="AF54" s="340"/>
      <c r="AG54" s="340"/>
      <c r="AH54" s="340"/>
      <c r="AI54" s="340"/>
      <c r="AJ54" s="340"/>
      <c r="AK54" s="340"/>
      <c r="AL54" s="340"/>
      <c r="AM54" s="340"/>
      <c r="AN54" s="340"/>
      <c r="AO54" s="340"/>
      <c r="AP54" s="340"/>
      <c r="AQ54" s="340"/>
    </row>
    <row r="55" spans="1:43" ht="26.4">
      <c r="A55" s="461"/>
      <c r="B55" s="461"/>
      <c r="C55" s="461"/>
      <c r="D55" s="461"/>
      <c r="E55" s="461"/>
      <c r="F55" s="461"/>
      <c r="G55" s="461"/>
      <c r="I55" s="776"/>
      <c r="J55" s="737"/>
      <c r="K55" s="366" t="s">
        <v>180</v>
      </c>
      <c r="L55" s="365"/>
      <c r="M55" s="364" t="s">
        <v>176</v>
      </c>
      <c r="N55" s="340"/>
      <c r="O55" s="340"/>
      <c r="P55" s="340"/>
      <c r="Q55" s="340"/>
      <c r="R55" s="340"/>
      <c r="S55" s="340"/>
      <c r="T55" s="340"/>
      <c r="U55" s="340"/>
      <c r="V55" s="340"/>
      <c r="W55" s="340"/>
      <c r="X55" s="340"/>
      <c r="Y55" s="340"/>
      <c r="Z55" s="359"/>
      <c r="AA55" s="359"/>
      <c r="AB55" s="359"/>
      <c r="AC55" s="359"/>
      <c r="AD55" s="340"/>
      <c r="AE55" s="340"/>
      <c r="AF55" s="340"/>
      <c r="AG55" s="340"/>
      <c r="AH55" s="340"/>
      <c r="AI55" s="340"/>
      <c r="AJ55" s="340"/>
      <c r="AK55" s="340"/>
      <c r="AL55" s="340"/>
      <c r="AM55" s="340"/>
      <c r="AN55" s="340"/>
      <c r="AO55" s="340"/>
      <c r="AP55" s="340"/>
      <c r="AQ55" s="340"/>
    </row>
    <row r="56" spans="1:43">
      <c r="A56" s="168"/>
      <c r="I56" s="776"/>
      <c r="J56" s="737"/>
      <c r="K56" s="366" t="s">
        <v>179</v>
      </c>
      <c r="L56" s="365"/>
      <c r="M56" s="364" t="s">
        <v>176</v>
      </c>
      <c r="N56" s="340"/>
      <c r="O56" s="340"/>
      <c r="P56" s="340"/>
      <c r="Q56" s="340"/>
      <c r="R56" s="340"/>
      <c r="S56" s="340"/>
      <c r="T56" s="340"/>
      <c r="U56" s="340"/>
      <c r="V56" s="340"/>
      <c r="W56" s="340"/>
      <c r="X56" s="340"/>
      <c r="Y56" s="340"/>
      <c r="Z56" s="359"/>
      <c r="AA56" s="359"/>
      <c r="AB56" s="359"/>
      <c r="AC56" s="359"/>
      <c r="AD56" s="340"/>
      <c r="AE56" s="340"/>
      <c r="AF56" s="340"/>
      <c r="AG56" s="340"/>
      <c r="AH56" s="340"/>
      <c r="AI56" s="340"/>
      <c r="AJ56" s="340"/>
      <c r="AK56" s="340"/>
      <c r="AL56" s="340"/>
      <c r="AM56" s="340"/>
      <c r="AN56" s="340"/>
      <c r="AO56" s="340"/>
      <c r="AP56" s="340"/>
      <c r="AQ56" s="340"/>
    </row>
    <row r="57" spans="1:43" ht="18" customHeight="1">
      <c r="A57" s="713" t="s">
        <v>125</v>
      </c>
      <c r="B57" s="714"/>
      <c r="C57" s="714"/>
      <c r="D57" s="714"/>
      <c r="E57" s="714"/>
      <c r="F57" s="714"/>
      <c r="G57" s="715"/>
      <c r="I57" s="776"/>
      <c r="J57" s="737"/>
      <c r="K57" s="366" t="s">
        <v>178</v>
      </c>
      <c r="L57" s="365"/>
      <c r="M57" s="364" t="s">
        <v>176</v>
      </c>
      <c r="N57" s="340"/>
      <c r="O57" s="340"/>
      <c r="P57" s="340"/>
      <c r="Q57" s="340"/>
      <c r="R57" s="340"/>
      <c r="S57" s="340"/>
      <c r="T57" s="340"/>
      <c r="U57" s="340"/>
      <c r="V57" s="340"/>
      <c r="W57" s="340"/>
      <c r="X57" s="340"/>
      <c r="Y57" s="340"/>
      <c r="Z57" s="359"/>
      <c r="AA57" s="359"/>
      <c r="AB57" s="359"/>
      <c r="AC57" s="359"/>
      <c r="AD57" s="340"/>
      <c r="AE57" s="340"/>
      <c r="AF57" s="340"/>
      <c r="AG57" s="340"/>
      <c r="AH57" s="340"/>
      <c r="AI57" s="340"/>
      <c r="AJ57" s="340"/>
      <c r="AK57" s="340"/>
      <c r="AL57" s="340"/>
      <c r="AM57" s="340"/>
      <c r="AN57" s="340"/>
      <c r="AO57" s="340"/>
      <c r="AP57" s="340"/>
      <c r="AQ57" s="340"/>
    </row>
    <row r="58" spans="1:43" ht="34.5" customHeight="1">
      <c r="A58" s="210" t="s">
        <v>98</v>
      </c>
      <c r="B58" s="211" t="s">
        <v>97</v>
      </c>
      <c r="C58" s="211" t="s">
        <v>6</v>
      </c>
      <c r="D58" s="716" t="s">
        <v>127</v>
      </c>
      <c r="E58" s="717"/>
      <c r="F58" s="210" t="s">
        <v>126</v>
      </c>
      <c r="G58" s="209"/>
      <c r="I58" s="776"/>
      <c r="J58" s="737"/>
      <c r="K58" s="366" t="s">
        <v>177</v>
      </c>
      <c r="L58" s="365"/>
      <c r="M58" s="364" t="s">
        <v>176</v>
      </c>
      <c r="N58" s="340"/>
      <c r="O58" s="340"/>
      <c r="P58" s="340"/>
      <c r="Q58" s="340"/>
      <c r="R58" s="340"/>
      <c r="S58" s="340"/>
      <c r="T58" s="340"/>
      <c r="U58" s="340"/>
      <c r="V58" s="340"/>
      <c r="W58" s="340"/>
      <c r="X58" s="340"/>
      <c r="Y58" s="340"/>
      <c r="Z58" s="359"/>
      <c r="AA58" s="359"/>
      <c r="AB58" s="359"/>
      <c r="AC58" s="359"/>
      <c r="AD58" s="340"/>
      <c r="AE58" s="340"/>
      <c r="AF58" s="340"/>
      <c r="AG58" s="340"/>
      <c r="AH58" s="340"/>
      <c r="AI58" s="340"/>
      <c r="AJ58" s="340"/>
      <c r="AK58" s="340"/>
      <c r="AL58" s="340"/>
      <c r="AM58" s="340"/>
      <c r="AN58" s="340"/>
      <c r="AO58" s="340"/>
      <c r="AP58" s="340"/>
      <c r="AQ58" s="340"/>
    </row>
    <row r="59" spans="1:43" ht="13.8" thickBot="1">
      <c r="A59" s="208" t="str">
        <f t="shared" ref="A59:C61" si="0">+A35</f>
        <v>Electricité 
achetée</v>
      </c>
      <c r="B59" s="207">
        <f t="shared" si="0"/>
        <v>0</v>
      </c>
      <c r="C59" t="str">
        <f t="shared" si="0"/>
        <v>kWh/an</v>
      </c>
      <c r="D59" s="213">
        <f>Paramètres!C10</f>
        <v>1</v>
      </c>
      <c r="E59" s="168" t="s">
        <v>128</v>
      </c>
      <c r="F59" s="244">
        <f>+B59*D59/1000</f>
        <v>0</v>
      </c>
      <c r="G59" s="242" t="s">
        <v>131</v>
      </c>
      <c r="I59" s="777"/>
      <c r="J59" s="748"/>
      <c r="K59" s="362" t="s">
        <v>82</v>
      </c>
      <c r="L59" s="361"/>
      <c r="M59" s="360" t="s">
        <v>176</v>
      </c>
      <c r="N59" s="340"/>
      <c r="O59" s="340"/>
      <c r="P59" s="340"/>
      <c r="Q59" s="340"/>
      <c r="R59" s="340"/>
      <c r="S59" s="340"/>
      <c r="T59" s="340"/>
      <c r="U59" s="340"/>
      <c r="V59" s="340"/>
      <c r="W59" s="340"/>
      <c r="X59" s="340"/>
      <c r="Y59" s="340"/>
      <c r="Z59" s="359"/>
      <c r="AA59" s="359"/>
      <c r="AB59" s="359"/>
      <c r="AC59" s="359"/>
      <c r="AD59" s="340"/>
      <c r="AE59" s="340"/>
      <c r="AF59" s="340"/>
      <c r="AG59" s="340"/>
      <c r="AH59" s="340"/>
      <c r="AI59" s="340"/>
      <c r="AJ59" s="340"/>
      <c r="AK59" s="340"/>
      <c r="AL59" s="340"/>
      <c r="AM59" s="340"/>
      <c r="AN59" s="340"/>
      <c r="AO59" s="340"/>
      <c r="AP59" s="340"/>
      <c r="AQ59" s="340"/>
    </row>
    <row r="60" spans="1:43" ht="14.4">
      <c r="A60" s="208" t="str">
        <f t="shared" si="0"/>
        <v>Gaz Naturel</v>
      </c>
      <c r="B60" s="207">
        <f t="shared" si="0"/>
        <v>0</v>
      </c>
      <c r="C60" t="str">
        <f t="shared" si="0"/>
        <v>kWhs/an</v>
      </c>
      <c r="D60" s="213">
        <f>Paramètres!D10</f>
        <v>1</v>
      </c>
      <c r="E60" s="168" t="s">
        <v>129</v>
      </c>
      <c r="F60" s="244">
        <f>+B60*D60/1000</f>
        <v>0</v>
      </c>
      <c r="G60" s="242" t="s">
        <v>131</v>
      </c>
      <c r="I60" s="358"/>
      <c r="J60" s="340"/>
      <c r="K60" s="340"/>
      <c r="L60" s="357"/>
      <c r="M60" s="340"/>
      <c r="N60" s="340"/>
      <c r="O60" s="340"/>
      <c r="P60" s="340"/>
      <c r="Q60" s="340"/>
      <c r="R60" s="340"/>
      <c r="S60" s="340"/>
      <c r="T60" s="340"/>
      <c r="U60" s="340"/>
      <c r="V60" s="340"/>
      <c r="W60" s="340"/>
      <c r="X60" s="340"/>
      <c r="Y60" s="340"/>
      <c r="Z60" s="340"/>
      <c r="AA60" s="340"/>
      <c r="AB60" s="340"/>
      <c r="AC60" s="340"/>
      <c r="AD60" s="340"/>
      <c r="AE60" s="340"/>
      <c r="AF60" s="340"/>
      <c r="AG60" s="340"/>
      <c r="AH60" s="340"/>
      <c r="AI60" s="340"/>
      <c r="AJ60" s="340"/>
      <c r="AK60" s="340"/>
      <c r="AL60" s="340"/>
      <c r="AM60" s="340"/>
      <c r="AN60" s="340"/>
      <c r="AO60" s="340"/>
      <c r="AP60" s="340"/>
      <c r="AQ60" s="340"/>
    </row>
    <row r="61" spans="1:43" ht="15" thickBot="1">
      <c r="A61" s="208">
        <f t="shared" si="0"/>
        <v>0</v>
      </c>
      <c r="B61" s="207">
        <f t="shared" si="0"/>
        <v>0</v>
      </c>
      <c r="C61">
        <f t="shared" si="0"/>
        <v>0</v>
      </c>
      <c r="D61" s="213">
        <f>Paramètres!E10</f>
        <v>10.6</v>
      </c>
      <c r="E61" s="168" t="s">
        <v>130</v>
      </c>
      <c r="F61" s="244">
        <f>+B61*D61/1000</f>
        <v>0</v>
      </c>
      <c r="G61" s="242" t="s">
        <v>131</v>
      </c>
      <c r="I61" s="358"/>
      <c r="J61" s="340"/>
      <c r="K61" s="340"/>
      <c r="L61" s="357"/>
      <c r="M61" s="340"/>
      <c r="N61" s="340"/>
      <c r="O61" s="340"/>
      <c r="P61" s="340"/>
      <c r="Q61" s="340"/>
      <c r="R61" s="340"/>
      <c r="S61" s="340"/>
      <c r="T61" s="340"/>
      <c r="U61" s="340"/>
      <c r="V61" s="340"/>
      <c r="W61" s="340"/>
      <c r="X61" s="340"/>
      <c r="Y61" s="340"/>
      <c r="Z61" s="340"/>
      <c r="AA61" s="340"/>
      <c r="AB61" s="340"/>
      <c r="AC61" s="340"/>
      <c r="AD61" s="340"/>
      <c r="AE61" s="340"/>
      <c r="AF61" s="340"/>
      <c r="AG61" s="340"/>
      <c r="AH61" s="340"/>
      <c r="AI61" s="340"/>
      <c r="AJ61" s="340"/>
      <c r="AK61" s="340"/>
      <c r="AL61" s="340"/>
      <c r="AM61" s="340"/>
      <c r="AN61" s="340"/>
      <c r="AO61" s="340"/>
      <c r="AP61" s="340"/>
      <c r="AQ61" s="340"/>
    </row>
    <row r="62" spans="1:43" ht="16.2" thickBot="1">
      <c r="A62" s="711" t="s">
        <v>132</v>
      </c>
      <c r="B62" s="712"/>
      <c r="C62" s="712"/>
      <c r="D62" s="712"/>
      <c r="E62" s="712"/>
      <c r="F62" s="245">
        <f>SUM(F59:F61)</f>
        <v>0</v>
      </c>
      <c r="G62" s="243" t="s">
        <v>131</v>
      </c>
      <c r="I62" s="758" t="s">
        <v>175</v>
      </c>
      <c r="J62" s="759"/>
      <c r="K62" s="759"/>
      <c r="L62" s="759"/>
      <c r="M62" s="759"/>
      <c r="N62" s="759"/>
      <c r="O62" s="759"/>
      <c r="P62" s="759"/>
      <c r="Q62" s="759"/>
      <c r="R62" s="759"/>
      <c r="S62" s="759"/>
      <c r="T62" s="759"/>
      <c r="U62" s="759"/>
      <c r="V62" s="759"/>
      <c r="W62" s="759"/>
      <c r="X62" s="759"/>
      <c r="Y62" s="759"/>
      <c r="Z62" s="759"/>
      <c r="AA62" s="759"/>
      <c r="AB62" s="759"/>
      <c r="AC62" s="759"/>
      <c r="AD62" s="759"/>
      <c r="AE62" s="759"/>
      <c r="AF62" s="759"/>
      <c r="AG62" s="759"/>
      <c r="AH62" s="759"/>
      <c r="AI62" s="759"/>
      <c r="AJ62" s="759"/>
      <c r="AK62" s="759"/>
      <c r="AL62" s="759"/>
      <c r="AM62" s="759"/>
      <c r="AN62" s="759"/>
      <c r="AO62" s="759"/>
      <c r="AP62" s="759"/>
      <c r="AQ62" s="760"/>
    </row>
    <row r="63" spans="1:43" ht="13.8" thickBot="1">
      <c r="A63" s="96"/>
      <c r="B63" s="96"/>
      <c r="C63" s="96"/>
      <c r="D63" s="96"/>
      <c r="E63" s="96"/>
      <c r="F63" s="246" t="e">
        <f>F62/#REF!</f>
        <v>#REF!</v>
      </c>
      <c r="G63" s="258">
        <f>F62/'2023'!T17</f>
        <v>0</v>
      </c>
      <c r="I63" s="340"/>
      <c r="J63" s="340"/>
      <c r="K63" s="340"/>
      <c r="L63" s="339"/>
      <c r="M63" s="340"/>
      <c r="N63" s="346"/>
      <c r="O63" s="346"/>
      <c r="P63" s="346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40"/>
      <c r="AD63" s="340"/>
      <c r="AE63" s="340"/>
      <c r="AF63" s="340"/>
      <c r="AG63" s="340"/>
      <c r="AH63" s="340"/>
      <c r="AI63" s="340"/>
      <c r="AJ63" s="340"/>
      <c r="AK63" s="340"/>
      <c r="AL63" s="340"/>
      <c r="AM63" s="340"/>
      <c r="AN63" s="340"/>
      <c r="AO63" s="340"/>
      <c r="AP63" s="340"/>
      <c r="AQ63" s="340"/>
    </row>
    <row r="64" spans="1:43" ht="14.4" thickBot="1">
      <c r="A64" s="212"/>
      <c r="B64" s="212"/>
      <c r="C64" s="212"/>
      <c r="D64" s="212"/>
      <c r="E64" s="212"/>
      <c r="F64" s="212"/>
      <c r="G64" s="212"/>
      <c r="I64" s="340"/>
      <c r="J64" s="340"/>
      <c r="K64" s="340"/>
      <c r="L64" s="339"/>
      <c r="M64" s="738" t="s">
        <v>174</v>
      </c>
      <c r="N64" s="739"/>
      <c r="O64" s="739"/>
      <c r="P64" s="739"/>
      <c r="Q64" s="739"/>
      <c r="R64" s="739"/>
      <c r="S64" s="739"/>
      <c r="T64" s="739"/>
      <c r="U64" s="739"/>
      <c r="V64" s="739"/>
      <c r="W64" s="739"/>
      <c r="X64" s="739"/>
      <c r="Y64" s="739"/>
      <c r="Z64" s="739"/>
      <c r="AA64" s="739"/>
      <c r="AB64" s="739"/>
      <c r="AC64" s="739"/>
      <c r="AD64" s="739"/>
      <c r="AE64" s="739"/>
      <c r="AF64" s="739"/>
      <c r="AG64" s="739"/>
      <c r="AH64" s="739"/>
      <c r="AI64" s="739"/>
      <c r="AJ64" s="739"/>
      <c r="AK64" s="739"/>
      <c r="AL64" s="739"/>
      <c r="AM64" s="739"/>
      <c r="AN64" s="739"/>
      <c r="AO64" s="739"/>
      <c r="AP64" s="739"/>
      <c r="AQ64" s="740"/>
    </row>
    <row r="65" spans="1:43" ht="19.5" customHeight="1" thickBot="1">
      <c r="A65" s="713" t="s">
        <v>122</v>
      </c>
      <c r="B65" s="714"/>
      <c r="C65" s="714"/>
      <c r="D65" s="714"/>
      <c r="E65" s="714"/>
      <c r="F65" s="714"/>
      <c r="G65" s="715"/>
      <c r="I65" s="340"/>
      <c r="J65" s="340"/>
      <c r="K65" s="348"/>
      <c r="L65" s="348"/>
      <c r="M65" s="338">
        <v>0</v>
      </c>
      <c r="N65" s="337">
        <v>1</v>
      </c>
      <c r="O65" s="337">
        <v>2</v>
      </c>
      <c r="P65" s="337">
        <v>3</v>
      </c>
      <c r="Q65" s="337">
        <v>4</v>
      </c>
      <c r="R65" s="337">
        <v>5</v>
      </c>
      <c r="S65" s="337">
        <v>6</v>
      </c>
      <c r="T65" s="337">
        <v>7</v>
      </c>
      <c r="U65" s="337">
        <v>8</v>
      </c>
      <c r="V65" s="337">
        <v>9</v>
      </c>
      <c r="W65" s="337">
        <v>10</v>
      </c>
      <c r="X65" s="337">
        <v>11</v>
      </c>
      <c r="Y65" s="337">
        <v>12</v>
      </c>
      <c r="Z65" s="337">
        <v>13</v>
      </c>
      <c r="AA65" s="337">
        <v>14</v>
      </c>
      <c r="AB65" s="337">
        <v>15</v>
      </c>
      <c r="AC65" s="337">
        <v>16</v>
      </c>
      <c r="AD65" s="337">
        <v>17</v>
      </c>
      <c r="AE65" s="337">
        <v>18</v>
      </c>
      <c r="AF65" s="337">
        <v>19</v>
      </c>
      <c r="AG65" s="337">
        <v>20</v>
      </c>
      <c r="AH65" s="337">
        <v>21</v>
      </c>
      <c r="AI65" s="337">
        <v>22</v>
      </c>
      <c r="AJ65" s="337">
        <v>23</v>
      </c>
      <c r="AK65" s="337">
        <v>24</v>
      </c>
      <c r="AL65" s="337">
        <v>25</v>
      </c>
      <c r="AM65" s="337">
        <v>26</v>
      </c>
      <c r="AN65" s="337">
        <v>27</v>
      </c>
      <c r="AO65" s="337">
        <v>28</v>
      </c>
      <c r="AP65" s="337">
        <v>29</v>
      </c>
      <c r="AQ65" s="336">
        <v>30</v>
      </c>
    </row>
    <row r="66" spans="1:43" ht="30" customHeight="1">
      <c r="A66" s="210" t="str">
        <f>+A58</f>
        <v>Vecteurs énergétiques</v>
      </c>
      <c r="B66" s="210" t="str">
        <f>+B58</f>
        <v>Quantités</v>
      </c>
      <c r="C66" s="210" t="str">
        <f>+C58</f>
        <v>Unités</v>
      </c>
      <c r="D66" s="729" t="s">
        <v>123</v>
      </c>
      <c r="E66" s="729"/>
      <c r="F66" s="210" t="s">
        <v>124</v>
      </c>
      <c r="G66" s="209"/>
      <c r="I66" s="340"/>
      <c r="J66" s="340"/>
      <c r="K66" s="743" t="s">
        <v>171</v>
      </c>
      <c r="L66" s="335" t="s">
        <v>170</v>
      </c>
      <c r="M66" s="334">
        <f>(L42)</f>
        <v>0</v>
      </c>
      <c r="N66" s="333"/>
      <c r="O66" s="333"/>
      <c r="P66" s="333"/>
      <c r="Q66" s="333"/>
      <c r="R66" s="333"/>
      <c r="S66" s="333"/>
      <c r="T66" s="333"/>
      <c r="U66" s="333"/>
      <c r="V66" s="333"/>
      <c r="W66" s="333"/>
      <c r="X66" s="333"/>
      <c r="Y66" s="333"/>
      <c r="Z66" s="333"/>
      <c r="AA66" s="333"/>
      <c r="AB66" s="333"/>
      <c r="AC66" s="356"/>
      <c r="AD66" s="356"/>
      <c r="AE66" s="356"/>
      <c r="AF66" s="356"/>
      <c r="AG66" s="356"/>
      <c r="AH66" s="356"/>
      <c r="AI66" s="356"/>
      <c r="AJ66" s="356"/>
      <c r="AK66" s="356"/>
      <c r="AL66" s="356"/>
      <c r="AM66" s="356"/>
      <c r="AN66" s="356"/>
      <c r="AO66" s="356"/>
      <c r="AP66" s="356"/>
      <c r="AQ66" s="355"/>
    </row>
    <row r="67" spans="1:43" ht="16.2" thickBot="1">
      <c r="A67" s="208" t="str">
        <f>+A59</f>
        <v>Electricité 
achetée</v>
      </c>
      <c r="B67" s="207">
        <f t="shared" ref="B67:C69" si="1">B59</f>
        <v>0</v>
      </c>
      <c r="C67" s="207" t="str">
        <f t="shared" si="1"/>
        <v>kWh/an</v>
      </c>
      <c r="D67" s="241">
        <f>Paramètres!C12</f>
        <v>0.216</v>
      </c>
      <c r="E67" s="206" t="s">
        <v>95</v>
      </c>
      <c r="F67" s="205">
        <f>+B67*D67</f>
        <v>0</v>
      </c>
      <c r="G67" s="204" t="s">
        <v>96</v>
      </c>
      <c r="I67" s="340"/>
      <c r="J67" s="340"/>
      <c r="K67" s="744"/>
      <c r="L67" s="348" t="s">
        <v>169</v>
      </c>
      <c r="M67" s="328">
        <f>L43</f>
        <v>0</v>
      </c>
      <c r="N67" s="327"/>
      <c r="O67" s="327"/>
      <c r="P67" s="327"/>
      <c r="Q67" s="327"/>
      <c r="R67" s="327"/>
      <c r="S67" s="327"/>
      <c r="T67" s="327"/>
      <c r="U67" s="327"/>
      <c r="V67" s="327"/>
      <c r="W67" s="327"/>
      <c r="X67" s="327"/>
      <c r="Y67" s="327"/>
      <c r="Z67" s="327"/>
      <c r="AA67" s="327"/>
      <c r="AB67" s="327"/>
      <c r="AC67" s="340"/>
      <c r="AD67" s="340"/>
      <c r="AE67" s="340"/>
      <c r="AF67" s="340"/>
      <c r="AG67" s="340"/>
      <c r="AH67" s="340"/>
      <c r="AI67" s="340"/>
      <c r="AJ67" s="340"/>
      <c r="AK67" s="340"/>
      <c r="AL67" s="340"/>
      <c r="AM67" s="340"/>
      <c r="AN67" s="340"/>
      <c r="AO67" s="340"/>
      <c r="AP67" s="340"/>
      <c r="AQ67" s="354"/>
    </row>
    <row r="68" spans="1:43" ht="15.6">
      <c r="A68" s="208" t="str">
        <f>+A60</f>
        <v>Gaz Naturel</v>
      </c>
      <c r="B68" s="207">
        <f t="shared" si="1"/>
        <v>0</v>
      </c>
      <c r="C68" s="207" t="str">
        <f t="shared" si="1"/>
        <v>kWhs/an</v>
      </c>
      <c r="D68" s="241">
        <f>Paramètres!D12</f>
        <v>0.218</v>
      </c>
      <c r="E68" s="206" t="s">
        <v>120</v>
      </c>
      <c r="F68" s="205">
        <f>+B68*D68</f>
        <v>0</v>
      </c>
      <c r="G68" s="204" t="s">
        <v>96</v>
      </c>
      <c r="H68" s="90"/>
      <c r="I68" s="340"/>
      <c r="J68" s="340"/>
      <c r="K68" s="745" t="s">
        <v>168</v>
      </c>
      <c r="L68" s="335" t="s">
        <v>167</v>
      </c>
      <c r="M68" s="328">
        <f>L44+L45</f>
        <v>0</v>
      </c>
      <c r="N68" s="327"/>
      <c r="O68" s="327"/>
      <c r="P68" s="327"/>
      <c r="Q68" s="327"/>
      <c r="R68" s="327"/>
      <c r="S68" s="327"/>
      <c r="T68" s="327"/>
      <c r="U68" s="327"/>
      <c r="V68" s="327"/>
      <c r="W68" s="327"/>
      <c r="X68" s="327"/>
      <c r="Y68" s="327"/>
      <c r="Z68" s="327"/>
      <c r="AA68" s="327"/>
      <c r="AB68" s="327"/>
      <c r="AC68" s="340"/>
      <c r="AD68" s="340"/>
      <c r="AE68" s="340"/>
      <c r="AF68" s="340"/>
      <c r="AG68" s="340"/>
      <c r="AH68" s="340"/>
      <c r="AI68" s="340"/>
      <c r="AJ68" s="340"/>
      <c r="AK68" s="340"/>
      <c r="AL68" s="340"/>
      <c r="AM68" s="340"/>
      <c r="AN68" s="340"/>
      <c r="AO68" s="340"/>
      <c r="AP68" s="340"/>
      <c r="AQ68" s="354"/>
    </row>
    <row r="69" spans="1:43" ht="16.2" thickBot="1">
      <c r="A69" s="208">
        <f>+A61</f>
        <v>0</v>
      </c>
      <c r="B69" s="207">
        <f t="shared" si="1"/>
        <v>0</v>
      </c>
      <c r="C69" s="207">
        <f t="shared" si="1"/>
        <v>0</v>
      </c>
      <c r="D69" s="241">
        <f>Paramètres!E12</f>
        <v>3.2568999999999999</v>
      </c>
      <c r="E69" s="206" t="s">
        <v>121</v>
      </c>
      <c r="F69" s="205">
        <f>+B69*D69</f>
        <v>0</v>
      </c>
      <c r="G69" s="204" t="s">
        <v>96</v>
      </c>
      <c r="I69" s="340"/>
      <c r="J69" s="340"/>
      <c r="K69" s="746"/>
      <c r="L69" s="353" t="s">
        <v>166</v>
      </c>
      <c r="M69" s="316"/>
      <c r="N69" s="315" t="str">
        <f t="shared" ref="N69:X69" si="2">IF(N65&lt;=$L$50,$L$49,"")</f>
        <v/>
      </c>
      <c r="O69" s="315" t="str">
        <f t="shared" si="2"/>
        <v/>
      </c>
      <c r="P69" s="315" t="str">
        <f t="shared" si="2"/>
        <v/>
      </c>
      <c r="Q69" s="315" t="str">
        <f t="shared" si="2"/>
        <v/>
      </c>
      <c r="R69" s="315" t="str">
        <f t="shared" si="2"/>
        <v/>
      </c>
      <c r="S69" s="315" t="str">
        <f t="shared" si="2"/>
        <v/>
      </c>
      <c r="T69" s="315" t="str">
        <f t="shared" si="2"/>
        <v/>
      </c>
      <c r="U69" s="315" t="str">
        <f t="shared" si="2"/>
        <v/>
      </c>
      <c r="V69" s="315" t="str">
        <f t="shared" si="2"/>
        <v/>
      </c>
      <c r="W69" s="315" t="str">
        <f t="shared" si="2"/>
        <v/>
      </c>
      <c r="X69" s="315" t="str">
        <f t="shared" si="2"/>
        <v/>
      </c>
      <c r="Y69" s="315" t="str">
        <f t="shared" ref="Y69:AQ69" si="3">IF(W65&lt;=$L$50,$L$49,"")</f>
        <v/>
      </c>
      <c r="Z69" s="315" t="str">
        <f t="shared" si="3"/>
        <v/>
      </c>
      <c r="AA69" s="315" t="str">
        <f t="shared" si="3"/>
        <v/>
      </c>
      <c r="AB69" s="315" t="str">
        <f t="shared" si="3"/>
        <v/>
      </c>
      <c r="AC69" s="315" t="str">
        <f t="shared" si="3"/>
        <v/>
      </c>
      <c r="AD69" s="315" t="str">
        <f t="shared" si="3"/>
        <v/>
      </c>
      <c r="AE69" s="315" t="str">
        <f t="shared" si="3"/>
        <v/>
      </c>
      <c r="AF69" s="315" t="str">
        <f t="shared" si="3"/>
        <v/>
      </c>
      <c r="AG69" s="315" t="str">
        <f t="shared" si="3"/>
        <v/>
      </c>
      <c r="AH69" s="315" t="str">
        <f t="shared" si="3"/>
        <v/>
      </c>
      <c r="AI69" s="315" t="str">
        <f t="shared" si="3"/>
        <v/>
      </c>
      <c r="AJ69" s="315" t="str">
        <f t="shared" si="3"/>
        <v/>
      </c>
      <c r="AK69" s="315" t="str">
        <f t="shared" si="3"/>
        <v/>
      </c>
      <c r="AL69" s="315" t="str">
        <f t="shared" si="3"/>
        <v/>
      </c>
      <c r="AM69" s="315" t="str">
        <f t="shared" si="3"/>
        <v/>
      </c>
      <c r="AN69" s="315" t="str">
        <f t="shared" si="3"/>
        <v/>
      </c>
      <c r="AO69" s="315" t="str">
        <f t="shared" si="3"/>
        <v/>
      </c>
      <c r="AP69" s="315" t="str">
        <f t="shared" si="3"/>
        <v/>
      </c>
      <c r="AQ69" s="314" t="str">
        <f t="shared" si="3"/>
        <v/>
      </c>
    </row>
    <row r="70" spans="1:43" ht="16.2" thickBot="1">
      <c r="A70" s="711" t="s">
        <v>133</v>
      </c>
      <c r="B70" s="712"/>
      <c r="C70" s="712"/>
      <c r="D70" s="712"/>
      <c r="E70" s="712"/>
      <c r="F70" s="203">
        <f>SUM(F67:F69)</f>
        <v>0</v>
      </c>
      <c r="G70" s="202" t="s">
        <v>96</v>
      </c>
      <c r="I70" s="340"/>
      <c r="J70" s="340"/>
      <c r="K70" s="352" t="s">
        <v>165</v>
      </c>
      <c r="L70" s="351" t="s">
        <v>165</v>
      </c>
      <c r="M70" s="316"/>
      <c r="N70" s="315">
        <f>IF(N65&lt;=$J$12,($L$48+$L$51+$L$52+$L$53+$L$54+$L$55+$L$56+$L$57+$L$58+$L$59),"")</f>
        <v>0</v>
      </c>
      <c r="O70" s="315">
        <f>IF(O65&lt;=$J$12,('AA1'!N70*(1+Paramètres!$B$20)),"")</f>
        <v>0</v>
      </c>
      <c r="P70" s="315">
        <f>IF(P65&lt;=$J$12,('AA1'!O70*(1+Paramètres!$B$20)),"")</f>
        <v>0</v>
      </c>
      <c r="Q70" s="315">
        <f>IF(Q65&lt;=$J$12,('AA1'!P70*(1+Paramètres!$B$20)),"")</f>
        <v>0</v>
      </c>
      <c r="R70" s="315">
        <f>IF(R65&lt;=$J$12,('AA1'!Q70*(1+Paramètres!$B$20)),"")</f>
        <v>0</v>
      </c>
      <c r="S70" s="315">
        <f>IF(S65&lt;=$J$12,('AA1'!R70*(1+Paramètres!$B$20)),"")</f>
        <v>0</v>
      </c>
      <c r="T70" s="315">
        <f>IF(T65&lt;=$J$12,('AA1'!S70*(1+Paramètres!$B$20)),"")</f>
        <v>0</v>
      </c>
      <c r="U70" s="315">
        <f>IF(U65&lt;=$J$12,('AA1'!T70*(1+Paramètres!$B$20)),"")</f>
        <v>0</v>
      </c>
      <c r="V70" s="315">
        <f>IF(V65&lt;=$J$12,('AA1'!U70*(1+Paramètres!$B$20)),"")</f>
        <v>0</v>
      </c>
      <c r="W70" s="315">
        <f>IF(W65&lt;=$J$12,('AA1'!V70*(1+Paramètres!$B$20)),"")</f>
        <v>0</v>
      </c>
      <c r="X70" s="315">
        <f>IF(X65&lt;=$J$12,('AA1'!W70*(1+Paramètres!$B$20)),"")</f>
        <v>0</v>
      </c>
      <c r="Y70" s="315">
        <f>IF(Y65&lt;=$J$12,('AA1'!X70*(1+Paramètres!$B$20)),"")</f>
        <v>0</v>
      </c>
      <c r="Z70" s="315">
        <f>IF(Z65&lt;=$J$12,('AA1'!Y70*(1+Paramètres!$B$20)),"")</f>
        <v>0</v>
      </c>
      <c r="AA70" s="315">
        <f>IF(AA65&lt;=$J$12,('AA1'!Z70*(1+Paramètres!$B$20)),"")</f>
        <v>0</v>
      </c>
      <c r="AB70" s="315">
        <f>IF(AB65&lt;=$J$12,('AA1'!AA70*(1+Paramètres!$B$20)),"")</f>
        <v>0</v>
      </c>
      <c r="AC70" s="315" t="str">
        <f>IF(AC65&lt;=$J$12,('AA1'!AB70*(1+Paramètres!$B$20)),"")</f>
        <v/>
      </c>
      <c r="AD70" s="315" t="str">
        <f>IF(AD65&lt;=$J$12,('AA1'!AC70*(1+Paramètres!$B$20)),"")</f>
        <v/>
      </c>
      <c r="AE70" s="315" t="str">
        <f>IF(AE65&lt;=$J$12,('AA1'!AD70*(1+Paramètres!$B$20)),"")</f>
        <v/>
      </c>
      <c r="AF70" s="315" t="str">
        <f>IF(AF65&lt;=$J$12,('AA1'!AE70*(1+Paramètres!$B$20)),"")</f>
        <v/>
      </c>
      <c r="AG70" s="315" t="str">
        <f>IF(AG65&lt;=$J$12,('AA1'!AF70*(1+Paramètres!$B$20)),"")</f>
        <v/>
      </c>
      <c r="AH70" s="315" t="str">
        <f>IF(AH65&lt;=$J$12,('AA1'!AG70*(1+Paramètres!$B$20)),"")</f>
        <v/>
      </c>
      <c r="AI70" s="315" t="str">
        <f>IF(AI65&lt;=$J$12,('AA1'!AH70*(1+Paramètres!$B$20)),"")</f>
        <v/>
      </c>
      <c r="AJ70" s="315" t="str">
        <f>IF(AJ65&lt;=$J$12,('AA1'!AI70*(1+Paramètres!$B$20)),"")</f>
        <v/>
      </c>
      <c r="AK70" s="315" t="str">
        <f>IF(AK65&lt;=$J$12,('AA1'!AJ70*(1+Paramètres!$B$20)),"")</f>
        <v/>
      </c>
      <c r="AL70" s="315" t="str">
        <f>IF(AL65&lt;=$J$12,('AA1'!AK70*(1+Paramètres!$B$20)),"")</f>
        <v/>
      </c>
      <c r="AM70" s="315" t="str">
        <f>IF(AM65&lt;=$J$12,('AA1'!AL70*(1+Paramètres!$B$20)),"")</f>
        <v/>
      </c>
      <c r="AN70" s="315" t="str">
        <f>IF(AN65&lt;=$J$12,('AA1'!AM70*(1+Paramètres!$B$20)),"")</f>
        <v/>
      </c>
      <c r="AO70" s="315" t="str">
        <f>IF(AO65&lt;=$J$12,('AA1'!AN70*(1+Paramètres!$B$20)),"")</f>
        <v/>
      </c>
      <c r="AP70" s="315" t="str">
        <f>IF(AP65&lt;=$J$12,('AA1'!AO70*(1+Paramètres!$B$20)),"")</f>
        <v/>
      </c>
      <c r="AQ70" s="314" t="str">
        <f>IF(AQ65&lt;=$J$12,('AA1'!AP70*(1+Paramètres!$B$20)),"")</f>
        <v/>
      </c>
    </row>
    <row r="71" spans="1:43" ht="13.8" thickBot="1">
      <c r="F71" s="247" t="e">
        <f>F70/#REF!</f>
        <v>#REF!</v>
      </c>
      <c r="G71" s="167">
        <f>F70/'2023'!H36</f>
        <v>0</v>
      </c>
      <c r="I71" s="340"/>
      <c r="J71" s="340"/>
      <c r="K71" s="350" t="s">
        <v>159</v>
      </c>
      <c r="L71" s="330" t="s">
        <v>158</v>
      </c>
      <c r="M71" s="303" t="str">
        <f t="shared" ref="M71:AQ71" si="4">IF(M65=$J$12,$L$46,"")</f>
        <v/>
      </c>
      <c r="N71" s="302" t="str">
        <f t="shared" si="4"/>
        <v/>
      </c>
      <c r="O71" s="302" t="str">
        <f t="shared" si="4"/>
        <v/>
      </c>
      <c r="P71" s="302" t="str">
        <f t="shared" si="4"/>
        <v/>
      </c>
      <c r="Q71" s="302" t="str">
        <f t="shared" si="4"/>
        <v/>
      </c>
      <c r="R71" s="302" t="str">
        <f t="shared" si="4"/>
        <v/>
      </c>
      <c r="S71" s="302" t="str">
        <f t="shared" si="4"/>
        <v/>
      </c>
      <c r="T71" s="302" t="str">
        <f t="shared" si="4"/>
        <v/>
      </c>
      <c r="U71" s="302" t="str">
        <f t="shared" si="4"/>
        <v/>
      </c>
      <c r="V71" s="302" t="str">
        <f t="shared" si="4"/>
        <v/>
      </c>
      <c r="W71" s="302" t="str">
        <f t="shared" si="4"/>
        <v/>
      </c>
      <c r="X71" s="302" t="str">
        <f t="shared" si="4"/>
        <v/>
      </c>
      <c r="Y71" s="302" t="str">
        <f t="shared" si="4"/>
        <v/>
      </c>
      <c r="Z71" s="302" t="str">
        <f t="shared" si="4"/>
        <v/>
      </c>
      <c r="AA71" s="302" t="str">
        <f t="shared" si="4"/>
        <v/>
      </c>
      <c r="AB71" s="302">
        <f t="shared" si="4"/>
        <v>0</v>
      </c>
      <c r="AC71" s="302" t="str">
        <f t="shared" si="4"/>
        <v/>
      </c>
      <c r="AD71" s="302" t="str">
        <f t="shared" si="4"/>
        <v/>
      </c>
      <c r="AE71" s="302" t="str">
        <f t="shared" si="4"/>
        <v/>
      </c>
      <c r="AF71" s="302" t="str">
        <f t="shared" si="4"/>
        <v/>
      </c>
      <c r="AG71" s="302" t="str">
        <f t="shared" si="4"/>
        <v/>
      </c>
      <c r="AH71" s="302" t="str">
        <f t="shared" si="4"/>
        <v/>
      </c>
      <c r="AI71" s="302" t="str">
        <f t="shared" si="4"/>
        <v/>
      </c>
      <c r="AJ71" s="302" t="str">
        <f t="shared" si="4"/>
        <v/>
      </c>
      <c r="AK71" s="302" t="str">
        <f t="shared" si="4"/>
        <v/>
      </c>
      <c r="AL71" s="302" t="str">
        <f t="shared" si="4"/>
        <v/>
      </c>
      <c r="AM71" s="302" t="str">
        <f t="shared" si="4"/>
        <v/>
      </c>
      <c r="AN71" s="302" t="str">
        <f t="shared" si="4"/>
        <v/>
      </c>
      <c r="AO71" s="302" t="str">
        <f t="shared" si="4"/>
        <v/>
      </c>
      <c r="AP71" s="302" t="str">
        <f t="shared" si="4"/>
        <v/>
      </c>
      <c r="AQ71" s="301" t="str">
        <f t="shared" si="4"/>
        <v/>
      </c>
    </row>
    <row r="72" spans="1:43" ht="13.8" thickBot="1">
      <c r="I72" s="340"/>
      <c r="J72" s="340"/>
      <c r="K72" s="754" t="s">
        <v>157</v>
      </c>
      <c r="L72" s="755"/>
      <c r="M72" s="298" t="str">
        <f t="shared" ref="M72:AQ72" si="5">IF(SUM(M66:M71)=0,"",SUM(M66:M71))</f>
        <v/>
      </c>
      <c r="N72" s="297" t="str">
        <f t="shared" si="5"/>
        <v/>
      </c>
      <c r="O72" s="297" t="str">
        <f t="shared" si="5"/>
        <v/>
      </c>
      <c r="P72" s="297" t="str">
        <f t="shared" si="5"/>
        <v/>
      </c>
      <c r="Q72" s="297" t="str">
        <f t="shared" si="5"/>
        <v/>
      </c>
      <c r="R72" s="297" t="str">
        <f t="shared" si="5"/>
        <v/>
      </c>
      <c r="S72" s="297" t="str">
        <f t="shared" si="5"/>
        <v/>
      </c>
      <c r="T72" s="297" t="str">
        <f t="shared" si="5"/>
        <v/>
      </c>
      <c r="U72" s="297" t="str">
        <f t="shared" si="5"/>
        <v/>
      </c>
      <c r="V72" s="297" t="str">
        <f t="shared" si="5"/>
        <v/>
      </c>
      <c r="W72" s="297" t="str">
        <f t="shared" si="5"/>
        <v/>
      </c>
      <c r="X72" s="297" t="str">
        <f t="shared" si="5"/>
        <v/>
      </c>
      <c r="Y72" s="297" t="str">
        <f t="shared" si="5"/>
        <v/>
      </c>
      <c r="Z72" s="297" t="str">
        <f t="shared" si="5"/>
        <v/>
      </c>
      <c r="AA72" s="297" t="str">
        <f t="shared" si="5"/>
        <v/>
      </c>
      <c r="AB72" s="297" t="str">
        <f t="shared" si="5"/>
        <v/>
      </c>
      <c r="AC72" s="297" t="str">
        <f t="shared" si="5"/>
        <v/>
      </c>
      <c r="AD72" s="297" t="str">
        <f t="shared" si="5"/>
        <v/>
      </c>
      <c r="AE72" s="297" t="str">
        <f t="shared" si="5"/>
        <v/>
      </c>
      <c r="AF72" s="297" t="str">
        <f t="shared" si="5"/>
        <v/>
      </c>
      <c r="AG72" s="297" t="str">
        <f t="shared" si="5"/>
        <v/>
      </c>
      <c r="AH72" s="297" t="str">
        <f t="shared" si="5"/>
        <v/>
      </c>
      <c r="AI72" s="297" t="str">
        <f t="shared" si="5"/>
        <v/>
      </c>
      <c r="AJ72" s="297" t="str">
        <f t="shared" si="5"/>
        <v/>
      </c>
      <c r="AK72" s="297" t="str">
        <f t="shared" si="5"/>
        <v/>
      </c>
      <c r="AL72" s="297" t="str">
        <f t="shared" si="5"/>
        <v/>
      </c>
      <c r="AM72" s="297" t="str">
        <f t="shared" si="5"/>
        <v/>
      </c>
      <c r="AN72" s="297" t="str">
        <f t="shared" si="5"/>
        <v/>
      </c>
      <c r="AO72" s="297" t="str">
        <f t="shared" si="5"/>
        <v/>
      </c>
      <c r="AP72" s="297" t="str">
        <f t="shared" si="5"/>
        <v/>
      </c>
      <c r="AQ72" s="296" t="str">
        <f t="shared" si="5"/>
        <v/>
      </c>
    </row>
    <row r="73" spans="1:43" ht="13.8" thickBot="1">
      <c r="I73" s="340"/>
      <c r="J73" s="340"/>
      <c r="K73" s="741" t="s">
        <v>156</v>
      </c>
      <c r="L73" s="742"/>
      <c r="M73" s="298" t="str">
        <f>IF(M72="","",((M72)/(1+Paramètres!$B$19)^M65))</f>
        <v/>
      </c>
      <c r="N73" s="297" t="str">
        <f>IF(N72="","",((N72)/(1+Paramètres!$B$19)^N65))</f>
        <v/>
      </c>
      <c r="O73" s="297" t="str">
        <f>IF(O72="","",((O72)/(1+Paramètres!$B$19)^O65))</f>
        <v/>
      </c>
      <c r="P73" s="297" t="str">
        <f>IF(P72="","",((P72)/(1+Paramètres!$B$19)^P65))</f>
        <v/>
      </c>
      <c r="Q73" s="297" t="str">
        <f>IF(Q72="","",((Q72)/(1+Paramètres!$B$19)^Q65))</f>
        <v/>
      </c>
      <c r="R73" s="297" t="str">
        <f>IF(R72="","",((R72)/(1+Paramètres!$B$19)^R65))</f>
        <v/>
      </c>
      <c r="S73" s="297" t="str">
        <f>IF(S72="","",((S72)/(1+Paramètres!$B$19)^S65))</f>
        <v/>
      </c>
      <c r="T73" s="297" t="str">
        <f>IF(T72="","",((T72)/(1+Paramètres!$B$19)^T65))</f>
        <v/>
      </c>
      <c r="U73" s="297" t="str">
        <f>IF(U72="","",((U72)/(1+Paramètres!$B$19)^U65))</f>
        <v/>
      </c>
      <c r="V73" s="297" t="str">
        <f>IF(V72="","",((V72)/(1+Paramètres!$B$19)^V65))</f>
        <v/>
      </c>
      <c r="W73" s="297" t="str">
        <f>IF(W72="","",((W72)/(1+Paramètres!$B$19)^W65))</f>
        <v/>
      </c>
      <c r="X73" s="297" t="str">
        <f>IF(X72="","",((X72)/(1+Paramètres!$B$19)^X65))</f>
        <v/>
      </c>
      <c r="Y73" s="297" t="str">
        <f>IF(Y72="","",((Y72)/(1+Paramètres!$B$19)^Y65))</f>
        <v/>
      </c>
      <c r="Z73" s="297" t="str">
        <f>IF(Z72="","",((Z72)/(1+Paramètres!$B$19)^Z65))</f>
        <v/>
      </c>
      <c r="AA73" s="297" t="str">
        <f>IF(AA72="","",((AA72)/(1+Paramètres!$B$19)^AA65))</f>
        <v/>
      </c>
      <c r="AB73" s="297" t="str">
        <f>IF(AB72="","",((AB72)/(1+Paramètres!$B$19)^AB65))</f>
        <v/>
      </c>
      <c r="AC73" s="297" t="str">
        <f>IF(AC72="","",((AC72)/(1+Paramètres!$B$19)^AC65))</f>
        <v/>
      </c>
      <c r="AD73" s="297" t="str">
        <f>IF(AD72="","",((AD72)/(1+Paramètres!$B$19)^AD65))</f>
        <v/>
      </c>
      <c r="AE73" s="297" t="str">
        <f>IF(AE72="","",((AE72)/(1+Paramètres!$B$19)^AE65))</f>
        <v/>
      </c>
      <c r="AF73" s="297" t="str">
        <f>IF(AF72="","",((AF72)/(1+Paramètres!$B$19)^AF65))</f>
        <v/>
      </c>
      <c r="AG73" s="297" t="str">
        <f>IF(AG72="","",((AG72)/(1+Paramètres!$B$19)^AG65))</f>
        <v/>
      </c>
      <c r="AH73" s="297" t="str">
        <f>IF(AH72="","",((AH72)/(1+Paramètres!$B$19)^AH65))</f>
        <v/>
      </c>
      <c r="AI73" s="297" t="str">
        <f>IF(AI72="","",((AI72)/(1+Paramètres!$B$19)^AI65))</f>
        <v/>
      </c>
      <c r="AJ73" s="297" t="str">
        <f>IF(AJ72="","",((AJ72)/(1+Paramètres!$B$19)^AJ65))</f>
        <v/>
      </c>
      <c r="AK73" s="297" t="str">
        <f>IF(AK72="","",((AK72)/(1+Paramètres!$B$19)^AK65))</f>
        <v/>
      </c>
      <c r="AL73" s="297" t="str">
        <f>IF(AL72="","",((AL72)/(1+Paramètres!$B$19)^AL65))</f>
        <v/>
      </c>
      <c r="AM73" s="297" t="str">
        <f>IF(AM72="","",((AM72)/(1+Paramètres!$B$19)^AM65))</f>
        <v/>
      </c>
      <c r="AN73" s="297" t="str">
        <f>IF(AN72="","",((AN72)/(1+Paramètres!$B$19)^AN65))</f>
        <v/>
      </c>
      <c r="AO73" s="297" t="str">
        <f>IF(AO72="","",((AO72)/(1+Paramètres!$B$19)^AO65))</f>
        <v/>
      </c>
      <c r="AP73" s="297" t="str">
        <f>IF(AP72="","",((AP72)/(1+Paramètres!$B$19)^AP65))</f>
        <v/>
      </c>
      <c r="AQ73" s="296" t="str">
        <f>IF(AQ72="","",((AQ72)/(1+Paramètres!$B$19)^AQ65))</f>
        <v/>
      </c>
    </row>
    <row r="74" spans="1:43" ht="13.8" thickBot="1">
      <c r="I74" s="340"/>
      <c r="J74" s="340"/>
      <c r="K74" s="741" t="s">
        <v>155</v>
      </c>
      <c r="L74" s="742"/>
      <c r="M74" s="295" t="str">
        <f>M73</f>
        <v/>
      </c>
      <c r="N74" s="294" t="str">
        <f t="shared" ref="N74:AQ74" si="6">IF(N73="","",((M74+N73)))</f>
        <v/>
      </c>
      <c r="O74" s="294" t="str">
        <f t="shared" si="6"/>
        <v/>
      </c>
      <c r="P74" s="294" t="str">
        <f t="shared" si="6"/>
        <v/>
      </c>
      <c r="Q74" s="294" t="str">
        <f t="shared" si="6"/>
        <v/>
      </c>
      <c r="R74" s="294" t="str">
        <f t="shared" si="6"/>
        <v/>
      </c>
      <c r="S74" s="294" t="str">
        <f t="shared" si="6"/>
        <v/>
      </c>
      <c r="T74" s="294" t="str">
        <f t="shared" si="6"/>
        <v/>
      </c>
      <c r="U74" s="294" t="str">
        <f t="shared" si="6"/>
        <v/>
      </c>
      <c r="V74" s="294" t="str">
        <f t="shared" si="6"/>
        <v/>
      </c>
      <c r="W74" s="294" t="str">
        <f t="shared" si="6"/>
        <v/>
      </c>
      <c r="X74" s="294" t="str">
        <f t="shared" si="6"/>
        <v/>
      </c>
      <c r="Y74" s="294" t="str">
        <f t="shared" si="6"/>
        <v/>
      </c>
      <c r="Z74" s="294" t="str">
        <f t="shared" si="6"/>
        <v/>
      </c>
      <c r="AA74" s="294" t="str">
        <f t="shared" si="6"/>
        <v/>
      </c>
      <c r="AB74" s="294" t="str">
        <f t="shared" si="6"/>
        <v/>
      </c>
      <c r="AC74" s="294" t="str">
        <f t="shared" si="6"/>
        <v/>
      </c>
      <c r="AD74" s="294" t="str">
        <f t="shared" si="6"/>
        <v/>
      </c>
      <c r="AE74" s="294" t="str">
        <f t="shared" si="6"/>
        <v/>
      </c>
      <c r="AF74" s="294" t="str">
        <f t="shared" si="6"/>
        <v/>
      </c>
      <c r="AG74" s="294" t="str">
        <f t="shared" si="6"/>
        <v/>
      </c>
      <c r="AH74" s="294" t="str">
        <f t="shared" si="6"/>
        <v/>
      </c>
      <c r="AI74" s="294" t="str">
        <f t="shared" si="6"/>
        <v/>
      </c>
      <c r="AJ74" s="294" t="str">
        <f t="shared" si="6"/>
        <v/>
      </c>
      <c r="AK74" s="294" t="str">
        <f t="shared" si="6"/>
        <v/>
      </c>
      <c r="AL74" s="294" t="str">
        <f t="shared" si="6"/>
        <v/>
      </c>
      <c r="AM74" s="294" t="str">
        <f t="shared" si="6"/>
        <v/>
      </c>
      <c r="AN74" s="294" t="str">
        <f t="shared" si="6"/>
        <v/>
      </c>
      <c r="AO74" s="294" t="str">
        <f t="shared" si="6"/>
        <v/>
      </c>
      <c r="AP74" s="294" t="str">
        <f t="shared" si="6"/>
        <v/>
      </c>
      <c r="AQ74" s="293" t="str">
        <f t="shared" si="6"/>
        <v/>
      </c>
    </row>
    <row r="75" spans="1:43" ht="13.8" thickBot="1">
      <c r="I75" s="340"/>
      <c r="J75" s="340"/>
      <c r="K75" s="340"/>
      <c r="L75" s="340"/>
      <c r="M75" s="340"/>
      <c r="N75" s="339"/>
      <c r="O75" s="348"/>
      <c r="P75" s="348"/>
      <c r="Q75" s="348"/>
      <c r="R75" s="348"/>
      <c r="S75" s="348"/>
      <c r="T75" s="348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0"/>
      <c r="AF75" s="340"/>
      <c r="AG75" s="340"/>
      <c r="AH75" s="340"/>
      <c r="AI75" s="340"/>
      <c r="AJ75" s="340"/>
      <c r="AK75" s="340"/>
      <c r="AL75" s="340"/>
      <c r="AM75" s="340"/>
      <c r="AN75" s="340"/>
      <c r="AO75" s="340"/>
      <c r="AP75" s="340"/>
      <c r="AQ75" s="340"/>
    </row>
    <row r="76" spans="1:43">
      <c r="I76" s="346"/>
      <c r="J76" s="346"/>
      <c r="K76" s="292" t="s">
        <v>154</v>
      </c>
      <c r="L76" s="291" t="str">
        <f>IFERROR(IRR(M72:AQ72), "PROJET NON RENTABLE")</f>
        <v>PROJET NON RENTABLE</v>
      </c>
      <c r="M76" s="347"/>
      <c r="N76" s="346"/>
      <c r="O76" s="346"/>
      <c r="P76" s="346"/>
      <c r="Q76" s="346"/>
      <c r="R76" s="346"/>
      <c r="S76" s="346"/>
      <c r="T76" s="346"/>
      <c r="U76" s="346"/>
      <c r="V76" s="346"/>
      <c r="W76" s="346"/>
      <c r="X76" s="346"/>
      <c r="Y76" s="346"/>
      <c r="Z76" s="346"/>
      <c r="AA76" s="346"/>
      <c r="AB76" s="346"/>
      <c r="AC76" s="346"/>
      <c r="AD76" s="346"/>
      <c r="AE76" s="346"/>
      <c r="AF76" s="346"/>
      <c r="AG76" s="346"/>
      <c r="AH76" s="346"/>
      <c r="AI76" s="346"/>
      <c r="AJ76" s="346"/>
      <c r="AK76" s="346"/>
      <c r="AL76" s="346"/>
      <c r="AM76" s="346"/>
      <c r="AN76" s="346"/>
      <c r="AO76" s="346"/>
      <c r="AP76" s="346"/>
      <c r="AQ76" s="346"/>
    </row>
    <row r="77" spans="1:43" ht="13.8" thickBot="1">
      <c r="I77" s="343"/>
      <c r="J77" s="343"/>
      <c r="K77" s="290" t="s">
        <v>153</v>
      </c>
      <c r="L77" s="450" cm="1">
        <f t="array" ref="L77">IFERROR(INDEX(M65:AQ65,MATCH(TRUE,M74:AQ74&gt;0,0)),"PROJET NON RENTABLE")</f>
        <v>0</v>
      </c>
      <c r="M77" s="345"/>
      <c r="N77" s="343"/>
      <c r="O77" s="343"/>
      <c r="P77" s="344"/>
      <c r="Q77" s="344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3"/>
      <c r="AF77" s="343"/>
      <c r="AG77" s="343"/>
      <c r="AH77" s="343"/>
      <c r="AI77" s="343"/>
      <c r="AJ77" s="343"/>
      <c r="AK77" s="343"/>
      <c r="AL77" s="343"/>
      <c r="AM77" s="343"/>
      <c r="AN77" s="343"/>
      <c r="AO77" s="343"/>
      <c r="AP77" s="343"/>
      <c r="AQ77" s="343"/>
    </row>
    <row r="78" spans="1:43">
      <c r="I78" s="340"/>
      <c r="J78" s="340"/>
      <c r="K78" s="342"/>
      <c r="L78" s="342"/>
      <c r="M78" s="342"/>
      <c r="N78" s="342"/>
      <c r="O78" s="342"/>
      <c r="P78" s="342"/>
      <c r="Q78" s="342"/>
      <c r="R78" s="342"/>
      <c r="S78" s="342"/>
      <c r="T78" s="342"/>
      <c r="U78" s="342"/>
      <c r="V78" s="342"/>
      <c r="W78" s="342"/>
      <c r="X78" s="342"/>
      <c r="Y78" s="342"/>
      <c r="Z78" s="342"/>
      <c r="AA78" s="342"/>
      <c r="AB78" s="342"/>
      <c r="AC78" s="340"/>
      <c r="AD78" s="340"/>
      <c r="AE78" s="340"/>
      <c r="AF78" s="340"/>
      <c r="AG78" s="340"/>
      <c r="AH78" s="340"/>
      <c r="AI78" s="340"/>
      <c r="AJ78" s="340"/>
      <c r="AK78" s="340"/>
      <c r="AL78" s="340"/>
      <c r="AM78" s="340"/>
      <c r="AN78" s="340"/>
      <c r="AO78" s="340"/>
      <c r="AP78" s="340"/>
      <c r="AQ78" s="340"/>
    </row>
    <row r="79" spans="1:43" ht="13.8" thickBot="1">
      <c r="I79" s="340"/>
      <c r="J79" s="340"/>
      <c r="K79" s="340"/>
      <c r="L79" s="341"/>
      <c r="M79" s="340"/>
      <c r="N79" s="340"/>
      <c r="O79" s="340"/>
      <c r="P79" s="340"/>
      <c r="Q79" s="340"/>
      <c r="R79" s="340"/>
      <c r="S79" s="340"/>
      <c r="T79" s="340"/>
      <c r="U79" s="340"/>
      <c r="V79" s="340"/>
      <c r="W79" s="340"/>
      <c r="X79" s="340"/>
      <c r="Y79" s="340"/>
      <c r="Z79" s="340"/>
      <c r="AA79" s="340"/>
      <c r="AB79" s="340"/>
      <c r="AC79" s="340"/>
      <c r="AD79" s="340"/>
      <c r="AE79" s="340"/>
      <c r="AF79" s="340"/>
      <c r="AG79" s="340"/>
      <c r="AH79" s="340"/>
      <c r="AI79" s="340"/>
      <c r="AJ79" s="340"/>
      <c r="AK79" s="340"/>
      <c r="AL79" s="340"/>
      <c r="AM79" s="340"/>
      <c r="AN79" s="340"/>
      <c r="AO79" s="340"/>
      <c r="AP79" s="340"/>
      <c r="AQ79" s="340"/>
    </row>
    <row r="80" spans="1:43" ht="16.2" thickBot="1">
      <c r="I80" s="758" t="s">
        <v>173</v>
      </c>
      <c r="J80" s="759"/>
      <c r="K80" s="759"/>
      <c r="L80" s="759"/>
      <c r="M80" s="759"/>
      <c r="N80" s="759"/>
      <c r="O80" s="759"/>
      <c r="P80" s="759"/>
      <c r="Q80" s="759"/>
      <c r="R80" s="759"/>
      <c r="S80" s="759"/>
      <c r="T80" s="759"/>
      <c r="U80" s="759"/>
      <c r="V80" s="759"/>
      <c r="W80" s="759"/>
      <c r="X80" s="759"/>
      <c r="Y80" s="759"/>
      <c r="Z80" s="759"/>
      <c r="AA80" s="759"/>
      <c r="AB80" s="759"/>
      <c r="AC80" s="759"/>
      <c r="AD80" s="759"/>
      <c r="AE80" s="759"/>
      <c r="AF80" s="759"/>
      <c r="AG80" s="759"/>
      <c r="AH80" s="759"/>
      <c r="AI80" s="759"/>
      <c r="AJ80" s="759"/>
      <c r="AK80" s="759"/>
      <c r="AL80" s="759"/>
      <c r="AM80" s="759"/>
      <c r="AN80" s="759"/>
      <c r="AO80" s="759"/>
      <c r="AP80" s="759"/>
      <c r="AQ80" s="760"/>
    </row>
    <row r="81" spans="9:43" ht="21" thickBot="1"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300"/>
      <c r="AC81" s="299"/>
      <c r="AD81" s="299"/>
      <c r="AE81" s="299"/>
      <c r="AF81" s="299"/>
      <c r="AG81" s="299"/>
      <c r="AH81" s="299"/>
      <c r="AI81" s="299"/>
      <c r="AJ81" s="299"/>
      <c r="AK81" s="299"/>
      <c r="AL81" s="299"/>
      <c r="AM81" s="299"/>
      <c r="AN81" s="299"/>
      <c r="AO81" s="299"/>
      <c r="AP81" s="299"/>
      <c r="AQ81" s="299"/>
    </row>
    <row r="82" spans="9:43" ht="16.2" thickBot="1">
      <c r="I82" s="300"/>
      <c r="J82" s="300"/>
      <c r="K82" s="340"/>
      <c r="L82" s="339"/>
      <c r="M82" s="738" t="s">
        <v>172</v>
      </c>
      <c r="N82" s="739"/>
      <c r="O82" s="739"/>
      <c r="P82" s="739"/>
      <c r="Q82" s="739"/>
      <c r="R82" s="739"/>
      <c r="S82" s="739"/>
      <c r="T82" s="739"/>
      <c r="U82" s="739"/>
      <c r="V82" s="739"/>
      <c r="W82" s="739"/>
      <c r="X82" s="739"/>
      <c r="Y82" s="739"/>
      <c r="Z82" s="739"/>
      <c r="AA82" s="739"/>
      <c r="AB82" s="739"/>
      <c r="AC82" s="739"/>
      <c r="AD82" s="739"/>
      <c r="AE82" s="739"/>
      <c r="AF82" s="739"/>
      <c r="AG82" s="739"/>
      <c r="AH82" s="739"/>
      <c r="AI82" s="739"/>
      <c r="AJ82" s="739"/>
      <c r="AK82" s="739"/>
      <c r="AL82" s="739"/>
      <c r="AM82" s="739"/>
      <c r="AN82" s="739"/>
      <c r="AO82" s="739"/>
      <c r="AP82" s="739"/>
      <c r="AQ82" s="740"/>
    </row>
    <row r="83" spans="9:43" ht="16.2" thickBot="1">
      <c r="I83" s="300"/>
      <c r="J83" s="300"/>
      <c r="K83" s="340"/>
      <c r="L83" s="339"/>
      <c r="M83" s="338">
        <v>0</v>
      </c>
      <c r="N83" s="337">
        <v>1</v>
      </c>
      <c r="O83" s="337">
        <v>2</v>
      </c>
      <c r="P83" s="337">
        <v>3</v>
      </c>
      <c r="Q83" s="337">
        <v>4</v>
      </c>
      <c r="R83" s="337">
        <v>5</v>
      </c>
      <c r="S83" s="337">
        <v>6</v>
      </c>
      <c r="T83" s="337">
        <v>7</v>
      </c>
      <c r="U83" s="337">
        <v>8</v>
      </c>
      <c r="V83" s="337">
        <v>9</v>
      </c>
      <c r="W83" s="337">
        <v>10</v>
      </c>
      <c r="X83" s="337">
        <v>11</v>
      </c>
      <c r="Y83" s="337">
        <v>12</v>
      </c>
      <c r="Z83" s="337">
        <v>13</v>
      </c>
      <c r="AA83" s="337">
        <v>14</v>
      </c>
      <c r="AB83" s="337">
        <v>15</v>
      </c>
      <c r="AC83" s="337">
        <v>16</v>
      </c>
      <c r="AD83" s="337">
        <v>17</v>
      </c>
      <c r="AE83" s="337">
        <v>18</v>
      </c>
      <c r="AF83" s="337">
        <v>19</v>
      </c>
      <c r="AG83" s="337">
        <v>20</v>
      </c>
      <c r="AH83" s="337">
        <v>21</v>
      </c>
      <c r="AI83" s="337">
        <v>22</v>
      </c>
      <c r="AJ83" s="337">
        <v>23</v>
      </c>
      <c r="AK83" s="337">
        <v>24</v>
      </c>
      <c r="AL83" s="337">
        <v>25</v>
      </c>
      <c r="AM83" s="337">
        <v>26</v>
      </c>
      <c r="AN83" s="337">
        <v>27</v>
      </c>
      <c r="AO83" s="337">
        <v>28</v>
      </c>
      <c r="AP83" s="337">
        <v>29</v>
      </c>
      <c r="AQ83" s="336">
        <v>30</v>
      </c>
    </row>
    <row r="84" spans="9:43" ht="20.399999999999999">
      <c r="I84" s="300"/>
      <c r="J84" s="300"/>
      <c r="K84" s="751" t="s">
        <v>171</v>
      </c>
      <c r="L84" s="335" t="s">
        <v>170</v>
      </c>
      <c r="M84" s="334">
        <f>(L42)</f>
        <v>0</v>
      </c>
      <c r="N84" s="333"/>
      <c r="O84" s="333"/>
      <c r="P84" s="333"/>
      <c r="Q84" s="333"/>
      <c r="R84" s="333"/>
      <c r="S84" s="333"/>
      <c r="T84" s="333"/>
      <c r="U84" s="333"/>
      <c r="V84" s="333"/>
      <c r="W84" s="333"/>
      <c r="X84" s="333"/>
      <c r="Y84" s="333"/>
      <c r="Z84" s="333"/>
      <c r="AA84" s="333"/>
      <c r="AB84" s="333"/>
      <c r="AC84" s="332"/>
      <c r="AD84" s="332"/>
      <c r="AE84" s="332"/>
      <c r="AF84" s="332"/>
      <c r="AG84" s="332"/>
      <c r="AH84" s="332"/>
      <c r="AI84" s="332"/>
      <c r="AJ84" s="332"/>
      <c r="AK84" s="332"/>
      <c r="AL84" s="332"/>
      <c r="AM84" s="332"/>
      <c r="AN84" s="332"/>
      <c r="AO84" s="332"/>
      <c r="AP84" s="332"/>
      <c r="AQ84" s="331"/>
    </row>
    <row r="85" spans="9:43" ht="21" thickBot="1">
      <c r="I85" s="300"/>
      <c r="J85" s="300"/>
      <c r="K85" s="753"/>
      <c r="L85" s="330" t="s">
        <v>169</v>
      </c>
      <c r="M85" s="328">
        <f>L43</f>
        <v>0</v>
      </c>
      <c r="N85" s="327"/>
      <c r="O85" s="327"/>
      <c r="P85" s="327"/>
      <c r="Q85" s="327"/>
      <c r="R85" s="327"/>
      <c r="S85" s="327"/>
      <c r="T85" s="327"/>
      <c r="U85" s="327"/>
      <c r="V85" s="327"/>
      <c r="W85" s="327"/>
      <c r="X85" s="327"/>
      <c r="Y85" s="327"/>
      <c r="Z85" s="327"/>
      <c r="AA85" s="327"/>
      <c r="AB85" s="327"/>
      <c r="AC85" s="299"/>
      <c r="AD85" s="299"/>
      <c r="AE85" s="299"/>
      <c r="AF85" s="299"/>
      <c r="AG85" s="299"/>
      <c r="AH85" s="299"/>
      <c r="AI85" s="299"/>
      <c r="AJ85" s="299"/>
      <c r="AK85" s="299"/>
      <c r="AL85" s="299"/>
      <c r="AM85" s="299"/>
      <c r="AN85" s="299"/>
      <c r="AO85" s="299"/>
      <c r="AP85" s="299"/>
      <c r="AQ85" s="326"/>
    </row>
    <row r="86" spans="9:43" ht="20.399999999999999">
      <c r="I86" s="300"/>
      <c r="J86" s="300"/>
      <c r="K86" s="751" t="s">
        <v>168</v>
      </c>
      <c r="L86" s="329" t="s">
        <v>167</v>
      </c>
      <c r="M86" s="328">
        <f>L44+L45</f>
        <v>0</v>
      </c>
      <c r="N86" s="327"/>
      <c r="O86" s="327"/>
      <c r="P86" s="327"/>
      <c r="Q86" s="327"/>
      <c r="R86" s="327"/>
      <c r="S86" s="327"/>
      <c r="T86" s="327"/>
      <c r="U86" s="327"/>
      <c r="V86" s="327"/>
      <c r="W86" s="327"/>
      <c r="X86" s="327"/>
      <c r="Y86" s="327"/>
      <c r="Z86" s="327"/>
      <c r="AA86" s="327"/>
      <c r="AB86" s="327"/>
      <c r="AC86" s="299"/>
      <c r="AD86" s="299"/>
      <c r="AE86" s="299"/>
      <c r="AF86" s="299"/>
      <c r="AG86" s="299"/>
      <c r="AH86" s="299"/>
      <c r="AI86" s="299"/>
      <c r="AJ86" s="299"/>
      <c r="AK86" s="299"/>
      <c r="AL86" s="299"/>
      <c r="AM86" s="299"/>
      <c r="AN86" s="299"/>
      <c r="AO86" s="299"/>
      <c r="AP86" s="299"/>
      <c r="AQ86" s="326"/>
    </row>
    <row r="87" spans="9:43" ht="16.2" thickBot="1">
      <c r="I87" s="300"/>
      <c r="J87" s="300"/>
      <c r="K87" s="753"/>
      <c r="L87" s="325" t="s">
        <v>166</v>
      </c>
      <c r="M87" s="316"/>
      <c r="N87" s="315" t="str">
        <f t="shared" ref="N87:AQ87" si="7">IF(N83&lt;=$L$50,$L$49,"")</f>
        <v/>
      </c>
      <c r="O87" s="315" t="str">
        <f t="shared" si="7"/>
        <v/>
      </c>
      <c r="P87" s="315" t="str">
        <f t="shared" si="7"/>
        <v/>
      </c>
      <c r="Q87" s="315" t="str">
        <f t="shared" si="7"/>
        <v/>
      </c>
      <c r="R87" s="315" t="str">
        <f t="shared" si="7"/>
        <v/>
      </c>
      <c r="S87" s="315" t="str">
        <f t="shared" si="7"/>
        <v/>
      </c>
      <c r="T87" s="315" t="str">
        <f t="shared" si="7"/>
        <v/>
      </c>
      <c r="U87" s="315" t="str">
        <f t="shared" si="7"/>
        <v/>
      </c>
      <c r="V87" s="315" t="str">
        <f t="shared" si="7"/>
        <v/>
      </c>
      <c r="W87" s="315" t="str">
        <f t="shared" si="7"/>
        <v/>
      </c>
      <c r="X87" s="315" t="str">
        <f t="shared" si="7"/>
        <v/>
      </c>
      <c r="Y87" s="315" t="str">
        <f t="shared" si="7"/>
        <v/>
      </c>
      <c r="Z87" s="315" t="str">
        <f t="shared" si="7"/>
        <v/>
      </c>
      <c r="AA87" s="315" t="str">
        <f t="shared" si="7"/>
        <v/>
      </c>
      <c r="AB87" s="315" t="str">
        <f t="shared" si="7"/>
        <v/>
      </c>
      <c r="AC87" s="315" t="str">
        <f t="shared" si="7"/>
        <v/>
      </c>
      <c r="AD87" s="315" t="str">
        <f t="shared" si="7"/>
        <v/>
      </c>
      <c r="AE87" s="315" t="str">
        <f t="shared" si="7"/>
        <v/>
      </c>
      <c r="AF87" s="315" t="str">
        <f t="shared" si="7"/>
        <v/>
      </c>
      <c r="AG87" s="315" t="str">
        <f t="shared" si="7"/>
        <v/>
      </c>
      <c r="AH87" s="315" t="str">
        <f t="shared" si="7"/>
        <v/>
      </c>
      <c r="AI87" s="315" t="str">
        <f t="shared" si="7"/>
        <v/>
      </c>
      <c r="AJ87" s="315" t="str">
        <f t="shared" si="7"/>
        <v/>
      </c>
      <c r="AK87" s="315" t="str">
        <f t="shared" si="7"/>
        <v/>
      </c>
      <c r="AL87" s="315" t="str">
        <f t="shared" si="7"/>
        <v/>
      </c>
      <c r="AM87" s="315" t="str">
        <f t="shared" si="7"/>
        <v/>
      </c>
      <c r="AN87" s="315" t="str">
        <f t="shared" si="7"/>
        <v/>
      </c>
      <c r="AO87" s="315" t="str">
        <f t="shared" si="7"/>
        <v/>
      </c>
      <c r="AP87" s="315" t="str">
        <f t="shared" si="7"/>
        <v/>
      </c>
      <c r="AQ87" s="314" t="str">
        <f t="shared" si="7"/>
        <v/>
      </c>
    </row>
    <row r="88" spans="9:43" ht="16.2" thickBot="1">
      <c r="I88" s="300"/>
      <c r="J88" s="300"/>
      <c r="K88" s="324" t="s">
        <v>165</v>
      </c>
      <c r="L88" s="323" t="s">
        <v>165</v>
      </c>
      <c r="M88" s="312"/>
      <c r="N88" s="322">
        <f>IF(N83&lt;=$J$12,($L$48+$L$51+$L$52+$L$53+$L$54+$L$55+$L$56+$L$57+$L$58+$L$59),"")</f>
        <v>0</v>
      </c>
      <c r="O88" s="322">
        <f>IF(O83&lt;=$J$12,N88*(1+Paramètres!$B$20),"")</f>
        <v>0</v>
      </c>
      <c r="P88" s="322">
        <f>IF(P83&lt;=$J$12,O88*(1+Paramètres!$B$20),"")</f>
        <v>0</v>
      </c>
      <c r="Q88" s="322">
        <f>IF(Q83&lt;=$J$12,P88*(1+Paramètres!$B$20),"")</f>
        <v>0</v>
      </c>
      <c r="R88" s="322">
        <f>IF(R83&lt;=$J$12,Q88*(1+Paramètres!$B$20),"")</f>
        <v>0</v>
      </c>
      <c r="S88" s="322">
        <f>IF(S83&lt;=$J$12,R88*(1+Paramètres!$B$20),"")</f>
        <v>0</v>
      </c>
      <c r="T88" s="322">
        <f>IF(T83&lt;=$J$12,S88*(1+Paramètres!$B$20),"")</f>
        <v>0</v>
      </c>
      <c r="U88" s="322">
        <f>IF(U83&lt;=$J$12,T88*(1+Paramètres!$B$20),"")</f>
        <v>0</v>
      </c>
      <c r="V88" s="322">
        <f>IF(V83&lt;=$J$12,U88*(1+Paramètres!$B$20),"")</f>
        <v>0</v>
      </c>
      <c r="W88" s="322">
        <f>IF(W83&lt;=$J$12,V88*(1+Paramètres!$B$20),"")</f>
        <v>0</v>
      </c>
      <c r="X88" s="322">
        <f>IF(X83&lt;=$J$12,W88*(1+Paramètres!$B$20),"")</f>
        <v>0</v>
      </c>
      <c r="Y88" s="322">
        <f>IF(Y83&lt;=$J$12,X88*(1+Paramètres!$B$20),"")</f>
        <v>0</v>
      </c>
      <c r="Z88" s="322">
        <f>IF(Z83&lt;=$J$12,Y88*(1+Paramètres!$B$20),"")</f>
        <v>0</v>
      </c>
      <c r="AA88" s="322">
        <f>IF(AA83&lt;=$J$12,Z88*(1+Paramètres!$B$20),"")</f>
        <v>0</v>
      </c>
      <c r="AB88" s="322">
        <f>IF(AB83&lt;=$J$12,AA88*(1+Paramètres!$B$20),"")</f>
        <v>0</v>
      </c>
      <c r="AC88" s="322" t="str">
        <f>IF(AC83&lt;=$J$12,AB88*(1+Paramètres!$B$20),"")</f>
        <v/>
      </c>
      <c r="AD88" s="322" t="str">
        <f>IF(AD83&lt;=$J$12,AC88*(1+Paramètres!$B$20),"")</f>
        <v/>
      </c>
      <c r="AE88" s="322" t="str">
        <f>IF(AE83&lt;=$J$12,AD88*(1+Paramètres!$B$20),"")</f>
        <v/>
      </c>
      <c r="AF88" s="322" t="str">
        <f>IF(AF83&lt;=$J$12,AE88*(1+Paramètres!$B$20),"")</f>
        <v/>
      </c>
      <c r="AG88" s="322" t="str">
        <f>IF(AG83&lt;=$J$12,AF88*(1+Paramètres!$B$20),"")</f>
        <v/>
      </c>
      <c r="AH88" s="322" t="str">
        <f>IF(AH83&lt;=$J$12,AG88*(1+Paramètres!$B$20),"")</f>
        <v/>
      </c>
      <c r="AI88" s="322" t="str">
        <f>IF(AI83&lt;=$J$12,AH88*(1+Paramètres!$B$20),"")</f>
        <v/>
      </c>
      <c r="AJ88" s="322" t="str">
        <f>IF(AJ83&lt;=$J$12,AI88*(1+Paramètres!$B$20),"")</f>
        <v/>
      </c>
      <c r="AK88" s="322" t="str">
        <f>IF(AK83&lt;=$J$12,AJ88*(1+Paramètres!$B$20),"")</f>
        <v/>
      </c>
      <c r="AL88" s="322" t="str">
        <f>IF(AL83&lt;=$J$12,AK88*(1+Paramètres!$B$20),"")</f>
        <v/>
      </c>
      <c r="AM88" s="322" t="str">
        <f>IF(AM83&lt;=$J$12,AL88*(1+Paramètres!$B$20),"")</f>
        <v/>
      </c>
      <c r="AN88" s="322" t="str">
        <f>IF(AN83&lt;=$J$12,AM88*(1+Paramètres!$B$20),"")</f>
        <v/>
      </c>
      <c r="AO88" s="322" t="str">
        <f>IF(AO83&lt;=$J$12,AN88*(1+Paramètres!$B$20),"")</f>
        <v/>
      </c>
      <c r="AP88" s="322" t="str">
        <f>IF(AP83&lt;=$J$12,AO88*(1+Paramètres!$B$20),"")</f>
        <v/>
      </c>
      <c r="AQ88" s="321" t="str">
        <f>IF(AQ83&lt;=$J$12,AP88*(1+Paramètres!$B$20),"")</f>
        <v/>
      </c>
    </row>
    <row r="89" spans="9:43" ht="15.6">
      <c r="I89" s="300"/>
      <c r="J89" s="300"/>
      <c r="K89" s="751" t="s">
        <v>164</v>
      </c>
      <c r="L89" s="320" t="s">
        <v>163</v>
      </c>
      <c r="M89" s="319"/>
      <c r="N89" s="318">
        <f>IF(AND(N83=1,J19="OUI"),(Paramètres!$B$22*'AA1'!L42),"")</f>
        <v>0</v>
      </c>
      <c r="O89" s="318" t="str">
        <f>IF(O83=1,(Paramètres!$B$22*'AA1'!M42),"")</f>
        <v/>
      </c>
      <c r="P89" s="318" t="str">
        <f>IF(P83=1,(Paramètres!$B$22*'AA1'!N42),"")</f>
        <v/>
      </c>
      <c r="Q89" s="318" t="str">
        <f>IF(Q83=1,(Paramètres!$B$22*'AA1'!O42),"")</f>
        <v/>
      </c>
      <c r="R89" s="318" t="str">
        <f>IF(R83=1,(Paramètres!$B$22*'AA1'!P42),"")</f>
        <v/>
      </c>
      <c r="S89" s="318" t="str">
        <f>IF(S83=1,(Paramètres!$B$22*'AA1'!Q42),"")</f>
        <v/>
      </c>
      <c r="T89" s="318" t="str">
        <f>IF(T83=1,(Paramètres!$B$22*'AA1'!R42),"")</f>
        <v/>
      </c>
      <c r="U89" s="318" t="str">
        <f>IF(U83=1,(Paramètres!$B$22*'AA1'!S42),"")</f>
        <v/>
      </c>
      <c r="V89" s="318" t="str">
        <f>IF(V83=1,(Paramètres!$B$22*'AA1'!T42),"")</f>
        <v/>
      </c>
      <c r="W89" s="318" t="str">
        <f>IF(W83=1,(Paramètres!$B$22*'AA1'!U42),"")</f>
        <v/>
      </c>
      <c r="X89" s="318" t="str">
        <f>IF(X83=1,(Paramètres!$B$22*'AA1'!V42),"")</f>
        <v/>
      </c>
      <c r="Y89" s="318" t="str">
        <f>IF(Y83=1,(Paramètres!$B$22*'AA1'!W42),"")</f>
        <v/>
      </c>
      <c r="Z89" s="318" t="str">
        <f>IF(Z83=1,(Paramètres!$B$22*'AA1'!X42),"")</f>
        <v/>
      </c>
      <c r="AA89" s="318" t="str">
        <f>IF(AA83=1,(Paramètres!$B$22*'AA1'!Y42),"")</f>
        <v/>
      </c>
      <c r="AB89" s="318" t="str">
        <f>IF(AB83=1,(Paramètres!$B$22*'AA1'!Z42),"")</f>
        <v/>
      </c>
      <c r="AC89" s="318" t="str">
        <f>IF(AC83=1,(Paramètres!$B$22*'AA1'!AA42),"")</f>
        <v/>
      </c>
      <c r="AD89" s="318" t="str">
        <f>IF(AD83=1,(Paramètres!$B$22*'AA1'!AB42),"")</f>
        <v/>
      </c>
      <c r="AE89" s="318" t="str">
        <f>IF(AE83=1,(Paramètres!$B$22*'AA1'!AC42),"")</f>
        <v/>
      </c>
      <c r="AF89" s="318" t="str">
        <f>IF(AF83=1,(Paramètres!$B$22*'AA1'!AD42),"")</f>
        <v/>
      </c>
      <c r="AG89" s="318" t="str">
        <f>IF(AG83=1,(Paramètres!$B$22*'AA1'!AE42),"")</f>
        <v/>
      </c>
      <c r="AH89" s="318" t="str">
        <f>IF(AH83=1,(Paramètres!$B$22*'AA1'!AF42),"")</f>
        <v/>
      </c>
      <c r="AI89" s="318" t="str">
        <f>IF(AI83=1,(Paramètres!$B$22*'AA1'!AG42),"")</f>
        <v/>
      </c>
      <c r="AJ89" s="318" t="str">
        <f>IF(AJ83=1,(Paramètres!$B$22*'AA1'!AH42),"")</f>
        <v/>
      </c>
      <c r="AK89" s="318" t="str">
        <f>IF(AK83=1,(Paramètres!$B$22*'AA1'!AI42),"")</f>
        <v/>
      </c>
      <c r="AL89" s="318" t="str">
        <f>IF(AL83=1,(Paramètres!$B$22*'AA1'!AJ42),"")</f>
        <v/>
      </c>
      <c r="AM89" s="318" t="str">
        <f>IF(AM83=1,(Paramètres!$B$22*'AA1'!AK42),"")</f>
        <v/>
      </c>
      <c r="AN89" s="318" t="str">
        <f>IF(AN83=1,(Paramètres!$B$22*'AA1'!AL42),"")</f>
        <v/>
      </c>
      <c r="AO89" s="318" t="str">
        <f>IF(AO83=1,(Paramètres!$B$22*'AA1'!AM42),"")</f>
        <v/>
      </c>
      <c r="AP89" s="318" t="str">
        <f>IF(AP83=1,(Paramètres!$B$22*'AA1'!AN42),"")</f>
        <v/>
      </c>
      <c r="AQ89" s="317" t="str">
        <f>IF(AQ83=1,(Paramètres!$B$22*'AA1'!AO42),"")</f>
        <v/>
      </c>
    </row>
    <row r="90" spans="9:43" ht="15.6">
      <c r="I90" s="300"/>
      <c r="J90" s="300"/>
      <c r="K90" s="752"/>
      <c r="L90" s="313" t="s">
        <v>162</v>
      </c>
      <c r="M90" s="316"/>
      <c r="N90" s="315">
        <f t="shared" ref="N90:AQ90" si="8">IF(N83&lt;=$J$16,$L$42/$J$16,"")</f>
        <v>0</v>
      </c>
      <c r="O90" s="315">
        <f t="shared" si="8"/>
        <v>0</v>
      </c>
      <c r="P90" s="315">
        <f t="shared" si="8"/>
        <v>0</v>
      </c>
      <c r="Q90" s="315">
        <f t="shared" si="8"/>
        <v>0</v>
      </c>
      <c r="R90" s="315">
        <f t="shared" si="8"/>
        <v>0</v>
      </c>
      <c r="S90" s="315">
        <f t="shared" si="8"/>
        <v>0</v>
      </c>
      <c r="T90" s="315">
        <f t="shared" si="8"/>
        <v>0</v>
      </c>
      <c r="U90" s="315">
        <f t="shared" si="8"/>
        <v>0</v>
      </c>
      <c r="V90" s="315">
        <f t="shared" si="8"/>
        <v>0</v>
      </c>
      <c r="W90" s="315">
        <f t="shared" si="8"/>
        <v>0</v>
      </c>
      <c r="X90" s="315" t="str">
        <f t="shared" si="8"/>
        <v/>
      </c>
      <c r="Y90" s="315" t="str">
        <f t="shared" si="8"/>
        <v/>
      </c>
      <c r="Z90" s="315" t="str">
        <f t="shared" si="8"/>
        <v/>
      </c>
      <c r="AA90" s="315" t="str">
        <f t="shared" si="8"/>
        <v/>
      </c>
      <c r="AB90" s="315" t="str">
        <f t="shared" si="8"/>
        <v/>
      </c>
      <c r="AC90" s="315" t="str">
        <f t="shared" si="8"/>
        <v/>
      </c>
      <c r="AD90" s="315" t="str">
        <f t="shared" si="8"/>
        <v/>
      </c>
      <c r="AE90" s="315" t="str">
        <f t="shared" si="8"/>
        <v/>
      </c>
      <c r="AF90" s="315" t="str">
        <f t="shared" si="8"/>
        <v/>
      </c>
      <c r="AG90" s="315" t="str">
        <f t="shared" si="8"/>
        <v/>
      </c>
      <c r="AH90" s="315" t="str">
        <f t="shared" si="8"/>
        <v/>
      </c>
      <c r="AI90" s="315" t="str">
        <f t="shared" si="8"/>
        <v/>
      </c>
      <c r="AJ90" s="315" t="str">
        <f t="shared" si="8"/>
        <v/>
      </c>
      <c r="AK90" s="315" t="str">
        <f t="shared" si="8"/>
        <v/>
      </c>
      <c r="AL90" s="315" t="str">
        <f t="shared" si="8"/>
        <v/>
      </c>
      <c r="AM90" s="315" t="str">
        <f t="shared" si="8"/>
        <v/>
      </c>
      <c r="AN90" s="315" t="str">
        <f t="shared" si="8"/>
        <v/>
      </c>
      <c r="AO90" s="315" t="str">
        <f t="shared" si="8"/>
        <v/>
      </c>
      <c r="AP90" s="315" t="str">
        <f t="shared" si="8"/>
        <v/>
      </c>
      <c r="AQ90" s="314" t="str">
        <f t="shared" si="8"/>
        <v/>
      </c>
    </row>
    <row r="91" spans="9:43" ht="16.2" thickBot="1">
      <c r="I91" s="300"/>
      <c r="J91" s="300"/>
      <c r="K91" s="752"/>
      <c r="L91" s="313" t="s">
        <v>161</v>
      </c>
      <c r="M91" s="312"/>
      <c r="N91" s="311" t="str">
        <f t="shared" ref="N91:AQ91" si="9">IF(SUM(N87:N90)=0,"",SUM(N87:N90))</f>
        <v/>
      </c>
      <c r="O91" s="311" t="str">
        <f t="shared" si="9"/>
        <v/>
      </c>
      <c r="P91" s="311" t="str">
        <f t="shared" si="9"/>
        <v/>
      </c>
      <c r="Q91" s="311" t="str">
        <f t="shared" si="9"/>
        <v/>
      </c>
      <c r="R91" s="311" t="str">
        <f t="shared" si="9"/>
        <v/>
      </c>
      <c r="S91" s="311" t="str">
        <f t="shared" si="9"/>
        <v/>
      </c>
      <c r="T91" s="311" t="str">
        <f t="shared" si="9"/>
        <v/>
      </c>
      <c r="U91" s="311" t="str">
        <f t="shared" si="9"/>
        <v/>
      </c>
      <c r="V91" s="311" t="str">
        <f t="shared" si="9"/>
        <v/>
      </c>
      <c r="W91" s="311" t="str">
        <f t="shared" si="9"/>
        <v/>
      </c>
      <c r="X91" s="311" t="str">
        <f t="shared" si="9"/>
        <v/>
      </c>
      <c r="Y91" s="311" t="str">
        <f t="shared" si="9"/>
        <v/>
      </c>
      <c r="Z91" s="311" t="str">
        <f t="shared" si="9"/>
        <v/>
      </c>
      <c r="AA91" s="311" t="str">
        <f t="shared" si="9"/>
        <v/>
      </c>
      <c r="AB91" s="311" t="str">
        <f t="shared" si="9"/>
        <v/>
      </c>
      <c r="AC91" s="311" t="str">
        <f t="shared" si="9"/>
        <v/>
      </c>
      <c r="AD91" s="311" t="str">
        <f t="shared" si="9"/>
        <v/>
      </c>
      <c r="AE91" s="311" t="str">
        <f t="shared" si="9"/>
        <v/>
      </c>
      <c r="AF91" s="311" t="str">
        <f t="shared" si="9"/>
        <v/>
      </c>
      <c r="AG91" s="311" t="str">
        <f t="shared" si="9"/>
        <v/>
      </c>
      <c r="AH91" s="311" t="str">
        <f t="shared" si="9"/>
        <v/>
      </c>
      <c r="AI91" s="311" t="str">
        <f t="shared" si="9"/>
        <v/>
      </c>
      <c r="AJ91" s="311" t="str">
        <f t="shared" si="9"/>
        <v/>
      </c>
      <c r="AK91" s="311" t="str">
        <f t="shared" si="9"/>
        <v/>
      </c>
      <c r="AL91" s="311" t="str">
        <f t="shared" si="9"/>
        <v/>
      </c>
      <c r="AM91" s="311" t="str">
        <f t="shared" si="9"/>
        <v/>
      </c>
      <c r="AN91" s="311" t="str">
        <f t="shared" si="9"/>
        <v/>
      </c>
      <c r="AO91" s="311" t="str">
        <f t="shared" si="9"/>
        <v/>
      </c>
      <c r="AP91" s="311" t="str">
        <f t="shared" si="9"/>
        <v/>
      </c>
      <c r="AQ91" s="310" t="str">
        <f t="shared" si="9"/>
        <v/>
      </c>
    </row>
    <row r="92" spans="9:43" ht="16.2" thickBot="1">
      <c r="I92" s="300"/>
      <c r="J92" s="300"/>
      <c r="K92" s="753"/>
      <c r="L92" s="309" t="s">
        <v>160</v>
      </c>
      <c r="M92" s="308">
        <f>M85*Paramètres!$B$21</f>
        <v>0</v>
      </c>
      <c r="N92" s="307" t="str">
        <f>IF(N(N91)&gt;0,N91*Paramètres!$B$21,"")</f>
        <v/>
      </c>
      <c r="O92" s="307" t="str">
        <f>IF(N(O91)&gt;0,O91*Paramètres!$B$21,"")</f>
        <v/>
      </c>
      <c r="P92" s="307" t="str">
        <f>IF(N(P91)&gt;0,P91*Paramètres!$B$21,"")</f>
        <v/>
      </c>
      <c r="Q92" s="307" t="str">
        <f>IF(N(Q91)&gt;0,Q91*Paramètres!$B$21,"")</f>
        <v/>
      </c>
      <c r="R92" s="307" t="str">
        <f>IF(N(R91)&gt;0,R91*Paramètres!$B$21,"")</f>
        <v/>
      </c>
      <c r="S92" s="307" t="str">
        <f>IF(N(S91)&gt;0,S91*Paramètres!$B$21,"")</f>
        <v/>
      </c>
      <c r="T92" s="307" t="str">
        <f>IF(N(T91)&gt;0,T91*Paramètres!$B$21,"")</f>
        <v/>
      </c>
      <c r="U92" s="307" t="str">
        <f>IF(N(U91)&gt;0,U91*Paramètres!$B$21,"")</f>
        <v/>
      </c>
      <c r="V92" s="307" t="str">
        <f>IF(N(V91)&gt;0,V91*Paramètres!$B$21,"")</f>
        <v/>
      </c>
      <c r="W92" s="307" t="str">
        <f>IF(N(W91)&gt;0,W91*Paramètres!$B$21,"")</f>
        <v/>
      </c>
      <c r="X92" s="307" t="str">
        <f>IF(N(X91)&gt;0,X91*Paramètres!$B$21,"")</f>
        <v/>
      </c>
      <c r="Y92" s="307" t="str">
        <f>IF(N(Y91)&gt;0,Y91*Paramètres!$B$21,"")</f>
        <v/>
      </c>
      <c r="Z92" s="307" t="str">
        <f>IF(N(Z91)&gt;0,Z91*Paramètres!$B$21,"")</f>
        <v/>
      </c>
      <c r="AA92" s="307" t="str">
        <f>IF(N(AA91)&gt;0,AA91*Paramètres!$B$21,"")</f>
        <v/>
      </c>
      <c r="AB92" s="307" t="str">
        <f>IF(N(AB91)&gt;0,AB91*Paramètres!$B$21,"")</f>
        <v/>
      </c>
      <c r="AC92" s="307" t="str">
        <f>IF(N(AC91)&gt;0,AC91*Paramètres!$B$21,"")</f>
        <v/>
      </c>
      <c r="AD92" s="307" t="str">
        <f>IF(N(AD91)&gt;0,AD91*Paramètres!$B$21,"")</f>
        <v/>
      </c>
      <c r="AE92" s="307" t="str">
        <f>IF(N(AE91)&gt;0,AE91*Paramètres!$B$21,"")</f>
        <v/>
      </c>
      <c r="AF92" s="307" t="str">
        <f>IF(N(AF91)&gt;0,AF91*Paramètres!$B$21,"")</f>
        <v/>
      </c>
      <c r="AG92" s="307" t="str">
        <f>IF(N(AG91)&gt;0,AG91*Paramètres!$B$21,"")</f>
        <v/>
      </c>
      <c r="AH92" s="307" t="str">
        <f>IF(N(AH91)&gt;0,AH91*Paramètres!$B$21,"")</f>
        <v/>
      </c>
      <c r="AI92" s="307" t="str">
        <f>IF(N(AI91)&gt;0,AI91*Paramètres!$B$21,"")</f>
        <v/>
      </c>
      <c r="AJ92" s="307" t="str">
        <f>IF(N(AJ91)&gt;0,AJ91*Paramètres!$B$21,"")</f>
        <v/>
      </c>
      <c r="AK92" s="307" t="str">
        <f>IF(N(AK91)&gt;0,AK91*Paramètres!$B$21,"")</f>
        <v/>
      </c>
      <c r="AL92" s="307" t="str">
        <f>IF(N(AL91)&gt;0,AL91*Paramètres!$B$21,"")</f>
        <v/>
      </c>
      <c r="AM92" s="307" t="str">
        <f>IF(N(AM91)&gt;0,AM91*Paramètres!$B$21,"")</f>
        <v/>
      </c>
      <c r="AN92" s="307" t="str">
        <f>IF(N(AN91)&gt;0,AN91*Paramètres!$B$21,"")</f>
        <v/>
      </c>
      <c r="AO92" s="307" t="str">
        <f>IF(N(AO91)&gt;0,AO91*Paramètres!$B$21,"")</f>
        <v/>
      </c>
      <c r="AP92" s="307" t="str">
        <f>IF(N(AP91)&gt;0,AP91*Paramètres!$B$21,"")</f>
        <v/>
      </c>
      <c r="AQ92" s="306" t="str">
        <f>IF(N(AQ91)&gt;0,AQ91*Paramètres!$B$21,"")</f>
        <v/>
      </c>
    </row>
    <row r="93" spans="9:43" ht="16.2" thickBot="1">
      <c r="I93" s="300"/>
      <c r="J93" s="300"/>
      <c r="K93" s="305" t="s">
        <v>159</v>
      </c>
      <c r="L93" s="304" t="s">
        <v>158</v>
      </c>
      <c r="M93" s="303" t="str">
        <f t="shared" ref="M93:AQ93" si="10">IF(M83=$J$12,$L$46,"")</f>
        <v/>
      </c>
      <c r="N93" s="302" t="str">
        <f t="shared" si="10"/>
        <v/>
      </c>
      <c r="O93" s="302" t="str">
        <f t="shared" si="10"/>
        <v/>
      </c>
      <c r="P93" s="302" t="str">
        <f t="shared" si="10"/>
        <v/>
      </c>
      <c r="Q93" s="302" t="str">
        <f t="shared" si="10"/>
        <v/>
      </c>
      <c r="R93" s="302" t="str">
        <f t="shared" si="10"/>
        <v/>
      </c>
      <c r="S93" s="302" t="str">
        <f t="shared" si="10"/>
        <v/>
      </c>
      <c r="T93" s="302" t="str">
        <f t="shared" si="10"/>
        <v/>
      </c>
      <c r="U93" s="302" t="str">
        <f t="shared" si="10"/>
        <v/>
      </c>
      <c r="V93" s="302" t="str">
        <f t="shared" si="10"/>
        <v/>
      </c>
      <c r="W93" s="302" t="str">
        <f t="shared" si="10"/>
        <v/>
      </c>
      <c r="X93" s="302" t="str">
        <f t="shared" si="10"/>
        <v/>
      </c>
      <c r="Y93" s="302" t="str">
        <f t="shared" si="10"/>
        <v/>
      </c>
      <c r="Z93" s="302" t="str">
        <f t="shared" si="10"/>
        <v/>
      </c>
      <c r="AA93" s="302" t="str">
        <f t="shared" si="10"/>
        <v/>
      </c>
      <c r="AB93" s="302">
        <f t="shared" si="10"/>
        <v>0</v>
      </c>
      <c r="AC93" s="302" t="str">
        <f t="shared" si="10"/>
        <v/>
      </c>
      <c r="AD93" s="302" t="str">
        <f t="shared" si="10"/>
        <v/>
      </c>
      <c r="AE93" s="302" t="str">
        <f t="shared" si="10"/>
        <v/>
      </c>
      <c r="AF93" s="302" t="str">
        <f t="shared" si="10"/>
        <v/>
      </c>
      <c r="AG93" s="302" t="str">
        <f t="shared" si="10"/>
        <v/>
      </c>
      <c r="AH93" s="302" t="str">
        <f t="shared" si="10"/>
        <v/>
      </c>
      <c r="AI93" s="302" t="str">
        <f t="shared" si="10"/>
        <v/>
      </c>
      <c r="AJ93" s="302" t="str">
        <f t="shared" si="10"/>
        <v/>
      </c>
      <c r="AK93" s="302" t="str">
        <f t="shared" si="10"/>
        <v/>
      </c>
      <c r="AL93" s="302" t="str">
        <f t="shared" si="10"/>
        <v/>
      </c>
      <c r="AM93" s="302" t="str">
        <f t="shared" si="10"/>
        <v/>
      </c>
      <c r="AN93" s="302" t="str">
        <f t="shared" si="10"/>
        <v/>
      </c>
      <c r="AO93" s="302" t="str">
        <f t="shared" si="10"/>
        <v/>
      </c>
      <c r="AP93" s="302" t="str">
        <f t="shared" si="10"/>
        <v/>
      </c>
      <c r="AQ93" s="301" t="str">
        <f t="shared" si="10"/>
        <v/>
      </c>
    </row>
    <row r="94" spans="9:43" ht="16.2" thickBot="1">
      <c r="I94" s="300"/>
      <c r="J94" s="300"/>
      <c r="K94" s="741" t="s">
        <v>157</v>
      </c>
      <c r="L94" s="750"/>
      <c r="M94" s="298" t="str">
        <f>IF((SUM(M84:M86)-M92)=0,"",(SUM(M84:M86))-M92)</f>
        <v/>
      </c>
      <c r="N94" s="297" t="str">
        <f t="shared" ref="N94:AQ94" si="11">IF(SUM(N(N87)+N(N88)-N(N92)+N(N93))=0,"",SUM(N(N87)+N(N88)-N(N92)+N(N93)))</f>
        <v/>
      </c>
      <c r="O94" s="297" t="str">
        <f t="shared" si="11"/>
        <v/>
      </c>
      <c r="P94" s="297" t="str">
        <f t="shared" si="11"/>
        <v/>
      </c>
      <c r="Q94" s="297" t="str">
        <f t="shared" si="11"/>
        <v/>
      </c>
      <c r="R94" s="297" t="str">
        <f t="shared" si="11"/>
        <v/>
      </c>
      <c r="S94" s="297" t="str">
        <f t="shared" si="11"/>
        <v/>
      </c>
      <c r="T94" s="297" t="str">
        <f t="shared" si="11"/>
        <v/>
      </c>
      <c r="U94" s="297" t="str">
        <f t="shared" si="11"/>
        <v/>
      </c>
      <c r="V94" s="297" t="str">
        <f t="shared" si="11"/>
        <v/>
      </c>
      <c r="W94" s="297" t="str">
        <f t="shared" si="11"/>
        <v/>
      </c>
      <c r="X94" s="297" t="str">
        <f t="shared" si="11"/>
        <v/>
      </c>
      <c r="Y94" s="297" t="str">
        <f t="shared" si="11"/>
        <v/>
      </c>
      <c r="Z94" s="297" t="str">
        <f t="shared" si="11"/>
        <v/>
      </c>
      <c r="AA94" s="297" t="str">
        <f t="shared" si="11"/>
        <v/>
      </c>
      <c r="AB94" s="297" t="str">
        <f t="shared" si="11"/>
        <v/>
      </c>
      <c r="AC94" s="297" t="str">
        <f t="shared" si="11"/>
        <v/>
      </c>
      <c r="AD94" s="297" t="str">
        <f t="shared" si="11"/>
        <v/>
      </c>
      <c r="AE94" s="297" t="str">
        <f t="shared" si="11"/>
        <v/>
      </c>
      <c r="AF94" s="297" t="str">
        <f t="shared" si="11"/>
        <v/>
      </c>
      <c r="AG94" s="297" t="str">
        <f t="shared" si="11"/>
        <v/>
      </c>
      <c r="AH94" s="297" t="str">
        <f t="shared" si="11"/>
        <v/>
      </c>
      <c r="AI94" s="297" t="str">
        <f t="shared" si="11"/>
        <v/>
      </c>
      <c r="AJ94" s="297" t="str">
        <f t="shared" si="11"/>
        <v/>
      </c>
      <c r="AK94" s="297" t="str">
        <f t="shared" si="11"/>
        <v/>
      </c>
      <c r="AL94" s="297" t="str">
        <f t="shared" si="11"/>
        <v/>
      </c>
      <c r="AM94" s="297" t="str">
        <f t="shared" si="11"/>
        <v/>
      </c>
      <c r="AN94" s="297" t="str">
        <f t="shared" si="11"/>
        <v/>
      </c>
      <c r="AO94" s="297" t="str">
        <f t="shared" si="11"/>
        <v/>
      </c>
      <c r="AP94" s="297" t="str">
        <f t="shared" si="11"/>
        <v/>
      </c>
      <c r="AQ94" s="296" t="str">
        <f t="shared" si="11"/>
        <v/>
      </c>
    </row>
    <row r="95" spans="9:43" ht="13.8" thickBot="1">
      <c r="I95" s="288"/>
      <c r="J95" s="288"/>
      <c r="K95" s="741" t="s">
        <v>156</v>
      </c>
      <c r="L95" s="750"/>
      <c r="M95" s="298" t="str">
        <f>IF(M94="","",((M94)/(1+Paramètres!$B$19)^M83))</f>
        <v/>
      </c>
      <c r="N95" s="297" t="str">
        <f>IF(N94="","",((N94)/(1+Paramètres!$B$19)^N83))</f>
        <v/>
      </c>
      <c r="O95" s="297" t="str">
        <f>IF(O94="","",((O94)/(1+Paramètres!$B$19)^O83))</f>
        <v/>
      </c>
      <c r="P95" s="297" t="str">
        <f>IF(P94="","",((P94)/(1+Paramètres!$B$19)^P83))</f>
        <v/>
      </c>
      <c r="Q95" s="297" t="str">
        <f>IF(Q94="","",((Q94)/(1+Paramètres!$B$19)^Q83))</f>
        <v/>
      </c>
      <c r="R95" s="297" t="str">
        <f>IF(R94="","",((R94)/(1+Paramètres!$B$19)^R83))</f>
        <v/>
      </c>
      <c r="S95" s="297" t="str">
        <f>IF(S94="","",((S94)/(1+Paramètres!$B$19)^S83))</f>
        <v/>
      </c>
      <c r="T95" s="297" t="str">
        <f>IF(T94="","",((T94)/(1+Paramètres!$B$19)^T83))</f>
        <v/>
      </c>
      <c r="U95" s="297" t="str">
        <f>IF(U94="","",((U94)/(1+Paramètres!$B$19)^U83))</f>
        <v/>
      </c>
      <c r="V95" s="297" t="str">
        <f>IF(V94="","",((V94)/(1+Paramètres!$B$19)^V83))</f>
        <v/>
      </c>
      <c r="W95" s="297" t="str">
        <f>IF(W94="","",((W94)/(1+Paramètres!$B$19)^W83))</f>
        <v/>
      </c>
      <c r="X95" s="297" t="str">
        <f>IF(X94="","",((X94)/(1+Paramètres!$B$19)^X83))</f>
        <v/>
      </c>
      <c r="Y95" s="297" t="str">
        <f>IF(Y94="","",((Y94)/(1+Paramètres!$B$19)^Y83))</f>
        <v/>
      </c>
      <c r="Z95" s="297" t="str">
        <f>IF(Z94="","",((Z94)/(1+Paramètres!$B$19)^Z83))</f>
        <v/>
      </c>
      <c r="AA95" s="297" t="str">
        <f>IF(AA94="","",((AA94)/(1+Paramètres!$B$19)^AA83))</f>
        <v/>
      </c>
      <c r="AB95" s="297" t="str">
        <f>IF(AB94="","",((AB94)/(1+Paramètres!$B$19)^AB83))</f>
        <v/>
      </c>
      <c r="AC95" s="297" t="str">
        <f>IF(AC94="","",((AC94)/(1+Paramètres!$B$19)^AC83))</f>
        <v/>
      </c>
      <c r="AD95" s="297" t="str">
        <f>IF(AD94="","",((AD94)/(1+Paramètres!$B$19)^AD83))</f>
        <v/>
      </c>
      <c r="AE95" s="297" t="str">
        <f>IF(AE94="","",((AE94)/(1+Paramètres!$B$19)^AE83))</f>
        <v/>
      </c>
      <c r="AF95" s="297" t="str">
        <f>IF(AF94="","",((AF94)/(1+Paramètres!$B$19)^AF83))</f>
        <v/>
      </c>
      <c r="AG95" s="297" t="str">
        <f>IF(AG94="","",((AG94)/(1+Paramètres!$B$19)^AG83))</f>
        <v/>
      </c>
      <c r="AH95" s="297" t="str">
        <f>IF(AH94="","",((AH94)/(1+Paramètres!$B$19)^AH83))</f>
        <v/>
      </c>
      <c r="AI95" s="297" t="str">
        <f>IF(AI94="","",((AI94)/(1+Paramètres!$B$19)^AI83))</f>
        <v/>
      </c>
      <c r="AJ95" s="297" t="str">
        <f>IF(AJ94="","",((AJ94)/(1+Paramètres!$B$19)^AJ83))</f>
        <v/>
      </c>
      <c r="AK95" s="297" t="str">
        <f>IF(AK94="","",((AK94)/(1+Paramètres!$B$19)^AK83))</f>
        <v/>
      </c>
      <c r="AL95" s="297" t="str">
        <f>IF(AL94="","",((AL94)/(1+Paramètres!$B$19)^AL83))</f>
        <v/>
      </c>
      <c r="AM95" s="297" t="str">
        <f>IF(AM94="","",((AM94)/(1+Paramètres!$B$19)^AM83))</f>
        <v/>
      </c>
      <c r="AN95" s="297" t="str">
        <f>IF(AN94="","",((AN94)/(1+Paramètres!$B$19)^AN83))</f>
        <v/>
      </c>
      <c r="AO95" s="297" t="str">
        <f>IF(AO94="","",((AO94)/(1+Paramètres!$B$19)^AO83))</f>
        <v/>
      </c>
      <c r="AP95" s="297" t="str">
        <f>IF(AP94="","",((AP94)/(1+Paramètres!$B$19)^AP83))</f>
        <v/>
      </c>
      <c r="AQ95" s="296" t="str">
        <f>IF(AQ94="","",((AQ94)/(1+Paramètres!$B$19)^AQ83))</f>
        <v/>
      </c>
    </row>
    <row r="96" spans="9:43" ht="13.8" thickBot="1">
      <c r="I96" s="288"/>
      <c r="J96" s="288"/>
      <c r="K96" s="741" t="s">
        <v>155</v>
      </c>
      <c r="L96" s="750"/>
      <c r="M96" s="295" t="str">
        <f>M95</f>
        <v/>
      </c>
      <c r="N96" s="294" t="str">
        <f t="shared" ref="N96:AQ96" si="12">IF(N95="","",((M96+N73)))</f>
        <v/>
      </c>
      <c r="O96" s="294" t="str">
        <f t="shared" si="12"/>
        <v/>
      </c>
      <c r="P96" s="294" t="str">
        <f t="shared" si="12"/>
        <v/>
      </c>
      <c r="Q96" s="294" t="str">
        <f t="shared" si="12"/>
        <v/>
      </c>
      <c r="R96" s="294" t="str">
        <f t="shared" si="12"/>
        <v/>
      </c>
      <c r="S96" s="294" t="str">
        <f t="shared" si="12"/>
        <v/>
      </c>
      <c r="T96" s="294" t="str">
        <f t="shared" si="12"/>
        <v/>
      </c>
      <c r="U96" s="294" t="str">
        <f t="shared" si="12"/>
        <v/>
      </c>
      <c r="V96" s="294" t="str">
        <f t="shared" si="12"/>
        <v/>
      </c>
      <c r="W96" s="294" t="str">
        <f t="shared" si="12"/>
        <v/>
      </c>
      <c r="X96" s="294" t="str">
        <f t="shared" si="12"/>
        <v/>
      </c>
      <c r="Y96" s="294" t="str">
        <f t="shared" si="12"/>
        <v/>
      </c>
      <c r="Z96" s="294" t="str">
        <f t="shared" si="12"/>
        <v/>
      </c>
      <c r="AA96" s="294" t="str">
        <f t="shared" si="12"/>
        <v/>
      </c>
      <c r="AB96" s="294" t="str">
        <f t="shared" si="12"/>
        <v/>
      </c>
      <c r="AC96" s="294" t="str">
        <f t="shared" si="12"/>
        <v/>
      </c>
      <c r="AD96" s="294" t="str">
        <f t="shared" si="12"/>
        <v/>
      </c>
      <c r="AE96" s="294" t="str">
        <f t="shared" si="12"/>
        <v/>
      </c>
      <c r="AF96" s="294" t="str">
        <f t="shared" si="12"/>
        <v/>
      </c>
      <c r="AG96" s="294" t="str">
        <f t="shared" si="12"/>
        <v/>
      </c>
      <c r="AH96" s="294" t="str">
        <f t="shared" si="12"/>
        <v/>
      </c>
      <c r="AI96" s="294" t="str">
        <f t="shared" si="12"/>
        <v/>
      </c>
      <c r="AJ96" s="294" t="str">
        <f t="shared" si="12"/>
        <v/>
      </c>
      <c r="AK96" s="294" t="str">
        <f t="shared" si="12"/>
        <v/>
      </c>
      <c r="AL96" s="294" t="str">
        <f t="shared" si="12"/>
        <v/>
      </c>
      <c r="AM96" s="294" t="str">
        <f t="shared" si="12"/>
        <v/>
      </c>
      <c r="AN96" s="294" t="str">
        <f t="shared" si="12"/>
        <v/>
      </c>
      <c r="AO96" s="294" t="str">
        <f t="shared" si="12"/>
        <v/>
      </c>
      <c r="AP96" s="294" t="str">
        <f t="shared" si="12"/>
        <v/>
      </c>
      <c r="AQ96" s="293" t="str">
        <f t="shared" si="12"/>
        <v/>
      </c>
    </row>
    <row r="97" spans="11:12" ht="13.8" thickBot="1"/>
    <row r="98" spans="11:12">
      <c r="K98" s="292" t="s">
        <v>154</v>
      </c>
      <c r="L98" s="291" t="str">
        <f>IFERROR(IRR(M94:AQ94), "PROJET NON RENTABLE")</f>
        <v>PROJET NON RENTABLE</v>
      </c>
    </row>
    <row r="99" spans="11:12" ht="13.8" thickBot="1">
      <c r="K99" s="290" t="s">
        <v>153</v>
      </c>
      <c r="L99" s="450" cm="1">
        <f t="array" ref="L99">IFERROR(INDEX(M83:AQ83,MATCH(TRUE,M96:AQ96&gt;0,0)),"PROJET NON RENTABLE")</f>
        <v>0</v>
      </c>
    </row>
  </sheetData>
  <mergeCells count="57">
    <mergeCell ref="I2:AQ2"/>
    <mergeCell ref="I62:AQ62"/>
    <mergeCell ref="I80:AQ80"/>
    <mergeCell ref="I41:M41"/>
    <mergeCell ref="I42:I46"/>
    <mergeCell ref="I22:P22"/>
    <mergeCell ref="I40:P40"/>
    <mergeCell ref="N26:N34"/>
    <mergeCell ref="M24:N24"/>
    <mergeCell ref="M36:N36"/>
    <mergeCell ref="M37:N37"/>
    <mergeCell ref="I48:I59"/>
    <mergeCell ref="I8:J8"/>
    <mergeCell ref="L8:M8"/>
    <mergeCell ref="K6:L6"/>
    <mergeCell ref="K7:L7"/>
    <mergeCell ref="J54:J59"/>
    <mergeCell ref="J51:J52"/>
    <mergeCell ref="K96:L96"/>
    <mergeCell ref="K89:K92"/>
    <mergeCell ref="K84:K85"/>
    <mergeCell ref="K86:K87"/>
    <mergeCell ref="K72:L72"/>
    <mergeCell ref="K94:L94"/>
    <mergeCell ref="K95:L95"/>
    <mergeCell ref="M82:AQ82"/>
    <mergeCell ref="M64:AQ64"/>
    <mergeCell ref="K74:L74"/>
    <mergeCell ref="K66:K67"/>
    <mergeCell ref="K68:K69"/>
    <mergeCell ref="K73:L73"/>
    <mergeCell ref="A27:G27"/>
    <mergeCell ref="A31:G31"/>
    <mergeCell ref="J42:J43"/>
    <mergeCell ref="J44:J45"/>
    <mergeCell ref="J49:J50"/>
    <mergeCell ref="A1:G1"/>
    <mergeCell ref="A2:G2"/>
    <mergeCell ref="A3:G3"/>
    <mergeCell ref="E5:F5"/>
    <mergeCell ref="D66:E66"/>
    <mergeCell ref="A47:E47"/>
    <mergeCell ref="A51:E51"/>
    <mergeCell ref="A52:E52"/>
    <mergeCell ref="A53:E53"/>
    <mergeCell ref="A48:E48"/>
    <mergeCell ref="A45:E45"/>
    <mergeCell ref="A46:E46"/>
    <mergeCell ref="A54:E54"/>
    <mergeCell ref="A9:G9"/>
    <mergeCell ref="A13:G13"/>
    <mergeCell ref="A17:G17"/>
    <mergeCell ref="A70:E70"/>
    <mergeCell ref="A57:G57"/>
    <mergeCell ref="A65:G65"/>
    <mergeCell ref="A62:E62"/>
    <mergeCell ref="D58:E58"/>
  </mergeCells>
  <dataValidations count="4">
    <dataValidation type="list" showInputMessage="1" showErrorMessage="1" sqref="J11" xr:uid="{252CD542-E192-42C8-968C-379AEFD23B14}">
      <formula1>"Tertiaire Public,Tertiaire Privé,Industrie"</formula1>
    </dataValidation>
    <dataValidation type="list" showInputMessage="1" showErrorMessage="1" sqref="J10" xr:uid="{4F2EA58A-02D1-4B10-A3BF-2D6C456DEE27}">
      <formula1>Poste</formula1>
    </dataValidation>
    <dataValidation type="list" allowBlank="1" showInputMessage="1" showErrorMessage="1" sqref="J20" xr:uid="{90B101AD-8556-472C-AFC3-1AAA84405847}">
      <formula1>"Oui,Non"</formula1>
    </dataValidation>
    <dataValidation type="list" allowBlank="1" showInputMessage="1" showErrorMessage="1" sqref="J18:J19" xr:uid="{C61C8F7B-D1A4-46CC-A4A4-06F582B23EE0}">
      <formula1>"OUI,NON"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87" orientation="portrait" horizontalDpi="4294967293" verticalDpi="1200" r:id="rId1"/>
  <headerFooter alignWithMargins="0">
    <oddHeader>&amp;C&amp;"Arial,Gras"&amp;14ECONOTEC / 3J-CONSULT</oddHeader>
    <oddFooter>&amp;L&amp;F&amp;R&amp;A</oddFooter>
  </headerFooter>
  <rowBreaks count="1" manualBreakCount="1">
    <brk id="54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9D51E7921BD941A153A7CBC2BB9FB0" ma:contentTypeVersion="16" ma:contentTypeDescription="Crée un document." ma:contentTypeScope="" ma:versionID="f4f520099f4cff996df4571bf20cca71">
  <xsd:schema xmlns:xsd="http://www.w3.org/2001/XMLSchema" xmlns:xs="http://www.w3.org/2001/XMLSchema" xmlns:p="http://schemas.microsoft.com/office/2006/metadata/properties" xmlns:ns1="http://schemas.microsoft.com/sharepoint/v3" xmlns:ns2="7d52d7d3-90fd-4c0b-99ab-3c4f816c07d8" xmlns:ns3="c7b7bb88-9ef4-43c8-827d-f74dd06a2934" targetNamespace="http://schemas.microsoft.com/office/2006/metadata/properties" ma:root="true" ma:fieldsID="8f92884a1843b8d81dabce122368ee31" ns1:_="" ns2:_="" ns3:_="">
    <xsd:import namespace="http://schemas.microsoft.com/sharepoint/v3"/>
    <xsd:import namespace="7d52d7d3-90fd-4c0b-99ab-3c4f816c07d8"/>
    <xsd:import namespace="c7b7bb88-9ef4-43c8-827d-f74dd06a293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Propriétés de la stratégie de conformité unifiée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Action d’interface utilisateur de la stratégie de conformité unifié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2d7d3-90fd-4c0b-99ab-3c4f816c07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cc4018d8-b214-4a48-af45-02710e18d6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7bb88-9ef4-43c8-827d-f74dd06a293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4113430-99c7-4bc2-91f6-a47b7f31b4b1}" ma:internalName="TaxCatchAll" ma:showField="CatchAllData" ma:web="c7b7bb88-9ef4-43c8-827d-f74dd06a293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7b7bb88-9ef4-43c8-827d-f74dd06a2934" xsi:nil="true"/>
    <_ip_UnifiedCompliancePolicyUIAction xmlns="http://schemas.microsoft.com/sharepoint/v3" xsi:nil="true"/>
    <lcf76f155ced4ddcb4097134ff3c332f xmlns="7d52d7d3-90fd-4c0b-99ab-3c4f816c07d8">
      <Terms xmlns="http://schemas.microsoft.com/office/infopath/2007/PartnerControls"/>
    </lcf76f155ced4ddcb4097134ff3c332f>
    <_ip_UnifiedCompliancePolicyProperties xmlns="http://schemas.microsoft.com/sharepoint/v3" xsi:nil="true"/>
    <SharedWithUsers xmlns="c7b7bb88-9ef4-43c8-827d-f74dd06a2934">
      <UserInfo>
        <DisplayName>AGW AMURE - Membres</DisplayName>
        <AccountId>67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0580D6-1C6C-44CE-8638-E2D589DE12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2d7d3-90fd-4c0b-99ab-3c4f816c07d8"/>
    <ds:schemaRef ds:uri="c7b7bb88-9ef4-43c8-827d-f74dd06a29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93C92D4-1B19-4DF4-B9DE-B9606038F27A}">
  <ds:schemaRefs>
    <ds:schemaRef ds:uri="http://schemas.microsoft.com/office/infopath/2007/PartnerControls"/>
    <ds:schemaRef ds:uri="http://schemas.microsoft.com/sharepoint/v3"/>
    <ds:schemaRef ds:uri="http://www.w3.org/XML/1998/namespace"/>
    <ds:schemaRef ds:uri="c7b7bb88-9ef4-43c8-827d-f74dd06a2934"/>
    <ds:schemaRef ds:uri="7d52d7d3-90fd-4c0b-99ab-3c4f816c07d8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4F2C4027-2E72-413D-8B18-A8CFAA65441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5</vt:i4>
      </vt:variant>
    </vt:vector>
  </HeadingPairs>
  <TitlesOfParts>
    <vt:vector size="10" baseType="lpstr">
      <vt:lpstr>Entête</vt:lpstr>
      <vt:lpstr>Paramètres</vt:lpstr>
      <vt:lpstr>2023</vt:lpstr>
      <vt:lpstr>PA</vt:lpstr>
      <vt:lpstr>AA1</vt:lpstr>
      <vt:lpstr>PA!Impression_des_titres</vt:lpstr>
      <vt:lpstr>Poste</vt:lpstr>
      <vt:lpstr>'AA1'!Zone_d_impression</vt:lpstr>
      <vt:lpstr>Entête!Zone_d_impression</vt:lpstr>
      <vt:lpstr>PA!Zone_d_impression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Jean-Benoit Verbeke</dc:creator>
  <cp:lastModifiedBy>TACK Grégory</cp:lastModifiedBy>
  <cp:lastPrinted>2016-05-29T13:54:38Z</cp:lastPrinted>
  <dcterms:created xsi:type="dcterms:W3CDTF">1996-10-14T23:33:28Z</dcterms:created>
  <dcterms:modified xsi:type="dcterms:W3CDTF">2024-04-11T08:04:14Z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0x010100F09D51E7921BD941A153A7CBC2BB9FB0</vt:lpwstr>
  </property>
  <property fmtid="{D5CDD505-2E9C-101B-9397-08002B2CF9AE}" pid="3" name="MSIP_Label_97a477d1-147d-4e34-b5e3-7b26d2f44870_Enabled">
    <vt:lpwstr>true</vt:lpwstr>
  </property>
  <property fmtid="{D5CDD505-2E9C-101B-9397-08002B2CF9AE}" pid="4" name="MSIP_Label_97a477d1-147d-4e34-b5e3-7b26d2f44870_SetDate">
    <vt:lpwstr>2024-04-11T07:34:29Z</vt:lpwstr>
  </property>
  <property fmtid="{D5CDD505-2E9C-101B-9397-08002B2CF9AE}" pid="5" name="MSIP_Label_97a477d1-147d-4e34-b5e3-7b26d2f44870_Method">
    <vt:lpwstr>Standard</vt:lpwstr>
  </property>
  <property fmtid="{D5CDD505-2E9C-101B-9397-08002B2CF9AE}" pid="6" name="MSIP_Label_97a477d1-147d-4e34-b5e3-7b26d2f44870_Name">
    <vt:lpwstr>97a477d1-147d-4e34-b5e3-7b26d2f44870</vt:lpwstr>
  </property>
  <property fmtid="{D5CDD505-2E9C-101B-9397-08002B2CF9AE}" pid="7" name="MSIP_Label_97a477d1-147d-4e34-b5e3-7b26d2f44870_SiteId">
    <vt:lpwstr>1f816a84-7aa6-4a56-b22a-7b3452fa8681</vt:lpwstr>
  </property>
  <property fmtid="{D5CDD505-2E9C-101B-9397-08002B2CF9AE}" pid="8" name="MSIP_Label_97a477d1-147d-4e34-b5e3-7b26d2f44870_ActionId">
    <vt:lpwstr>da655afc-e892-4f89-aeaf-1a6da81f1ac3</vt:lpwstr>
  </property>
  <property fmtid="{D5CDD505-2E9C-101B-9397-08002B2CF9AE}" pid="9" name="MSIP_Label_97a477d1-147d-4e34-b5e3-7b26d2f44870_ContentBits">
    <vt:lpwstr>0</vt:lpwstr>
  </property>
  <property fmtid="{D5CDD505-2E9C-101B-9397-08002B2CF9AE}" pid="10" name="MediaServiceImageTags">
    <vt:lpwstr/>
  </property>
</Properties>
</file>